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ämäTyökirja" hidePivotFieldList="1" defaultThemeVersion="164011"/>
  <bookViews>
    <workbookView xWindow="0" yWindow="0" windowWidth="7425" windowHeight="0" tabRatio="652"/>
  </bookViews>
  <sheets>
    <sheet name="OHJEET" sheetId="41" r:id="rId1"/>
    <sheet name="1.1 Jakotaulu" sheetId="18" r:id="rId2"/>
    <sheet name="1.2 Ohjaus-laskentataulu" sheetId="17" r:id="rId3"/>
    <sheet name="1.3 Vertailulukuja" sheetId="24" r:id="rId4"/>
    <sheet name="1.4 Maakuntalukuja" sheetId="25" r:id="rId5"/>
    <sheet name="2.1 Toteut. op.vuodet" sheetId="5" r:id="rId6"/>
    <sheet name="2.2 Tutk. ja osien pain. pist." sheetId="27" r:id="rId7"/>
    <sheet name="2.3 Työll. ja jatko-opisk." sheetId="3" r:id="rId8"/>
    <sheet name="2.4 Aloittaneet palaute" sheetId="1" r:id="rId9"/>
    <sheet name="2.5 Päättäneet palaute" sheetId="2" r:id="rId10"/>
    <sheet name="2.6 Työpaikkaohjaajakysely" sheetId="61" r:id="rId11"/>
    <sheet name="2.7 Työpaikkakysely" sheetId="60" r:id="rId12"/>
    <sheet name="Suoritepäätös 2023 oikaistu" sheetId="62" state="hidden" r:id="rId13"/>
  </sheets>
  <externalReferences>
    <externalReference r:id="rId14"/>
  </externalReferences>
  <definedNames>
    <definedName name="_xlnm._FilterDatabase" localSheetId="2" hidden="1">'1.2 Ohjaus-laskentataulu'!$C$6:$C$140</definedName>
    <definedName name="_xlnm._FilterDatabase" localSheetId="4" hidden="1">'1.4 Maakuntalukuja'!$F$6:$F$23</definedName>
    <definedName name="FuusiotKpl">[1]Fuusiot!$C$1</definedName>
    <definedName name="_xlnm.Print_Area" localSheetId="12">'Suoritepäätös 2023 oikaistu'!$A$5:$AL$143</definedName>
    <definedName name="_xlnm.Print_Titles" localSheetId="12">'Suoritepäätös 2023 oikaistu'!$5:$7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1" i="25" l="1"/>
  <c r="AN6" i="25"/>
  <c r="AN7" i="25"/>
  <c r="AN8" i="25"/>
  <c r="AN9" i="25"/>
  <c r="AN10" i="25"/>
  <c r="AN11" i="25"/>
  <c r="AN12" i="25"/>
  <c r="AN13" i="25"/>
  <c r="AN14" i="25"/>
  <c r="AN15" i="25"/>
  <c r="AN16" i="25"/>
  <c r="AN17" i="25"/>
  <c r="AN18" i="25"/>
  <c r="AN19" i="25"/>
  <c r="AN20" i="25"/>
  <c r="AN21" i="25"/>
  <c r="AN22" i="25"/>
  <c r="AN23" i="25"/>
  <c r="AM6" i="25"/>
  <c r="AM7" i="25"/>
  <c r="AM8" i="25"/>
  <c r="AM9" i="25"/>
  <c r="AM10" i="25"/>
  <c r="AM11" i="25"/>
  <c r="AM12" i="25"/>
  <c r="AM13" i="25"/>
  <c r="AM14" i="25"/>
  <c r="AM15" i="25"/>
  <c r="AM16" i="25"/>
  <c r="AM17" i="25"/>
  <c r="AM18" i="25"/>
  <c r="AM19" i="25"/>
  <c r="AM20" i="25"/>
  <c r="AM21" i="25"/>
  <c r="AM22" i="25"/>
  <c r="AM23" i="25"/>
  <c r="AL6" i="25"/>
  <c r="AL7" i="25"/>
  <c r="AL8" i="25"/>
  <c r="AL9" i="25"/>
  <c r="AL10" i="25"/>
  <c r="AL11" i="25"/>
  <c r="AL12" i="25"/>
  <c r="AL13" i="25"/>
  <c r="AL14" i="25"/>
  <c r="AL15" i="25"/>
  <c r="AL16" i="25"/>
  <c r="AL17" i="25"/>
  <c r="AL18" i="25"/>
  <c r="AL19" i="25"/>
  <c r="AL20" i="25"/>
  <c r="AL21" i="25"/>
  <c r="AL22" i="25"/>
  <c r="AL23" i="25"/>
  <c r="AK6" i="25"/>
  <c r="AK7" i="25"/>
  <c r="AK8" i="25"/>
  <c r="AK9" i="25"/>
  <c r="AK10" i="25"/>
  <c r="AK11" i="25"/>
  <c r="AK12" i="25"/>
  <c r="AK13" i="25"/>
  <c r="AK14" i="25"/>
  <c r="AK15" i="25"/>
  <c r="AK16" i="25"/>
  <c r="AK17" i="25"/>
  <c r="AK18" i="25"/>
  <c r="AK19" i="25"/>
  <c r="AK20" i="25"/>
  <c r="AK21" i="25"/>
  <c r="AK22" i="25"/>
  <c r="AK23" i="25"/>
  <c r="AJ7" i="25"/>
  <c r="AI6" i="25"/>
  <c r="AI7" i="25"/>
  <c r="AI8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G6" i="25"/>
  <c r="AG7" i="25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G7" i="25"/>
  <c r="H7" i="25"/>
  <c r="G8" i="25"/>
  <c r="H8" i="25"/>
  <c r="G9" i="25"/>
  <c r="H9" i="25"/>
  <c r="G10" i="25"/>
  <c r="H10" i="25"/>
  <c r="G11" i="25"/>
  <c r="H11" i="25"/>
  <c r="G12" i="25"/>
  <c r="H12" i="25"/>
  <c r="G13" i="25"/>
  <c r="H13" i="25"/>
  <c r="G14" i="25"/>
  <c r="H14" i="25"/>
  <c r="G15" i="25"/>
  <c r="H15" i="25"/>
  <c r="G16" i="25"/>
  <c r="H16" i="25"/>
  <c r="G17" i="25"/>
  <c r="H17" i="25"/>
  <c r="G18" i="25"/>
  <c r="H18" i="25"/>
  <c r="G19" i="25"/>
  <c r="H19" i="25"/>
  <c r="G20" i="25"/>
  <c r="H20" i="25"/>
  <c r="G21" i="25"/>
  <c r="H21" i="25"/>
  <c r="G22" i="25"/>
  <c r="H22" i="25"/>
  <c r="G23" i="25"/>
  <c r="H23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H6" i="25"/>
  <c r="G6" i="25"/>
  <c r="F6" i="25"/>
  <c r="B141" i="17"/>
  <c r="AM141" i="17"/>
  <c r="AL141" i="17"/>
  <c r="F24" i="25" l="1"/>
  <c r="G24" i="25"/>
  <c r="H24" i="25"/>
  <c r="AM24" i="25"/>
  <c r="AH24" i="25"/>
  <c r="AL24" i="25"/>
  <c r="AI24" i="25"/>
  <c r="AN24" i="25"/>
  <c r="AG24" i="25"/>
  <c r="AK24" i="25"/>
  <c r="AH140" i="24" l="1"/>
  <c r="AH139" i="24"/>
  <c r="AH138" i="24"/>
  <c r="AH137" i="24"/>
  <c r="AH136" i="24"/>
  <c r="AH135" i="24"/>
  <c r="AH134" i="24"/>
  <c r="AH133" i="24"/>
  <c r="AH132" i="24"/>
  <c r="AH131" i="24"/>
  <c r="AH130" i="24"/>
  <c r="AH129" i="24"/>
  <c r="AH128" i="24"/>
  <c r="AH127" i="24"/>
  <c r="AH126" i="24"/>
  <c r="AH125" i="24"/>
  <c r="AH124" i="24"/>
  <c r="AH123" i="24"/>
  <c r="AH122" i="24"/>
  <c r="AH121" i="24"/>
  <c r="AH120" i="24"/>
  <c r="AH119" i="24"/>
  <c r="AH118" i="24"/>
  <c r="AH117" i="24"/>
  <c r="AH116" i="24"/>
  <c r="AH115" i="24"/>
  <c r="AH114" i="24"/>
  <c r="AH113" i="24"/>
  <c r="AH112" i="24"/>
  <c r="AH111" i="24"/>
  <c r="AH110" i="24"/>
  <c r="AH109" i="24"/>
  <c r="AH108" i="24"/>
  <c r="AH107" i="24"/>
  <c r="AH106" i="24"/>
  <c r="AH105" i="24"/>
  <c r="AH104" i="24"/>
  <c r="AH103" i="24"/>
  <c r="AH102" i="24"/>
  <c r="AH101" i="24"/>
  <c r="AH100" i="24"/>
  <c r="AH99" i="24"/>
  <c r="AH98" i="24"/>
  <c r="AH97" i="24"/>
  <c r="AH96" i="24"/>
  <c r="AH95" i="24"/>
  <c r="AH94" i="24"/>
  <c r="AH93" i="24"/>
  <c r="AH92" i="24"/>
  <c r="AH91" i="24"/>
  <c r="AH90" i="24"/>
  <c r="AH89" i="24"/>
  <c r="AH88" i="24"/>
  <c r="AH87" i="24"/>
  <c r="AH86" i="24"/>
  <c r="AH85" i="24"/>
  <c r="AH84" i="24"/>
  <c r="AH83" i="24"/>
  <c r="AH82" i="24"/>
  <c r="AH81" i="24"/>
  <c r="AH80" i="24"/>
  <c r="AH79" i="24"/>
  <c r="AH78" i="24"/>
  <c r="AH77" i="24"/>
  <c r="AH76" i="24"/>
  <c r="AH75" i="24"/>
  <c r="AH74" i="24"/>
  <c r="AH73" i="24"/>
  <c r="AH72" i="24"/>
  <c r="AH71" i="24"/>
  <c r="AH70" i="24"/>
  <c r="AH69" i="24"/>
  <c r="AH68" i="24"/>
  <c r="AH67" i="24"/>
  <c r="AH66" i="24"/>
  <c r="AH65" i="24"/>
  <c r="AH64" i="24"/>
  <c r="AH63" i="24"/>
  <c r="AH62" i="24"/>
  <c r="AH61" i="24"/>
  <c r="AH60" i="24"/>
  <c r="AH59" i="24"/>
  <c r="AH58" i="24"/>
  <c r="AH57" i="24"/>
  <c r="AH56" i="24"/>
  <c r="AH55" i="24"/>
  <c r="AH54" i="24"/>
  <c r="AH53" i="24"/>
  <c r="AH52" i="24"/>
  <c r="AH51" i="24"/>
  <c r="AH50" i="24"/>
  <c r="AH49" i="24"/>
  <c r="AH48" i="24"/>
  <c r="AH47" i="24"/>
  <c r="AH46" i="24"/>
  <c r="AH45" i="24"/>
  <c r="AH44" i="24"/>
  <c r="AH43" i="24"/>
  <c r="AH42" i="24"/>
  <c r="AH41" i="24"/>
  <c r="AH40" i="24"/>
  <c r="AH39" i="24"/>
  <c r="AH38" i="24"/>
  <c r="AH37" i="24"/>
  <c r="AH36" i="24"/>
  <c r="AH35" i="24"/>
  <c r="AH34" i="24"/>
  <c r="AH33" i="24"/>
  <c r="AH32" i="24"/>
  <c r="AH31" i="24"/>
  <c r="AH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D140" i="24"/>
  <c r="AD139" i="24"/>
  <c r="AD138" i="24"/>
  <c r="AD137" i="24"/>
  <c r="AD136" i="24"/>
  <c r="AD135" i="24"/>
  <c r="AD134" i="24"/>
  <c r="AD133" i="24"/>
  <c r="AD132" i="24"/>
  <c r="AD131" i="24"/>
  <c r="AD130" i="24"/>
  <c r="AD129" i="24"/>
  <c r="AD128" i="24"/>
  <c r="AD127" i="24"/>
  <c r="AD126" i="24"/>
  <c r="AD125" i="24"/>
  <c r="AD124" i="24"/>
  <c r="AD123" i="24"/>
  <c r="AD122" i="24"/>
  <c r="AD121" i="24"/>
  <c r="AD120" i="24"/>
  <c r="AD119" i="24"/>
  <c r="AD118" i="24"/>
  <c r="AD117" i="24"/>
  <c r="AD116" i="24"/>
  <c r="AD115" i="24"/>
  <c r="AD114" i="24"/>
  <c r="AD113" i="24"/>
  <c r="AD112" i="24"/>
  <c r="AD111" i="24"/>
  <c r="AD110" i="24"/>
  <c r="AD109" i="24"/>
  <c r="AD108" i="24"/>
  <c r="AD107" i="24"/>
  <c r="AD106" i="24"/>
  <c r="AD105" i="24"/>
  <c r="AD104" i="24"/>
  <c r="AD103" i="24"/>
  <c r="AD102" i="24"/>
  <c r="AD101" i="24"/>
  <c r="AD100" i="24"/>
  <c r="AD99" i="24"/>
  <c r="AD98" i="24"/>
  <c r="AD97" i="24"/>
  <c r="AD96" i="24"/>
  <c r="AD95" i="24"/>
  <c r="AD94" i="24"/>
  <c r="AD93" i="24"/>
  <c r="AD92" i="24"/>
  <c r="AD91" i="24"/>
  <c r="AD90" i="24"/>
  <c r="AD89" i="24"/>
  <c r="AD88" i="24"/>
  <c r="AD87" i="24"/>
  <c r="AD86" i="24"/>
  <c r="AD85" i="24"/>
  <c r="AD84" i="24"/>
  <c r="AD83" i="24"/>
  <c r="AD82" i="24"/>
  <c r="AD81" i="24"/>
  <c r="AD80" i="24"/>
  <c r="AD79" i="24"/>
  <c r="AD78" i="24"/>
  <c r="AD77" i="24"/>
  <c r="AD76" i="24"/>
  <c r="AD75" i="24"/>
  <c r="AD74" i="24"/>
  <c r="AD73" i="24"/>
  <c r="AD72" i="24"/>
  <c r="AD71" i="24"/>
  <c r="AD70" i="24"/>
  <c r="AD69" i="24"/>
  <c r="AD68" i="24"/>
  <c r="AD67" i="24"/>
  <c r="AD66" i="24"/>
  <c r="AD65" i="24"/>
  <c r="AD64" i="24"/>
  <c r="AD63" i="24"/>
  <c r="AD62" i="24"/>
  <c r="AD61" i="24"/>
  <c r="AD60" i="24"/>
  <c r="AD59" i="24"/>
  <c r="AD58" i="24"/>
  <c r="AD57" i="24"/>
  <c r="AD56" i="24"/>
  <c r="AD55" i="24"/>
  <c r="AD54" i="24"/>
  <c r="AD53" i="24"/>
  <c r="AD52" i="24"/>
  <c r="AD51" i="24"/>
  <c r="AD50" i="24"/>
  <c r="AD49" i="24"/>
  <c r="AD48" i="24"/>
  <c r="AD47" i="24"/>
  <c r="AD46" i="24"/>
  <c r="AD45" i="24"/>
  <c r="AD44" i="24"/>
  <c r="AD43" i="24"/>
  <c r="AD42" i="24"/>
  <c r="AD41" i="24"/>
  <c r="AD40" i="24"/>
  <c r="AD39" i="24"/>
  <c r="AD38" i="24"/>
  <c r="AD37" i="24"/>
  <c r="AD36" i="24"/>
  <c r="AD35" i="24"/>
  <c r="AD34" i="24"/>
  <c r="AD33" i="24"/>
  <c r="AD32" i="24"/>
  <c r="AD31" i="24"/>
  <c r="AD30" i="24"/>
  <c r="AD29" i="24"/>
  <c r="AD28" i="24"/>
  <c r="AD27" i="24"/>
  <c r="AD26" i="24"/>
  <c r="AD25" i="24"/>
  <c r="AD24" i="24"/>
  <c r="AD23" i="24"/>
  <c r="AD22" i="24"/>
  <c r="AD21" i="24"/>
  <c r="AD20" i="24"/>
  <c r="AD19" i="24"/>
  <c r="AD18" i="24"/>
  <c r="AD17" i="24"/>
  <c r="AD16" i="24"/>
  <c r="AD15" i="24"/>
  <c r="AD14" i="24"/>
  <c r="AD13" i="24"/>
  <c r="AD12" i="24"/>
  <c r="AD11" i="24"/>
  <c r="AD10" i="24"/>
  <c r="AD9" i="24"/>
  <c r="AD8" i="24"/>
  <c r="AD7" i="24"/>
  <c r="AD6" i="24"/>
  <c r="Z140" i="24"/>
  <c r="Z139" i="24"/>
  <c r="Z138" i="24"/>
  <c r="Z137" i="24"/>
  <c r="Z136" i="24"/>
  <c r="Z135" i="24"/>
  <c r="Z134" i="24"/>
  <c r="Z133" i="24"/>
  <c r="Z132" i="24"/>
  <c r="Z131" i="24"/>
  <c r="Z130" i="24"/>
  <c r="Z129" i="24"/>
  <c r="Z128" i="24"/>
  <c r="Z127" i="24"/>
  <c r="Z126" i="24"/>
  <c r="Z125" i="24"/>
  <c r="Z124" i="24"/>
  <c r="Z123" i="24"/>
  <c r="Z122" i="24"/>
  <c r="Z121" i="24"/>
  <c r="Z120" i="24"/>
  <c r="Z119" i="24"/>
  <c r="Z118" i="24"/>
  <c r="Z117" i="24"/>
  <c r="Z116" i="24"/>
  <c r="Z115" i="24"/>
  <c r="Z114" i="24"/>
  <c r="Z113" i="24"/>
  <c r="Z112" i="24"/>
  <c r="Z111" i="24"/>
  <c r="Z110" i="24"/>
  <c r="Z109" i="24"/>
  <c r="Z108" i="24"/>
  <c r="Z107" i="24"/>
  <c r="Z106" i="24"/>
  <c r="Z105" i="24"/>
  <c r="Z104" i="24"/>
  <c r="Z103" i="24"/>
  <c r="Z102" i="24"/>
  <c r="Z101" i="24"/>
  <c r="Z100" i="24"/>
  <c r="Z99" i="24"/>
  <c r="Z98" i="24"/>
  <c r="Z97" i="24"/>
  <c r="Z96" i="24"/>
  <c r="Z95" i="24"/>
  <c r="Z94" i="24"/>
  <c r="Z93" i="24"/>
  <c r="Z92" i="24"/>
  <c r="Z91" i="24"/>
  <c r="Z90" i="24"/>
  <c r="Z89" i="24"/>
  <c r="Z88" i="24"/>
  <c r="Z87" i="24"/>
  <c r="Z86" i="24"/>
  <c r="Z85" i="24"/>
  <c r="Z84" i="24"/>
  <c r="Z83" i="24"/>
  <c r="Z82" i="24"/>
  <c r="Z81" i="24"/>
  <c r="Z80" i="24"/>
  <c r="Z79" i="24"/>
  <c r="Z78" i="24"/>
  <c r="Z77" i="24"/>
  <c r="Z76" i="24"/>
  <c r="Z75" i="24"/>
  <c r="Z74" i="24"/>
  <c r="Z73" i="24"/>
  <c r="Z72" i="24"/>
  <c r="Z71" i="24"/>
  <c r="Z70" i="24"/>
  <c r="Z69" i="24"/>
  <c r="Z68" i="24"/>
  <c r="Z67" i="24"/>
  <c r="Z66" i="24"/>
  <c r="Z65" i="24"/>
  <c r="Z64" i="24"/>
  <c r="Z63" i="24"/>
  <c r="Z62" i="24"/>
  <c r="Z61" i="24"/>
  <c r="Z60" i="24"/>
  <c r="Z59" i="24"/>
  <c r="Z58" i="24"/>
  <c r="Z57" i="24"/>
  <c r="Z56" i="24"/>
  <c r="Z55" i="24"/>
  <c r="Z54" i="24"/>
  <c r="Z53" i="24"/>
  <c r="Z52" i="24"/>
  <c r="Z51" i="24"/>
  <c r="Z50" i="24"/>
  <c r="Z49" i="24"/>
  <c r="Z48" i="24"/>
  <c r="Z47" i="24"/>
  <c r="Z46" i="24"/>
  <c r="Z45" i="24"/>
  <c r="Z44" i="24"/>
  <c r="Z43" i="24"/>
  <c r="Z42" i="24"/>
  <c r="Z41" i="24"/>
  <c r="Z40" i="24"/>
  <c r="Z39" i="24"/>
  <c r="Z38" i="24"/>
  <c r="Z37" i="24"/>
  <c r="Z36" i="24"/>
  <c r="Z35" i="24"/>
  <c r="Z34" i="24"/>
  <c r="Z33" i="24"/>
  <c r="Z32" i="24"/>
  <c r="Z31" i="24"/>
  <c r="Z30" i="24"/>
  <c r="Z29" i="24"/>
  <c r="Z28" i="24"/>
  <c r="Z27" i="24"/>
  <c r="Z26" i="24"/>
  <c r="Z25" i="24"/>
  <c r="Z24" i="24"/>
  <c r="Z23" i="24"/>
  <c r="Z22" i="24"/>
  <c r="Z21" i="24"/>
  <c r="Z20" i="24"/>
  <c r="Z19" i="24"/>
  <c r="Z18" i="24"/>
  <c r="Z17" i="24"/>
  <c r="Z16" i="24"/>
  <c r="Z15" i="24"/>
  <c r="Z14" i="24"/>
  <c r="Z13" i="24"/>
  <c r="Z12" i="24"/>
  <c r="Z11" i="24"/>
  <c r="Z10" i="24"/>
  <c r="Z9" i="24"/>
  <c r="Z8" i="24"/>
  <c r="Z7" i="24"/>
  <c r="Z6" i="24"/>
  <c r="V140" i="24"/>
  <c r="V139" i="24"/>
  <c r="V138" i="24"/>
  <c r="V137" i="24"/>
  <c r="V136" i="24"/>
  <c r="V135" i="24"/>
  <c r="V134" i="24"/>
  <c r="V133" i="24"/>
  <c r="V132" i="24"/>
  <c r="V131" i="24"/>
  <c r="V130" i="24"/>
  <c r="V129" i="24"/>
  <c r="V128" i="24"/>
  <c r="V127" i="24"/>
  <c r="V126" i="24"/>
  <c r="V125" i="24"/>
  <c r="V124" i="24"/>
  <c r="V123" i="24"/>
  <c r="V122" i="24"/>
  <c r="V121" i="24"/>
  <c r="V120" i="24"/>
  <c r="V119" i="24"/>
  <c r="V118" i="24"/>
  <c r="V117" i="24"/>
  <c r="V116" i="24"/>
  <c r="V115" i="24"/>
  <c r="V114" i="24"/>
  <c r="V113" i="24"/>
  <c r="V112" i="24"/>
  <c r="V111" i="24"/>
  <c r="V110" i="24"/>
  <c r="V109" i="24"/>
  <c r="V108" i="24"/>
  <c r="V107" i="24"/>
  <c r="V106" i="24"/>
  <c r="V105" i="24"/>
  <c r="V104" i="24"/>
  <c r="V103" i="24"/>
  <c r="V102" i="24"/>
  <c r="V101" i="24"/>
  <c r="V100" i="24"/>
  <c r="V99" i="24"/>
  <c r="V98" i="24"/>
  <c r="V97" i="24"/>
  <c r="V96" i="24"/>
  <c r="V95" i="24"/>
  <c r="V94" i="24"/>
  <c r="V93" i="24"/>
  <c r="V92" i="24"/>
  <c r="V91" i="24"/>
  <c r="V90" i="24"/>
  <c r="V89" i="24"/>
  <c r="V88" i="24"/>
  <c r="V87" i="24"/>
  <c r="V86" i="24"/>
  <c r="V85" i="24"/>
  <c r="V84" i="24"/>
  <c r="V83" i="24"/>
  <c r="V82" i="24"/>
  <c r="V81" i="24"/>
  <c r="V80" i="24"/>
  <c r="V79" i="24"/>
  <c r="V78" i="24"/>
  <c r="V77" i="24"/>
  <c r="V76" i="24"/>
  <c r="V75" i="24"/>
  <c r="V74" i="24"/>
  <c r="V73" i="24"/>
  <c r="V72" i="24"/>
  <c r="V71" i="24"/>
  <c r="V70" i="24"/>
  <c r="V69" i="24"/>
  <c r="V68" i="24"/>
  <c r="V67" i="24"/>
  <c r="V66" i="24"/>
  <c r="V65" i="24"/>
  <c r="V64" i="24"/>
  <c r="V63" i="24"/>
  <c r="V62" i="24"/>
  <c r="V61" i="24"/>
  <c r="V60" i="24"/>
  <c r="V59" i="24"/>
  <c r="V58" i="24"/>
  <c r="V57" i="24"/>
  <c r="V56" i="24"/>
  <c r="V55" i="24"/>
  <c r="V54" i="24"/>
  <c r="V53" i="24"/>
  <c r="V52" i="24"/>
  <c r="V51" i="24"/>
  <c r="V50" i="24"/>
  <c r="V49" i="24"/>
  <c r="V48" i="24"/>
  <c r="V47" i="24"/>
  <c r="V46" i="24"/>
  <c r="V45" i="24"/>
  <c r="V44" i="24"/>
  <c r="V43" i="24"/>
  <c r="V42" i="24"/>
  <c r="V41" i="24"/>
  <c r="V40" i="24"/>
  <c r="V39" i="24"/>
  <c r="V38" i="24"/>
  <c r="V37" i="24"/>
  <c r="V36" i="24"/>
  <c r="V35" i="24"/>
  <c r="V34" i="24"/>
  <c r="V33" i="24"/>
  <c r="V32" i="24"/>
  <c r="V31" i="24"/>
  <c r="V30" i="24"/>
  <c r="V29" i="24"/>
  <c r="V28" i="24"/>
  <c r="V27" i="24"/>
  <c r="V26" i="24"/>
  <c r="V25" i="24"/>
  <c r="V24" i="24"/>
  <c r="V23" i="24"/>
  <c r="V22" i="24"/>
  <c r="V21" i="24"/>
  <c r="V20" i="24"/>
  <c r="V19" i="24"/>
  <c r="V18" i="24"/>
  <c r="V17" i="24"/>
  <c r="V16" i="24"/>
  <c r="V15" i="24"/>
  <c r="V14" i="24"/>
  <c r="V13" i="24"/>
  <c r="V12" i="24"/>
  <c r="V11" i="24"/>
  <c r="V10" i="24"/>
  <c r="V9" i="24"/>
  <c r="V8" i="24"/>
  <c r="V7" i="24"/>
  <c r="V6" i="24"/>
  <c r="AN6" i="17"/>
  <c r="AN7" i="17"/>
  <c r="AN8" i="17"/>
  <c r="AN9" i="17"/>
  <c r="AN10" i="17"/>
  <c r="AN11" i="17"/>
  <c r="AN12" i="17"/>
  <c r="AN13" i="17"/>
  <c r="AN14" i="17"/>
  <c r="AN15" i="17"/>
  <c r="AN16" i="17"/>
  <c r="AN17" i="17"/>
  <c r="AN18" i="17"/>
  <c r="AN19" i="17"/>
  <c r="AN20" i="17"/>
  <c r="AN21" i="17"/>
  <c r="AN22" i="17"/>
  <c r="AN23" i="17"/>
  <c r="AN24" i="17"/>
  <c r="AN25" i="17"/>
  <c r="AN26" i="17"/>
  <c r="AN27" i="17"/>
  <c r="AN28" i="17"/>
  <c r="AN29" i="17"/>
  <c r="AN30" i="17"/>
  <c r="AN31" i="17"/>
  <c r="AN32" i="17"/>
  <c r="AN33" i="17"/>
  <c r="AN34" i="17"/>
  <c r="AN35" i="17"/>
  <c r="AN36" i="17"/>
  <c r="AN37" i="17"/>
  <c r="AN38" i="17"/>
  <c r="AN39" i="17"/>
  <c r="AN40" i="17"/>
  <c r="AN41" i="17"/>
  <c r="AN42" i="17"/>
  <c r="AN43" i="17"/>
  <c r="AN44" i="17"/>
  <c r="AN45" i="17"/>
  <c r="AN46" i="17"/>
  <c r="AN47" i="17"/>
  <c r="AN48" i="17"/>
  <c r="AN49" i="17"/>
  <c r="AN50" i="17"/>
  <c r="AN51" i="17"/>
  <c r="AN52" i="17"/>
  <c r="AN53" i="17"/>
  <c r="AN54" i="17"/>
  <c r="AN55" i="17"/>
  <c r="AN56" i="17"/>
  <c r="AN57" i="17"/>
  <c r="AN58" i="17"/>
  <c r="AN59" i="17"/>
  <c r="AN60" i="17"/>
  <c r="AN61" i="17"/>
  <c r="AN62" i="17"/>
  <c r="AN63" i="17"/>
  <c r="AN64" i="17"/>
  <c r="AN65" i="17"/>
  <c r="AN66" i="17"/>
  <c r="AN67" i="17"/>
  <c r="AN68" i="17"/>
  <c r="AN69" i="17"/>
  <c r="AN70" i="17"/>
  <c r="AN71" i="17"/>
  <c r="AN72" i="17"/>
  <c r="AN73" i="17"/>
  <c r="AN74" i="17"/>
  <c r="AN75" i="17"/>
  <c r="AN76" i="17"/>
  <c r="AN77" i="17"/>
  <c r="AN78" i="17"/>
  <c r="AN79" i="17"/>
  <c r="AN80" i="17"/>
  <c r="AN81" i="17"/>
  <c r="AN82" i="17"/>
  <c r="AN83" i="17"/>
  <c r="AN84" i="17"/>
  <c r="AN85" i="17"/>
  <c r="AN86" i="17"/>
  <c r="AN87" i="17"/>
  <c r="AN88" i="17"/>
  <c r="AN89" i="17"/>
  <c r="AN90" i="17"/>
  <c r="AN91" i="17"/>
  <c r="AN92" i="17"/>
  <c r="AN93" i="17"/>
  <c r="AN94" i="17"/>
  <c r="AN95" i="17"/>
  <c r="AN96" i="17"/>
  <c r="AN97" i="17"/>
  <c r="AN98" i="17"/>
  <c r="AN99" i="17"/>
  <c r="AN100" i="17"/>
  <c r="AN101" i="17"/>
  <c r="AN102" i="17"/>
  <c r="AN103" i="17"/>
  <c r="AN104" i="17"/>
  <c r="AN105" i="17"/>
  <c r="AN106" i="17"/>
  <c r="AN107" i="17"/>
  <c r="AN108" i="17"/>
  <c r="AN109" i="17"/>
  <c r="AN110" i="17"/>
  <c r="AN111" i="17"/>
  <c r="AN112" i="17"/>
  <c r="AN113" i="17"/>
  <c r="AN114" i="17"/>
  <c r="AN115" i="17"/>
  <c r="AN116" i="17"/>
  <c r="AN117" i="17"/>
  <c r="AN118" i="17"/>
  <c r="AN119" i="17"/>
  <c r="AN120" i="17"/>
  <c r="AN121" i="17"/>
  <c r="AN122" i="17"/>
  <c r="AN123" i="17"/>
  <c r="AN124" i="17"/>
  <c r="AN125" i="17"/>
  <c r="AN126" i="17"/>
  <c r="AN127" i="17"/>
  <c r="AN128" i="17"/>
  <c r="AN129" i="17"/>
  <c r="AN130" i="17"/>
  <c r="AN131" i="17"/>
  <c r="AN132" i="17"/>
  <c r="AN133" i="17"/>
  <c r="AN134" i="17"/>
  <c r="AN135" i="17"/>
  <c r="AN136" i="17"/>
  <c r="AN137" i="17"/>
  <c r="AN138" i="17"/>
  <c r="AN139" i="17"/>
  <c r="AN140" i="17"/>
  <c r="R140" i="24" l="1"/>
  <c r="N140" i="24"/>
  <c r="R139" i="24"/>
  <c r="N139" i="24"/>
  <c r="R138" i="24"/>
  <c r="N138" i="24"/>
  <c r="R137" i="24"/>
  <c r="N137" i="24"/>
  <c r="R136" i="24"/>
  <c r="N136" i="24"/>
  <c r="R135" i="24"/>
  <c r="N135" i="24"/>
  <c r="R134" i="24"/>
  <c r="N134" i="24"/>
  <c r="R133" i="24"/>
  <c r="N133" i="24"/>
  <c r="R132" i="24"/>
  <c r="N132" i="24"/>
  <c r="R131" i="24"/>
  <c r="N131" i="24"/>
  <c r="R130" i="24"/>
  <c r="N130" i="24"/>
  <c r="R129" i="24"/>
  <c r="N129" i="24"/>
  <c r="R128" i="24"/>
  <c r="N128" i="24"/>
  <c r="R127" i="24"/>
  <c r="N127" i="24"/>
  <c r="R126" i="24"/>
  <c r="N126" i="24"/>
  <c r="R125" i="24"/>
  <c r="N125" i="24"/>
  <c r="R124" i="24"/>
  <c r="N124" i="24"/>
  <c r="R123" i="24"/>
  <c r="N123" i="24"/>
  <c r="R122" i="24"/>
  <c r="N122" i="24"/>
  <c r="R121" i="24"/>
  <c r="N121" i="24"/>
  <c r="R120" i="24"/>
  <c r="N120" i="24"/>
  <c r="R119" i="24"/>
  <c r="N119" i="24"/>
  <c r="R118" i="24"/>
  <c r="N118" i="24"/>
  <c r="R117" i="24"/>
  <c r="N117" i="24"/>
  <c r="R116" i="24"/>
  <c r="N116" i="24"/>
  <c r="R115" i="24"/>
  <c r="N115" i="24"/>
  <c r="R114" i="24"/>
  <c r="N114" i="24"/>
  <c r="R113" i="24"/>
  <c r="N113" i="24"/>
  <c r="R112" i="24"/>
  <c r="N112" i="24"/>
  <c r="R111" i="24"/>
  <c r="N111" i="24"/>
  <c r="R110" i="24"/>
  <c r="N110" i="24"/>
  <c r="R109" i="24"/>
  <c r="N109" i="24"/>
  <c r="R108" i="24"/>
  <c r="N108" i="24"/>
  <c r="R107" i="24"/>
  <c r="N107" i="24"/>
  <c r="R106" i="24"/>
  <c r="N106" i="24"/>
  <c r="R105" i="24"/>
  <c r="N105" i="24"/>
  <c r="R104" i="24"/>
  <c r="N104" i="24"/>
  <c r="R103" i="24"/>
  <c r="N103" i="24"/>
  <c r="R102" i="24"/>
  <c r="N102" i="24"/>
  <c r="R101" i="24"/>
  <c r="N101" i="24"/>
  <c r="R100" i="24"/>
  <c r="N100" i="24"/>
  <c r="R99" i="24"/>
  <c r="N99" i="24"/>
  <c r="R98" i="24"/>
  <c r="N98" i="24"/>
  <c r="R97" i="24"/>
  <c r="N97" i="24"/>
  <c r="R96" i="24"/>
  <c r="N96" i="24"/>
  <c r="R95" i="24"/>
  <c r="N95" i="24"/>
  <c r="R94" i="24"/>
  <c r="N94" i="24"/>
  <c r="R93" i="24"/>
  <c r="N93" i="24"/>
  <c r="R92" i="24"/>
  <c r="N92" i="24"/>
  <c r="R91" i="24"/>
  <c r="N91" i="24"/>
  <c r="R90" i="24"/>
  <c r="N90" i="24"/>
  <c r="R89" i="24"/>
  <c r="N89" i="24"/>
  <c r="R88" i="24"/>
  <c r="N88" i="24"/>
  <c r="R87" i="24"/>
  <c r="N87" i="24"/>
  <c r="R86" i="24"/>
  <c r="N86" i="24"/>
  <c r="R85" i="24"/>
  <c r="N85" i="24"/>
  <c r="R84" i="24"/>
  <c r="N84" i="24"/>
  <c r="R83" i="24"/>
  <c r="N83" i="24"/>
  <c r="R82" i="24"/>
  <c r="N82" i="24"/>
  <c r="R81" i="24"/>
  <c r="N81" i="24"/>
  <c r="R80" i="24"/>
  <c r="N80" i="24"/>
  <c r="R79" i="24"/>
  <c r="N79" i="24"/>
  <c r="R78" i="24"/>
  <c r="N78" i="24"/>
  <c r="R77" i="24"/>
  <c r="N77" i="24"/>
  <c r="R76" i="24"/>
  <c r="N76" i="24"/>
  <c r="R75" i="24"/>
  <c r="N75" i="24"/>
  <c r="R74" i="24"/>
  <c r="N74" i="24"/>
  <c r="R73" i="24"/>
  <c r="N73" i="24"/>
  <c r="R72" i="24"/>
  <c r="N72" i="24"/>
  <c r="R71" i="24"/>
  <c r="N71" i="24"/>
  <c r="R70" i="24"/>
  <c r="N70" i="24"/>
  <c r="R69" i="24"/>
  <c r="N69" i="24"/>
  <c r="R68" i="24"/>
  <c r="N68" i="24"/>
  <c r="R67" i="24"/>
  <c r="N67" i="24"/>
  <c r="R66" i="24"/>
  <c r="N66" i="24"/>
  <c r="R65" i="24"/>
  <c r="N65" i="24"/>
  <c r="R64" i="24"/>
  <c r="N64" i="24"/>
  <c r="R63" i="24"/>
  <c r="N63" i="24"/>
  <c r="R62" i="24"/>
  <c r="N62" i="24"/>
  <c r="R61" i="24"/>
  <c r="N61" i="24"/>
  <c r="R60" i="24"/>
  <c r="N60" i="24"/>
  <c r="R59" i="24"/>
  <c r="N59" i="24"/>
  <c r="R58" i="24"/>
  <c r="N58" i="24"/>
  <c r="R57" i="24"/>
  <c r="N57" i="24"/>
  <c r="R56" i="24"/>
  <c r="N56" i="24"/>
  <c r="R55" i="24"/>
  <c r="N55" i="24"/>
  <c r="R54" i="24"/>
  <c r="N54" i="24"/>
  <c r="R53" i="24"/>
  <c r="N53" i="24"/>
  <c r="R52" i="24"/>
  <c r="N52" i="24"/>
  <c r="R51" i="24"/>
  <c r="N51" i="24"/>
  <c r="R50" i="24"/>
  <c r="N50" i="24"/>
  <c r="R49" i="24"/>
  <c r="N49" i="24"/>
  <c r="R48" i="24"/>
  <c r="N48" i="24"/>
  <c r="R47" i="24"/>
  <c r="N47" i="24"/>
  <c r="R46" i="24"/>
  <c r="N46" i="24"/>
  <c r="R45" i="24"/>
  <c r="N45" i="24"/>
  <c r="R44" i="24"/>
  <c r="N44" i="24"/>
  <c r="R43" i="24"/>
  <c r="N43" i="24"/>
  <c r="R42" i="24"/>
  <c r="N42" i="24"/>
  <c r="R41" i="24"/>
  <c r="N41" i="24"/>
  <c r="R40" i="24"/>
  <c r="N40" i="24"/>
  <c r="R39" i="24"/>
  <c r="N39" i="24"/>
  <c r="R38" i="24"/>
  <c r="N38" i="24"/>
  <c r="R37" i="24"/>
  <c r="N37" i="24"/>
  <c r="R36" i="24"/>
  <c r="N36" i="24"/>
  <c r="R35" i="24"/>
  <c r="N35" i="24"/>
  <c r="R34" i="24"/>
  <c r="N34" i="24"/>
  <c r="R33" i="24"/>
  <c r="N33" i="24"/>
  <c r="R32" i="24"/>
  <c r="N32" i="24"/>
  <c r="R31" i="24"/>
  <c r="N31" i="24"/>
  <c r="R30" i="24"/>
  <c r="N30" i="24"/>
  <c r="R29" i="24"/>
  <c r="N29" i="24"/>
  <c r="R28" i="24"/>
  <c r="N28" i="24"/>
  <c r="R27" i="24"/>
  <c r="N27" i="24"/>
  <c r="R26" i="24"/>
  <c r="N26" i="24"/>
  <c r="R25" i="24"/>
  <c r="N25" i="24"/>
  <c r="R24" i="24"/>
  <c r="N24" i="24"/>
  <c r="R23" i="24"/>
  <c r="N23" i="24"/>
  <c r="R22" i="24"/>
  <c r="N22" i="24"/>
  <c r="R21" i="24"/>
  <c r="N21" i="24"/>
  <c r="R20" i="24"/>
  <c r="N20" i="24"/>
  <c r="R19" i="24"/>
  <c r="N19" i="24"/>
  <c r="R18" i="24"/>
  <c r="N18" i="24"/>
  <c r="R17" i="24"/>
  <c r="N17" i="24"/>
  <c r="R16" i="24"/>
  <c r="N16" i="24"/>
  <c r="R15" i="24"/>
  <c r="N15" i="24"/>
  <c r="R14" i="24"/>
  <c r="N14" i="24"/>
  <c r="R13" i="24"/>
  <c r="N13" i="24"/>
  <c r="R12" i="24"/>
  <c r="N12" i="24"/>
  <c r="R11" i="24"/>
  <c r="N11" i="24"/>
  <c r="R10" i="24"/>
  <c r="N10" i="24"/>
  <c r="R9" i="24"/>
  <c r="N9" i="24"/>
  <c r="R8" i="24"/>
  <c r="N8" i="24"/>
  <c r="R7" i="24"/>
  <c r="N7" i="24"/>
  <c r="R6" i="24"/>
  <c r="N6" i="24"/>
  <c r="AB6" i="17" l="1"/>
  <c r="AB7" i="17"/>
  <c r="AB8" i="17"/>
  <c r="AB9" i="17"/>
  <c r="AB10" i="17"/>
  <c r="AB11" i="17"/>
  <c r="AB12" i="17"/>
  <c r="AB13" i="17"/>
  <c r="AB14" i="17"/>
  <c r="AB15" i="17"/>
  <c r="AB16" i="17"/>
  <c r="AB6" i="25" s="1"/>
  <c r="AB17" i="17"/>
  <c r="AB18" i="17"/>
  <c r="AB19" i="17"/>
  <c r="AB20" i="17"/>
  <c r="AB21" i="17"/>
  <c r="AB22" i="17"/>
  <c r="AB23" i="17"/>
  <c r="AB24" i="17"/>
  <c r="AB25" i="17"/>
  <c r="AB26" i="17"/>
  <c r="AB27" i="17"/>
  <c r="AB28" i="17"/>
  <c r="AB29" i="17"/>
  <c r="AB30" i="17"/>
  <c r="AB31" i="17"/>
  <c r="AB32" i="17"/>
  <c r="AB33" i="17"/>
  <c r="AB34" i="17"/>
  <c r="AB35" i="17"/>
  <c r="AB36" i="17"/>
  <c r="AB37" i="17"/>
  <c r="AB38" i="17"/>
  <c r="AB39" i="17"/>
  <c r="AB40" i="17"/>
  <c r="AB41" i="17"/>
  <c r="AB42" i="17"/>
  <c r="AB9" i="25" s="1"/>
  <c r="AB43" i="17"/>
  <c r="AB44" i="17"/>
  <c r="AB45" i="17"/>
  <c r="AB46" i="17"/>
  <c r="AB47" i="17"/>
  <c r="AB48" i="17"/>
  <c r="AB49" i="17"/>
  <c r="AB50" i="17"/>
  <c r="AB51" i="17"/>
  <c r="AB52" i="17"/>
  <c r="AB53" i="17"/>
  <c r="AB54" i="17"/>
  <c r="AB55" i="17"/>
  <c r="AB56" i="17"/>
  <c r="AB57" i="17"/>
  <c r="AB58" i="17"/>
  <c r="AB59" i="17"/>
  <c r="AB60" i="17"/>
  <c r="AB61" i="17"/>
  <c r="AB62" i="17"/>
  <c r="AB63" i="17"/>
  <c r="AB64" i="17"/>
  <c r="AB65" i="17"/>
  <c r="AB66" i="17"/>
  <c r="AB67" i="17"/>
  <c r="AB68" i="17"/>
  <c r="AB69" i="17"/>
  <c r="AB70" i="17"/>
  <c r="AB71" i="17"/>
  <c r="AB72" i="17"/>
  <c r="AB73" i="17"/>
  <c r="AB74" i="17"/>
  <c r="AB75" i="17"/>
  <c r="AB76" i="17"/>
  <c r="AB77" i="17"/>
  <c r="AB78" i="17"/>
  <c r="AB79" i="17"/>
  <c r="AB80" i="17"/>
  <c r="AB81" i="17"/>
  <c r="AB82" i="17"/>
  <c r="AB83" i="17"/>
  <c r="AB84" i="17"/>
  <c r="AB85" i="17"/>
  <c r="AB86" i="17"/>
  <c r="AB87" i="17"/>
  <c r="AB88" i="17"/>
  <c r="AB89" i="17"/>
  <c r="AB90" i="17"/>
  <c r="AB91" i="17"/>
  <c r="AB92" i="17"/>
  <c r="AB93" i="17"/>
  <c r="AB94" i="17"/>
  <c r="AB95" i="17"/>
  <c r="AB96" i="17"/>
  <c r="AB97" i="17"/>
  <c r="AB98" i="17"/>
  <c r="AB99" i="17"/>
  <c r="AB100" i="17"/>
  <c r="AB101" i="17"/>
  <c r="AB102" i="17"/>
  <c r="AB103" i="17"/>
  <c r="AB104" i="17"/>
  <c r="AB105" i="17"/>
  <c r="AB106" i="17"/>
  <c r="AB107" i="17"/>
  <c r="AB108" i="17"/>
  <c r="AB109" i="17"/>
  <c r="AB110" i="17"/>
  <c r="AB111" i="17"/>
  <c r="AB112" i="17"/>
  <c r="AB113" i="17"/>
  <c r="AB114" i="17"/>
  <c r="AB115" i="17"/>
  <c r="AB116" i="17"/>
  <c r="AB117" i="17"/>
  <c r="AB118" i="17"/>
  <c r="AB119" i="17"/>
  <c r="AB120" i="17"/>
  <c r="AB121" i="17"/>
  <c r="AB122" i="17"/>
  <c r="AB123" i="17"/>
  <c r="AB124" i="17"/>
  <c r="AB125" i="17"/>
  <c r="AB126" i="17"/>
  <c r="AB127" i="17"/>
  <c r="AB128" i="17"/>
  <c r="AB129" i="17"/>
  <c r="AB130" i="17"/>
  <c r="AB131" i="17"/>
  <c r="AB132" i="17"/>
  <c r="AB133" i="17"/>
  <c r="AB134" i="17"/>
  <c r="AB135" i="17"/>
  <c r="AB136" i="17"/>
  <c r="AB137" i="17"/>
  <c r="AB138" i="17"/>
  <c r="AB139" i="17"/>
  <c r="AB140" i="17"/>
  <c r="Y6" i="17"/>
  <c r="Y7" i="17"/>
  <c r="Y8" i="17"/>
  <c r="Y9" i="17"/>
  <c r="Y10" i="17"/>
  <c r="Y11" i="17"/>
  <c r="Y12" i="17"/>
  <c r="Y13" i="17"/>
  <c r="Y14" i="17"/>
  <c r="Y15" i="17"/>
  <c r="Y16" i="17"/>
  <c r="Y6" i="25" s="1"/>
  <c r="Y17" i="17"/>
  <c r="Y18" i="17"/>
  <c r="Y20" i="17"/>
  <c r="Y22" i="17"/>
  <c r="Y23" i="17"/>
  <c r="Y24" i="17"/>
  <c r="Y25" i="17"/>
  <c r="Y26" i="17"/>
  <c r="Y27" i="17"/>
  <c r="Y28" i="17"/>
  <c r="Y29" i="17"/>
  <c r="Y30" i="17"/>
  <c r="Y31" i="17"/>
  <c r="Y32" i="17"/>
  <c r="Y33" i="17"/>
  <c r="Y34" i="17"/>
  <c r="Y35" i="17"/>
  <c r="Y36" i="17"/>
  <c r="Y37" i="17"/>
  <c r="Y38" i="17"/>
  <c r="Y39" i="17"/>
  <c r="Y40" i="17"/>
  <c r="Y41" i="17"/>
  <c r="Y42" i="17"/>
  <c r="Y9" i="25" s="1"/>
  <c r="Y43" i="17"/>
  <c r="Y44" i="17"/>
  <c r="Y45" i="17"/>
  <c r="Y46" i="17"/>
  <c r="Y47" i="17"/>
  <c r="Y48" i="17"/>
  <c r="Y50" i="17"/>
  <c r="Y51" i="17"/>
  <c r="Y52" i="17"/>
  <c r="Y53" i="17"/>
  <c r="Y54" i="17"/>
  <c r="Y56" i="17"/>
  <c r="Y57" i="17"/>
  <c r="Y58" i="17"/>
  <c r="Y59" i="17"/>
  <c r="Y60" i="17"/>
  <c r="Y61" i="17"/>
  <c r="Y62" i="17"/>
  <c r="Y63" i="17"/>
  <c r="Y64" i="17"/>
  <c r="Y65" i="17"/>
  <c r="Y66" i="17"/>
  <c r="Y67" i="17"/>
  <c r="V6" i="17"/>
  <c r="V7" i="17"/>
  <c r="V8" i="17"/>
  <c r="V9" i="17"/>
  <c r="V10" i="17"/>
  <c r="V11" i="17"/>
  <c r="V12" i="17"/>
  <c r="V13" i="17"/>
  <c r="V14" i="17"/>
  <c r="V15" i="17"/>
  <c r="V16" i="17"/>
  <c r="V6" i="25" s="1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V10" i="25" s="1"/>
  <c r="V30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9" i="25" s="1"/>
  <c r="V43" i="17"/>
  <c r="V44" i="17"/>
  <c r="V45" i="17"/>
  <c r="V46" i="17"/>
  <c r="V47" i="17"/>
  <c r="V48" i="17"/>
  <c r="V49" i="17"/>
  <c r="V11" i="25" s="1"/>
  <c r="V50" i="17"/>
  <c r="V51" i="17"/>
  <c r="V52" i="17"/>
  <c r="V53" i="17"/>
  <c r="V54" i="17"/>
  <c r="V55" i="17"/>
  <c r="V56" i="17"/>
  <c r="V57" i="17"/>
  <c r="V58" i="17"/>
  <c r="V59" i="17"/>
  <c r="V60" i="17"/>
  <c r="V61" i="17"/>
  <c r="V20" i="25" s="1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5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S6" i="17"/>
  <c r="S7" i="17"/>
  <c r="S8" i="17"/>
  <c r="S9" i="17"/>
  <c r="S10" i="17"/>
  <c r="S11" i="17"/>
  <c r="S12" i="17"/>
  <c r="S13" i="17"/>
  <c r="S14" i="17"/>
  <c r="S15" i="17"/>
  <c r="S16" i="17"/>
  <c r="S6" i="25" s="1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9" i="25" s="1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P6" i="17"/>
  <c r="P7" i="17"/>
  <c r="P8" i="17"/>
  <c r="P9" i="17"/>
  <c r="P10" i="17"/>
  <c r="P11" i="17"/>
  <c r="P12" i="17"/>
  <c r="P13" i="17"/>
  <c r="P14" i="17"/>
  <c r="P15" i="17"/>
  <c r="P16" i="17"/>
  <c r="P6" i="25" s="1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12" i="25" s="1"/>
  <c r="P39" i="17"/>
  <c r="P40" i="17"/>
  <c r="P41" i="17"/>
  <c r="P42" i="17"/>
  <c r="P9" i="25" s="1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AB20" i="25" l="1"/>
  <c r="AB16" i="25"/>
  <c r="AB10" i="25"/>
  <c r="AB19" i="25"/>
  <c r="AB23" i="25"/>
  <c r="AB17" i="25"/>
  <c r="AB21" i="25"/>
  <c r="AB11" i="25"/>
  <c r="AB7" i="25"/>
  <c r="AB8" i="25"/>
  <c r="AB14" i="25"/>
  <c r="AB13" i="25"/>
  <c r="AB18" i="25"/>
  <c r="AB15" i="25"/>
  <c r="AB12" i="25"/>
  <c r="AB22" i="25"/>
  <c r="AB141" i="17"/>
  <c r="P20" i="25"/>
  <c r="P10" i="25"/>
  <c r="P16" i="25"/>
  <c r="P23" i="25"/>
  <c r="P17" i="25"/>
  <c r="P21" i="25"/>
  <c r="P19" i="25"/>
  <c r="P11" i="25"/>
  <c r="P7" i="25"/>
  <c r="P8" i="25"/>
  <c r="P22" i="25"/>
  <c r="P14" i="25"/>
  <c r="P13" i="25"/>
  <c r="P24" i="25" s="1"/>
  <c r="P18" i="25"/>
  <c r="P15" i="25"/>
  <c r="S20" i="25"/>
  <c r="S10" i="25"/>
  <c r="S16" i="25"/>
  <c r="S23" i="25"/>
  <c r="S19" i="25"/>
  <c r="S17" i="25"/>
  <c r="S21" i="25"/>
  <c r="S11" i="25"/>
  <c r="S7" i="25"/>
  <c r="S24" i="25" s="1"/>
  <c r="S8" i="25"/>
  <c r="S14" i="25"/>
  <c r="S13" i="25"/>
  <c r="S18" i="25"/>
  <c r="S15" i="25"/>
  <c r="S12" i="25"/>
  <c r="S22" i="25"/>
  <c r="V23" i="25"/>
  <c r="V19" i="25"/>
  <c r="V17" i="25"/>
  <c r="V21" i="25"/>
  <c r="V8" i="25"/>
  <c r="V7" i="25"/>
  <c r="V14" i="25"/>
  <c r="V13" i="25"/>
  <c r="V18" i="25"/>
  <c r="V15" i="25"/>
  <c r="V12" i="25"/>
  <c r="V24" i="25" s="1"/>
  <c r="V22" i="25"/>
  <c r="V16" i="25"/>
  <c r="Y110" i="17"/>
  <c r="Y133" i="17"/>
  <c r="Y125" i="17"/>
  <c r="Y117" i="17"/>
  <c r="Y109" i="17"/>
  <c r="Y101" i="17"/>
  <c r="Y93" i="17"/>
  <c r="Y85" i="17"/>
  <c r="Y77" i="17"/>
  <c r="Y69" i="17"/>
  <c r="Y21" i="17"/>
  <c r="Y102" i="17"/>
  <c r="Y132" i="17"/>
  <c r="Y124" i="17"/>
  <c r="Y116" i="17"/>
  <c r="Y108" i="17"/>
  <c r="Y100" i="17"/>
  <c r="Y92" i="17"/>
  <c r="Y17" i="25" s="1"/>
  <c r="Y84" i="17"/>
  <c r="Y76" i="17"/>
  <c r="Y68" i="17"/>
  <c r="Y86" i="17"/>
  <c r="Y131" i="17"/>
  <c r="Y123" i="17"/>
  <c r="Y115" i="17"/>
  <c r="Y107" i="17"/>
  <c r="Y99" i="17"/>
  <c r="Y91" i="17"/>
  <c r="Y83" i="17"/>
  <c r="Y75" i="17"/>
  <c r="Y19" i="17"/>
  <c r="Y126" i="17"/>
  <c r="Y78" i="17"/>
  <c r="Y138" i="17"/>
  <c r="Y130" i="17"/>
  <c r="Y122" i="17"/>
  <c r="Y114" i="17"/>
  <c r="Y8" i="25" s="1"/>
  <c r="Y106" i="17"/>
  <c r="Y98" i="17"/>
  <c r="Y90" i="17"/>
  <c r="Y82" i="17"/>
  <c r="Y74" i="17"/>
  <c r="Y94" i="17"/>
  <c r="Y137" i="17"/>
  <c r="Y129" i="17"/>
  <c r="Y121" i="17"/>
  <c r="Y113" i="17"/>
  <c r="Y105" i="17"/>
  <c r="Y97" i="17"/>
  <c r="Y89" i="17"/>
  <c r="Y81" i="17"/>
  <c r="Y73" i="17"/>
  <c r="Y20" i="25" s="1"/>
  <c r="Y49" i="17"/>
  <c r="Y11" i="25" s="1"/>
  <c r="Y134" i="17"/>
  <c r="Y70" i="17"/>
  <c r="Y140" i="17"/>
  <c r="Y12" i="25" s="1"/>
  <c r="Y136" i="17"/>
  <c r="Y13" i="25" s="1"/>
  <c r="Y128" i="17"/>
  <c r="Y120" i="17"/>
  <c r="Y112" i="17"/>
  <c r="Y104" i="17"/>
  <c r="Y96" i="17"/>
  <c r="Y88" i="17"/>
  <c r="Y80" i="17"/>
  <c r="Y72" i="17"/>
  <c r="Y118" i="17"/>
  <c r="Y139" i="17"/>
  <c r="Y135" i="17"/>
  <c r="Y127" i="17"/>
  <c r="Y119" i="17"/>
  <c r="Y111" i="17"/>
  <c r="Y103" i="17"/>
  <c r="Y95" i="17"/>
  <c r="Y87" i="17"/>
  <c r="Y79" i="17"/>
  <c r="Y71" i="17"/>
  <c r="Y55" i="17"/>
  <c r="AB24" i="25" l="1"/>
  <c r="Y21" i="25"/>
  <c r="Y7" i="25"/>
  <c r="Y141" i="17"/>
  <c r="Y15" i="25"/>
  <c r="Y10" i="25"/>
  <c r="Y19" i="25"/>
  <c r="Y14" i="25"/>
  <c r="Y18" i="25"/>
  <c r="Y23" i="25"/>
  <c r="Y16" i="25"/>
  <c r="Y24" i="25" s="1"/>
  <c r="Y22" i="25"/>
  <c r="AK140" i="62"/>
  <c r="I140" i="62"/>
  <c r="G140" i="62"/>
  <c r="F140" i="62"/>
  <c r="C140" i="62"/>
  <c r="AL117" i="62"/>
  <c r="AK80" i="62"/>
  <c r="I80" i="62"/>
  <c r="G80" i="62"/>
  <c r="F80" i="62"/>
  <c r="C80" i="62"/>
  <c r="R21" i="18" l="1"/>
  <c r="R20" i="18"/>
  <c r="Z12" i="17" l="1"/>
  <c r="AC95" i="17"/>
  <c r="AC64" i="17" l="1"/>
  <c r="AC127" i="17"/>
  <c r="AC114" i="17"/>
  <c r="AC103" i="17"/>
  <c r="AC57" i="17"/>
  <c r="AC121" i="17"/>
  <c r="AC90" i="17"/>
  <c r="AC52" i="17"/>
  <c r="AC21" i="17"/>
  <c r="AC16" i="25" s="1"/>
  <c r="AC85" i="17"/>
  <c r="AC6" i="17"/>
  <c r="AC70" i="17"/>
  <c r="AC133" i="17"/>
  <c r="AC47" i="17"/>
  <c r="AC126" i="17"/>
  <c r="Z20" i="17"/>
  <c r="Z13" i="17"/>
  <c r="Z77" i="17"/>
  <c r="Z140" i="17"/>
  <c r="Z70" i="17"/>
  <c r="Z133" i="17"/>
  <c r="Z15" i="17"/>
  <c r="Z79" i="17"/>
  <c r="Z123" i="17"/>
  <c r="Z56" i="17"/>
  <c r="Z120" i="17"/>
  <c r="Z9" i="17"/>
  <c r="Z73" i="17"/>
  <c r="Z136" i="17"/>
  <c r="Z18" i="17"/>
  <c r="Z82" i="17"/>
  <c r="Z27" i="17"/>
  <c r="AC8" i="17"/>
  <c r="AC72" i="17"/>
  <c r="AC135" i="17"/>
  <c r="AC129" i="17"/>
  <c r="AC134" i="17"/>
  <c r="AC65" i="17"/>
  <c r="AC128" i="17"/>
  <c r="AC106" i="17"/>
  <c r="AC60" i="17"/>
  <c r="AC29" i="17"/>
  <c r="AC93" i="17"/>
  <c r="AC14" i="17"/>
  <c r="AC78" i="17"/>
  <c r="Z6" i="17"/>
  <c r="AC55" i="17"/>
  <c r="Z108" i="17"/>
  <c r="Z118" i="17"/>
  <c r="Z115" i="17"/>
  <c r="Z129" i="17"/>
  <c r="Z132" i="17"/>
  <c r="Z7" i="17"/>
  <c r="Z48" i="17"/>
  <c r="Z14" i="25" s="1"/>
  <c r="Z128" i="17"/>
  <c r="Z28" i="17"/>
  <c r="Z14" i="17"/>
  <c r="Z23" i="17"/>
  <c r="Z100" i="17"/>
  <c r="Z17" i="17"/>
  <c r="Z26" i="17"/>
  <c r="AC16" i="17"/>
  <c r="AC6" i="25" s="1"/>
  <c r="AC44" i="17"/>
  <c r="AC73" i="17"/>
  <c r="AC68" i="17"/>
  <c r="AC86" i="17"/>
  <c r="Z29" i="17"/>
  <c r="Z86" i="17"/>
  <c r="Z95" i="17"/>
  <c r="Z89" i="17"/>
  <c r="Z91" i="17"/>
  <c r="AC76" i="17"/>
  <c r="AC137" i="17"/>
  <c r="AC30" i="17"/>
  <c r="AC71" i="17"/>
  <c r="Z125" i="17"/>
  <c r="Z40" i="17"/>
  <c r="Z124" i="17"/>
  <c r="Z112" i="17"/>
  <c r="Z61" i="17"/>
  <c r="Z131" i="17"/>
  <c r="Z104" i="17"/>
  <c r="Z66" i="17"/>
  <c r="Z69" i="17"/>
  <c r="Z134" i="17"/>
  <c r="Z65" i="17"/>
  <c r="Z74" i="17"/>
  <c r="Z21" i="17"/>
  <c r="Z16" i="25" s="1"/>
  <c r="Z78" i="17"/>
  <c r="Z87" i="17"/>
  <c r="Z64" i="17"/>
  <c r="Z81" i="17"/>
  <c r="Z90" i="17"/>
  <c r="AC80" i="17"/>
  <c r="AC9" i="17"/>
  <c r="AC122" i="17"/>
  <c r="AC101" i="17"/>
  <c r="AC22" i="17"/>
  <c r="AC63" i="17"/>
  <c r="Z93" i="17"/>
  <c r="Z67" i="17"/>
  <c r="Z8" i="17"/>
  <c r="Z135" i="17"/>
  <c r="Z43" i="17"/>
  <c r="Z98" i="17"/>
  <c r="AC88" i="17"/>
  <c r="AC17" i="17"/>
  <c r="AC10" i="17"/>
  <c r="AC84" i="17"/>
  <c r="AC109" i="17"/>
  <c r="AC7" i="17"/>
  <c r="Z37" i="17"/>
  <c r="Z30" i="17"/>
  <c r="Z99" i="17"/>
  <c r="Z16" i="17"/>
  <c r="Z6" i="25" s="1"/>
  <c r="Z19" i="17"/>
  <c r="Z97" i="17"/>
  <c r="Z42" i="17"/>
  <c r="Z9" i="25" s="1"/>
  <c r="Z106" i="17"/>
  <c r="AC32" i="17"/>
  <c r="AC50" i="17"/>
  <c r="AC25" i="17"/>
  <c r="AC26" i="17"/>
  <c r="AC100" i="17"/>
  <c r="AC117" i="17"/>
  <c r="AC102" i="17"/>
  <c r="AC79" i="17"/>
  <c r="Z45" i="17"/>
  <c r="Z109" i="17"/>
  <c r="Z38" i="17"/>
  <c r="Z102" i="17"/>
  <c r="Z130" i="17"/>
  <c r="Z47" i="17"/>
  <c r="Z111" i="17"/>
  <c r="Z24" i="17"/>
  <c r="Z88" i="17"/>
  <c r="Z51" i="17"/>
  <c r="Z41" i="17"/>
  <c r="Z105" i="17"/>
  <c r="Z107" i="17"/>
  <c r="Z50" i="17"/>
  <c r="Z114" i="17"/>
  <c r="Z92" i="17"/>
  <c r="AC40" i="17"/>
  <c r="AC104" i="17"/>
  <c r="AC66" i="17"/>
  <c r="AC108" i="17"/>
  <c r="AC33" i="17"/>
  <c r="AC97" i="17"/>
  <c r="AC42" i="17"/>
  <c r="AC9" i="25" s="1"/>
  <c r="AC20" i="17"/>
  <c r="AC116" i="17"/>
  <c r="AC61" i="17"/>
  <c r="AC20" i="25" s="1"/>
  <c r="AC125" i="17"/>
  <c r="AC46" i="17"/>
  <c r="AC110" i="17"/>
  <c r="AC23" i="17"/>
  <c r="AC87" i="17"/>
  <c r="Z63" i="17"/>
  <c r="Z57" i="17"/>
  <c r="Z116" i="17"/>
  <c r="Z62" i="17"/>
  <c r="Z71" i="17"/>
  <c r="Z84" i="17"/>
  <c r="Z10" i="17"/>
  <c r="Z85" i="17"/>
  <c r="Z35" i="17"/>
  <c r="Z127" i="17"/>
  <c r="Z11" i="17"/>
  <c r="Z59" i="17"/>
  <c r="AC18" i="17"/>
  <c r="AC21" i="25" s="1"/>
  <c r="AC136" i="17"/>
  <c r="AC37" i="17"/>
  <c r="Z36" i="17"/>
  <c r="Z22" i="17"/>
  <c r="Z31" i="17"/>
  <c r="Z72" i="17"/>
  <c r="Z25" i="17"/>
  <c r="Z34" i="17"/>
  <c r="AC24" i="17"/>
  <c r="AC34" i="17"/>
  <c r="AC81" i="17"/>
  <c r="AC45" i="17"/>
  <c r="AC94" i="17"/>
  <c r="Z44" i="17"/>
  <c r="Z101" i="17"/>
  <c r="Z94" i="17"/>
  <c r="Z39" i="17"/>
  <c r="Z103" i="17"/>
  <c r="Z80" i="17"/>
  <c r="Z33" i="17"/>
  <c r="Z75" i="17"/>
  <c r="Z138" i="17"/>
  <c r="AC96" i="17"/>
  <c r="AC92" i="17"/>
  <c r="AC89" i="17"/>
  <c r="AC12" i="17"/>
  <c r="AC53" i="17"/>
  <c r="AC38" i="17"/>
  <c r="AC15" i="17"/>
  <c r="Z52" i="17"/>
  <c r="Z60" i="17"/>
  <c r="Z53" i="17"/>
  <c r="Z117" i="17"/>
  <c r="Z46" i="17"/>
  <c r="Z110" i="17"/>
  <c r="Z68" i="17"/>
  <c r="Z55" i="17"/>
  <c r="Z119" i="17"/>
  <c r="Z32" i="17"/>
  <c r="Z96" i="17"/>
  <c r="Z83" i="17"/>
  <c r="Z49" i="17"/>
  <c r="Z11" i="25" s="1"/>
  <c r="Z113" i="17"/>
  <c r="Z76" i="17"/>
  <c r="Z58" i="17"/>
  <c r="Z122" i="17"/>
  <c r="Z139" i="17"/>
  <c r="AC48" i="17"/>
  <c r="AC112" i="17"/>
  <c r="AC82" i="17"/>
  <c r="AC124" i="17"/>
  <c r="AC41" i="17"/>
  <c r="AC7" i="25" s="1"/>
  <c r="AC105" i="17"/>
  <c r="AC58" i="17"/>
  <c r="AC28" i="17"/>
  <c r="AC131" i="17"/>
  <c r="AC69" i="17"/>
  <c r="AC132" i="17"/>
  <c r="AC54" i="17"/>
  <c r="AC118" i="17"/>
  <c r="AC31" i="17"/>
  <c r="AC13" i="17"/>
  <c r="AC11" i="17"/>
  <c r="AC27" i="17"/>
  <c r="AC43" i="17"/>
  <c r="AC67" i="17"/>
  <c r="AC83" i="17"/>
  <c r="AC99" i="17"/>
  <c r="AC115" i="17"/>
  <c r="AC130" i="17"/>
  <c r="AC19" i="17"/>
  <c r="AC35" i="17"/>
  <c r="AC51" i="17"/>
  <c r="AC59" i="17"/>
  <c r="AC75" i="17"/>
  <c r="AC91" i="17"/>
  <c r="AC107" i="17"/>
  <c r="AC123" i="17"/>
  <c r="AC138" i="17"/>
  <c r="AC56" i="17"/>
  <c r="AC120" i="17"/>
  <c r="AC98" i="17"/>
  <c r="AC139" i="17"/>
  <c r="AC49" i="17"/>
  <c r="AC11" i="25" s="1"/>
  <c r="AC113" i="17"/>
  <c r="AC74" i="17"/>
  <c r="AC36" i="17"/>
  <c r="AC111" i="17"/>
  <c r="AC77" i="17"/>
  <c r="AC140" i="17"/>
  <c r="AC62" i="17"/>
  <c r="AC39" i="17"/>
  <c r="AC119" i="17"/>
  <c r="Z54" i="17"/>
  <c r="Z126" i="17"/>
  <c r="Z121" i="17"/>
  <c r="Z137" i="17"/>
  <c r="AC15" i="25" l="1"/>
  <c r="AC19" i="25"/>
  <c r="AC23" i="25"/>
  <c r="AC17" i="25"/>
  <c r="AC18" i="25"/>
  <c r="AC13" i="25"/>
  <c r="AC12" i="25"/>
  <c r="AC8" i="25"/>
  <c r="AC141" i="17"/>
  <c r="AC22" i="25"/>
  <c r="AC14" i="25"/>
  <c r="AC10" i="25"/>
  <c r="Z20" i="25"/>
  <c r="Z13" i="25"/>
  <c r="Z12" i="25"/>
  <c r="Z21" i="25"/>
  <c r="Z19" i="25"/>
  <c r="Z15" i="25"/>
  <c r="Z8" i="25"/>
  <c r="Z10" i="25"/>
  <c r="Z22" i="25"/>
  <c r="Z141" i="17"/>
  <c r="Z18" i="25"/>
  <c r="Z23" i="25"/>
  <c r="Z17" i="25"/>
  <c r="Z7" i="25"/>
  <c r="Q19" i="18"/>
  <c r="Q16" i="18"/>
  <c r="Q15" i="18"/>
  <c r="AC24" i="25" l="1"/>
  <c r="Z24" i="25"/>
  <c r="I18" i="17"/>
  <c r="M18" i="17"/>
  <c r="J18" i="17" l="1"/>
  <c r="G18" i="17"/>
  <c r="M6" i="17" l="1"/>
  <c r="M7" i="17"/>
  <c r="M8" i="17"/>
  <c r="M9" i="17"/>
  <c r="M10" i="17"/>
  <c r="M11" i="17"/>
  <c r="M12" i="17"/>
  <c r="M13" i="17"/>
  <c r="M14" i="17"/>
  <c r="M15" i="17"/>
  <c r="M16" i="17"/>
  <c r="M6" i="25" s="1"/>
  <c r="M17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74" i="17"/>
  <c r="M32" i="17"/>
  <c r="M33" i="17"/>
  <c r="M34" i="17"/>
  <c r="M35" i="17"/>
  <c r="M36" i="17"/>
  <c r="M37" i="17"/>
  <c r="M38" i="17"/>
  <c r="M39" i="17"/>
  <c r="M40" i="17"/>
  <c r="M41" i="17"/>
  <c r="M7" i="25" s="1"/>
  <c r="M42" i="17"/>
  <c r="M9" i="25" s="1"/>
  <c r="M43" i="17"/>
  <c r="M44" i="17"/>
  <c r="M45" i="17"/>
  <c r="M46" i="17"/>
  <c r="M47" i="17"/>
  <c r="M48" i="17"/>
  <c r="M49" i="17"/>
  <c r="M11" i="25" s="1"/>
  <c r="M50" i="17"/>
  <c r="M51" i="17"/>
  <c r="M52" i="17"/>
  <c r="M53" i="17"/>
  <c r="M54" i="17"/>
  <c r="M55" i="17"/>
  <c r="M57" i="17"/>
  <c r="M58" i="17"/>
  <c r="M59" i="17"/>
  <c r="M60" i="17"/>
  <c r="M61" i="17"/>
  <c r="M63" i="17"/>
  <c r="M64" i="17"/>
  <c r="M65" i="17"/>
  <c r="M66" i="17"/>
  <c r="M67" i="17"/>
  <c r="M19" i="25" s="1"/>
  <c r="M68" i="17"/>
  <c r="M69" i="17"/>
  <c r="M70" i="17"/>
  <c r="M71" i="17"/>
  <c r="M72" i="17"/>
  <c r="M73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62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126" i="17"/>
  <c r="M56" i="17"/>
  <c r="M127" i="17"/>
  <c r="M128" i="17"/>
  <c r="M129" i="17"/>
  <c r="M130" i="17"/>
  <c r="M131" i="17"/>
  <c r="M132" i="17"/>
  <c r="M133" i="17"/>
  <c r="M134" i="17"/>
  <c r="M135" i="17"/>
  <c r="M136" i="17"/>
  <c r="M137" i="17"/>
  <c r="M138" i="17"/>
  <c r="M139" i="17"/>
  <c r="M140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74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7" i="17"/>
  <c r="I58" i="17"/>
  <c r="I59" i="17"/>
  <c r="I60" i="17"/>
  <c r="I61" i="17"/>
  <c r="I63" i="17"/>
  <c r="I64" i="17"/>
  <c r="I65" i="17"/>
  <c r="I66" i="17"/>
  <c r="I67" i="17"/>
  <c r="I68" i="17"/>
  <c r="I69" i="17"/>
  <c r="I70" i="17"/>
  <c r="I71" i="17"/>
  <c r="I72" i="17"/>
  <c r="I73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62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5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M20" i="25" l="1"/>
  <c r="M10" i="25"/>
  <c r="M16" i="25"/>
  <c r="M21" i="25"/>
  <c r="M17" i="25"/>
  <c r="M8" i="25"/>
  <c r="M14" i="25"/>
  <c r="M23" i="25"/>
  <c r="M13" i="25"/>
  <c r="M15" i="25"/>
  <c r="M12" i="25"/>
  <c r="M24" i="25" s="1"/>
  <c r="M18" i="25"/>
  <c r="M22" i="25"/>
  <c r="AD141" i="24"/>
  <c r="AH141" i="24"/>
  <c r="Z141" i="24"/>
  <c r="AI141" i="17" l="1"/>
  <c r="AG141" i="17" l="1"/>
  <c r="AJ141" i="17"/>
  <c r="AH141" i="17"/>
  <c r="AS141" i="17" l="1"/>
  <c r="V141" i="24" l="1"/>
  <c r="BB7" i="25" l="1"/>
  <c r="BB15" i="25"/>
  <c r="BB19" i="25"/>
  <c r="BB23" i="25"/>
  <c r="BB9" i="25"/>
  <c r="BB17" i="25"/>
  <c r="BB6" i="25"/>
  <c r="BB14" i="25"/>
  <c r="BB22" i="25"/>
  <c r="BB8" i="25"/>
  <c r="BB12" i="25"/>
  <c r="BB16" i="25"/>
  <c r="BB20" i="25"/>
  <c r="BB13" i="25"/>
  <c r="BB21" i="25"/>
  <c r="BB10" i="25"/>
  <c r="BB18" i="25"/>
  <c r="S141" i="17" l="1"/>
  <c r="T18" i="17" s="1"/>
  <c r="M141" i="17"/>
  <c r="N18" i="17" s="1"/>
  <c r="P141" i="17"/>
  <c r="Q18" i="17" s="1"/>
  <c r="V141" i="17"/>
  <c r="W18" i="17" l="1"/>
  <c r="W6" i="17"/>
  <c r="J8" i="18" l="1"/>
  <c r="J24" i="18" s="1"/>
  <c r="K14" i="18" l="1"/>
  <c r="K13" i="18"/>
  <c r="O18" i="17" s="1"/>
  <c r="J22" i="18"/>
  <c r="J23" i="18"/>
  <c r="AP18" i="17" l="1"/>
  <c r="L11" i="18"/>
  <c r="L12" i="18"/>
  <c r="R141" i="24" l="1"/>
  <c r="H6" i="18" l="1"/>
  <c r="R18" i="18" l="1"/>
  <c r="R17" i="18"/>
  <c r="N27" i="18" l="1"/>
  <c r="N28" i="18"/>
  <c r="N26" i="18"/>
  <c r="L19" i="18" l="1"/>
  <c r="O28" i="18"/>
  <c r="O27" i="18"/>
  <c r="N7" i="18"/>
  <c r="M21" i="18" l="1"/>
  <c r="M20" i="18"/>
  <c r="O19" i="18"/>
  <c r="N19" i="18"/>
  <c r="K23" i="18"/>
  <c r="O24" i="18"/>
  <c r="N24" i="18"/>
  <c r="P27" i="18"/>
  <c r="P28" i="18"/>
  <c r="N9" i="18"/>
  <c r="O9" i="18"/>
  <c r="AD95" i="17" l="1"/>
  <c r="AD133" i="17"/>
  <c r="AD46" i="17"/>
  <c r="AD103" i="17"/>
  <c r="AD100" i="17"/>
  <c r="AD28" i="17"/>
  <c r="AD93" i="17"/>
  <c r="AD110" i="17"/>
  <c r="AD29" i="17"/>
  <c r="AD59" i="17"/>
  <c r="AD107" i="17"/>
  <c r="AD32" i="17"/>
  <c r="AD54" i="17"/>
  <c r="AD99" i="17"/>
  <c r="AD9" i="17"/>
  <c r="AD67" i="17"/>
  <c r="AD117" i="17"/>
  <c r="AD84" i="17"/>
  <c r="AD137" i="17"/>
  <c r="AD73" i="17"/>
  <c r="AD121" i="17"/>
  <c r="AD18" i="17"/>
  <c r="AD86" i="17"/>
  <c r="AD83" i="17"/>
  <c r="AD56" i="17"/>
  <c r="AD108" i="17"/>
  <c r="AD124" i="17"/>
  <c r="AD134" i="17"/>
  <c r="AD96" i="17"/>
  <c r="AD135" i="17"/>
  <c r="AD119" i="17"/>
  <c r="AD72" i="17"/>
  <c r="AD69" i="17"/>
  <c r="AD115" i="17"/>
  <c r="AD122" i="17"/>
  <c r="AD126" i="17"/>
  <c r="AD118" i="17"/>
  <c r="AD76" i="17"/>
  <c r="AD132" i="17"/>
  <c r="AD41" i="17"/>
  <c r="AD7" i="25" s="1"/>
  <c r="AD16" i="17"/>
  <c r="AD6" i="25" s="1"/>
  <c r="AD78" i="17"/>
  <c r="AD128" i="17"/>
  <c r="AD44" i="17"/>
  <c r="AD80" i="17"/>
  <c r="AD35" i="17"/>
  <c r="AD26" i="17"/>
  <c r="AD109" i="17"/>
  <c r="AD57" i="17"/>
  <c r="AD125" i="17"/>
  <c r="AD114" i="17"/>
  <c r="AD130" i="17"/>
  <c r="AD85" i="17"/>
  <c r="AD136" i="17"/>
  <c r="AD31" i="17"/>
  <c r="AD77" i="17"/>
  <c r="AD82" i="17"/>
  <c r="AD120" i="17"/>
  <c r="AD40" i="17"/>
  <c r="AD97" i="17"/>
  <c r="AD140" i="17"/>
  <c r="AD27" i="17"/>
  <c r="AD17" i="17"/>
  <c r="AD8" i="25" s="1"/>
  <c r="AD55" i="17"/>
  <c r="AD111" i="17"/>
  <c r="AD66" i="17"/>
  <c r="AD139" i="17"/>
  <c r="AD61" i="17"/>
  <c r="AD127" i="17"/>
  <c r="AD123" i="17"/>
  <c r="AD105" i="17"/>
  <c r="AD68" i="17"/>
  <c r="AD112" i="17"/>
  <c r="AD38" i="17"/>
  <c r="AD106" i="17"/>
  <c r="AD12" i="17"/>
  <c r="AD65" i="17"/>
  <c r="AD15" i="17"/>
  <c r="AD74" i="17"/>
  <c r="AD52" i="17"/>
  <c r="AD47" i="17"/>
  <c r="AD6" i="17"/>
  <c r="AD33" i="17"/>
  <c r="AD113" i="17"/>
  <c r="AD43" i="17"/>
  <c r="AD131" i="17"/>
  <c r="AD63" i="17"/>
  <c r="AD98" i="17"/>
  <c r="AD36" i="17"/>
  <c r="AD25" i="17"/>
  <c r="AD81" i="17"/>
  <c r="AD50" i="17"/>
  <c r="AD62" i="17"/>
  <c r="AD58" i="17"/>
  <c r="AD60" i="17"/>
  <c r="AD45" i="17"/>
  <c r="AD34" i="17"/>
  <c r="AD17" i="25" s="1"/>
  <c r="AD70" i="17"/>
  <c r="AD7" i="17"/>
  <c r="AD89" i="17"/>
  <c r="AD48" i="17"/>
  <c r="AD14" i="25" s="1"/>
  <c r="AD14" i="17"/>
  <c r="AD51" i="17"/>
  <c r="AD138" i="17"/>
  <c r="AD88" i="17"/>
  <c r="AD102" i="17"/>
  <c r="AD101" i="17"/>
  <c r="AD53" i="17"/>
  <c r="AD104" i="17"/>
  <c r="AD94" i="17"/>
  <c r="AD8" i="17"/>
  <c r="AD13" i="17"/>
  <c r="AD20" i="17"/>
  <c r="AD75" i="17"/>
  <c r="AD37" i="17"/>
  <c r="AD71" i="17"/>
  <c r="AD91" i="17"/>
  <c r="AD10" i="17"/>
  <c r="AD92" i="17"/>
  <c r="AD129" i="17"/>
  <c r="AD24" i="17"/>
  <c r="AD13" i="25" s="1"/>
  <c r="AD19" i="17"/>
  <c r="AD22" i="17"/>
  <c r="AD90" i="17"/>
  <c r="AD30" i="17"/>
  <c r="AD42" i="17"/>
  <c r="AD9" i="25" s="1"/>
  <c r="AD39" i="17"/>
  <c r="AD116" i="17"/>
  <c r="AD21" i="17"/>
  <c r="AD16" i="25" s="1"/>
  <c r="AD49" i="17"/>
  <c r="AD11" i="25" s="1"/>
  <c r="AD79" i="17"/>
  <c r="AD87" i="17"/>
  <c r="AD23" i="17"/>
  <c r="AD11" i="17"/>
  <c r="AD64" i="17"/>
  <c r="AA12" i="17"/>
  <c r="AA6" i="17"/>
  <c r="AA107" i="17"/>
  <c r="AA7" i="17"/>
  <c r="AA71" i="17"/>
  <c r="AA17" i="17"/>
  <c r="AA101" i="17"/>
  <c r="AA66" i="17"/>
  <c r="AA15" i="17"/>
  <c r="AA78" i="17"/>
  <c r="AA90" i="17"/>
  <c r="AA21" i="17"/>
  <c r="AA18" i="17"/>
  <c r="AA88" i="17"/>
  <c r="AA33" i="17"/>
  <c r="AA74" i="17"/>
  <c r="AA110" i="17"/>
  <c r="AA65" i="17"/>
  <c r="AA103" i="17"/>
  <c r="AA130" i="17"/>
  <c r="AA136" i="17"/>
  <c r="AA105" i="17"/>
  <c r="AA132" i="17"/>
  <c r="AA25" i="17"/>
  <c r="AA29" i="17"/>
  <c r="AA52" i="17"/>
  <c r="AA104" i="17"/>
  <c r="AA48" i="17"/>
  <c r="AA14" i="25" s="1"/>
  <c r="AA118" i="17"/>
  <c r="AA121" i="17"/>
  <c r="AA37" i="17"/>
  <c r="AA22" i="17"/>
  <c r="AA61" i="17"/>
  <c r="AA80" i="17"/>
  <c r="AA112" i="17"/>
  <c r="AA97" i="17"/>
  <c r="AA19" i="17"/>
  <c r="AA133" i="17"/>
  <c r="AA102" i="17"/>
  <c r="AA73" i="17"/>
  <c r="AA59" i="17"/>
  <c r="AA100" i="17"/>
  <c r="AA72" i="17"/>
  <c r="AA23" i="17"/>
  <c r="AA119" i="17"/>
  <c r="AA56" i="17"/>
  <c r="AA122" i="17"/>
  <c r="AA43" i="17"/>
  <c r="AA35" i="17"/>
  <c r="AA28" i="17"/>
  <c r="AA36" i="17"/>
  <c r="AA91" i="17"/>
  <c r="AA134" i="17"/>
  <c r="AA93" i="17"/>
  <c r="AA126" i="17"/>
  <c r="AA16" i="17"/>
  <c r="AA6" i="25" s="1"/>
  <c r="AA70" i="17"/>
  <c r="AA62" i="17"/>
  <c r="AA129" i="17"/>
  <c r="AA116" i="17"/>
  <c r="AA115" i="17"/>
  <c r="AA44" i="17"/>
  <c r="AA13" i="17"/>
  <c r="AA138" i="17"/>
  <c r="AA131" i="17"/>
  <c r="AA63" i="17"/>
  <c r="AA108" i="17"/>
  <c r="AA85" i="17"/>
  <c r="AA128" i="17"/>
  <c r="AA89" i="17"/>
  <c r="AA81" i="17"/>
  <c r="AA96" i="17"/>
  <c r="AA64" i="17"/>
  <c r="AA54" i="17"/>
  <c r="AA41" i="17"/>
  <c r="AA9" i="17"/>
  <c r="AA51" i="17"/>
  <c r="AA120" i="17"/>
  <c r="AA58" i="17"/>
  <c r="AA124" i="17"/>
  <c r="AA11" i="17"/>
  <c r="AA14" i="17"/>
  <c r="AA92" i="17"/>
  <c r="AA27" i="17"/>
  <c r="AA114" i="17"/>
  <c r="AA82" i="17"/>
  <c r="AA34" i="17"/>
  <c r="AA57" i="17"/>
  <c r="AA8" i="17"/>
  <c r="AA117" i="17"/>
  <c r="AA40" i="17"/>
  <c r="AA53" i="17"/>
  <c r="AA69" i="17"/>
  <c r="AA139" i="17"/>
  <c r="AA38" i="17"/>
  <c r="AA140" i="17"/>
  <c r="AA109" i="17"/>
  <c r="AA77" i="17"/>
  <c r="AA75" i="17"/>
  <c r="AA137" i="17"/>
  <c r="AA55" i="17"/>
  <c r="AA24" i="17"/>
  <c r="AA13" i="25" s="1"/>
  <c r="AA123" i="17"/>
  <c r="AA111" i="17"/>
  <c r="AA79" i="17"/>
  <c r="AA84" i="17"/>
  <c r="AA86" i="17"/>
  <c r="AA87" i="17"/>
  <c r="AA98" i="17"/>
  <c r="AA45" i="17"/>
  <c r="AA68" i="17"/>
  <c r="AA113" i="17"/>
  <c r="AA39" i="17"/>
  <c r="AA95" i="17"/>
  <c r="AA94" i="17"/>
  <c r="AA125" i="17"/>
  <c r="AA32" i="17"/>
  <c r="AA99" i="17"/>
  <c r="AA49" i="17"/>
  <c r="AA11" i="25" s="1"/>
  <c r="AA30" i="17"/>
  <c r="AA46" i="17"/>
  <c r="AA127" i="17"/>
  <c r="AA10" i="17"/>
  <c r="AA31" i="17"/>
  <c r="AA76" i="17"/>
  <c r="AA106" i="17"/>
  <c r="AA20" i="17"/>
  <c r="AA42" i="17"/>
  <c r="AA9" i="25" s="1"/>
  <c r="AA83" i="17"/>
  <c r="AA26" i="17"/>
  <c r="AA60" i="17"/>
  <c r="AA47" i="17"/>
  <c r="AA50" i="17"/>
  <c r="AA67" i="17"/>
  <c r="AA19" i="25" s="1"/>
  <c r="AA135" i="17"/>
  <c r="O20" i="18"/>
  <c r="N20" i="18"/>
  <c r="O21" i="18"/>
  <c r="N21" i="18"/>
  <c r="N141" i="24"/>
  <c r="N14" i="18"/>
  <c r="L16" i="18"/>
  <c r="L15" i="18"/>
  <c r="R18" i="17" s="1"/>
  <c r="Q14" i="18"/>
  <c r="N13" i="18"/>
  <c r="AD19" i="25" l="1"/>
  <c r="AD23" i="25"/>
  <c r="AD21" i="25"/>
  <c r="AD20" i="25"/>
  <c r="AD18" i="25"/>
  <c r="AD15" i="25"/>
  <c r="AD22" i="25"/>
  <c r="AD141" i="17"/>
  <c r="AD12" i="25"/>
  <c r="AD10" i="25"/>
  <c r="AA23" i="25"/>
  <c r="AA20" i="25"/>
  <c r="AA10" i="25"/>
  <c r="AA12" i="25"/>
  <c r="AA17" i="25"/>
  <c r="AA8" i="25"/>
  <c r="AA21" i="25"/>
  <c r="AA18" i="25"/>
  <c r="AA16" i="25"/>
  <c r="AA15" i="25"/>
  <c r="AA7" i="25"/>
  <c r="AA141" i="17"/>
  <c r="AA22" i="25"/>
  <c r="M18" i="18"/>
  <c r="M17" i="18"/>
  <c r="U18" i="17" s="1"/>
  <c r="N10" i="18"/>
  <c r="L24" i="18"/>
  <c r="P10" i="18"/>
  <c r="O16" i="18"/>
  <c r="N16" i="18"/>
  <c r="R16" i="18"/>
  <c r="O15" i="18"/>
  <c r="N15" i="18"/>
  <c r="AD24" i="25" l="1"/>
  <c r="AA24" i="25"/>
  <c r="AI18" i="24"/>
  <c r="X18" i="17"/>
  <c r="X6" i="17"/>
  <c r="BB24" i="25"/>
  <c r="N11" i="18"/>
  <c r="P11" i="18"/>
  <c r="O11" i="18"/>
  <c r="P12" i="18"/>
  <c r="O12" i="18"/>
  <c r="N12" i="18"/>
  <c r="N17" i="18"/>
  <c r="Q17" i="18"/>
  <c r="O17" i="18"/>
  <c r="Q18" i="18"/>
  <c r="O18" i="18"/>
  <c r="N18" i="18"/>
  <c r="AQ18" i="17" l="1"/>
  <c r="AJ20" i="25"/>
  <c r="AJ10" i="25"/>
  <c r="AJ12" i="25"/>
  <c r="AJ13" i="25"/>
  <c r="AJ21" i="25"/>
  <c r="AJ15" i="25"/>
  <c r="AJ6" i="25"/>
  <c r="AJ17" i="25"/>
  <c r="AJ23" i="25"/>
  <c r="AJ22" i="25"/>
  <c r="AJ8" i="25"/>
  <c r="AJ9" i="25"/>
  <c r="AJ19" i="25"/>
  <c r="AJ11" i="25"/>
  <c r="AJ18" i="25"/>
  <c r="AJ14" i="25"/>
  <c r="AJ16" i="25"/>
  <c r="F141" i="17"/>
  <c r="Q59" i="17"/>
  <c r="R59" i="17" s="1"/>
  <c r="N29" i="17"/>
  <c r="W16" i="17"/>
  <c r="B141" i="24"/>
  <c r="B22" i="25"/>
  <c r="C23" i="25"/>
  <c r="B9" i="25"/>
  <c r="D11" i="25"/>
  <c r="E10" i="25"/>
  <c r="D19" i="25"/>
  <c r="C12" i="25"/>
  <c r="B13" i="25"/>
  <c r="E13" i="25"/>
  <c r="C21" i="25"/>
  <c r="D7" i="25"/>
  <c r="B15" i="25"/>
  <c r="D12" i="25"/>
  <c r="D15" i="25"/>
  <c r="C16" i="25"/>
  <c r="E14" i="25"/>
  <c r="D8" i="25"/>
  <c r="B23" i="25"/>
  <c r="E23" i="25"/>
  <c r="E19" i="25"/>
  <c r="B14" i="25"/>
  <c r="D22" i="25"/>
  <c r="D18" i="25"/>
  <c r="E7" i="25"/>
  <c r="B19" i="25"/>
  <c r="B16" i="25"/>
  <c r="C19" i="25"/>
  <c r="C15" i="25"/>
  <c r="B20" i="25"/>
  <c r="C9" i="25"/>
  <c r="E22" i="25"/>
  <c r="E17" i="25"/>
  <c r="E15" i="25"/>
  <c r="B10" i="25"/>
  <c r="E16" i="25"/>
  <c r="C7" i="25"/>
  <c r="C8" i="25"/>
  <c r="B8" i="25"/>
  <c r="E20" i="25"/>
  <c r="D13" i="25"/>
  <c r="D14" i="25"/>
  <c r="E11" i="25"/>
  <c r="C10" i="25"/>
  <c r="B11" i="25"/>
  <c r="D17" i="25"/>
  <c r="C22" i="25"/>
  <c r="B17" i="25"/>
  <c r="E21" i="25"/>
  <c r="C11" i="25"/>
  <c r="B21" i="25"/>
  <c r="C14" i="25"/>
  <c r="B7" i="25"/>
  <c r="C18" i="25"/>
  <c r="D16" i="25"/>
  <c r="D9" i="25"/>
  <c r="D20" i="25"/>
  <c r="E18" i="25"/>
  <c r="B12" i="25"/>
  <c r="E8" i="25"/>
  <c r="E12" i="25"/>
  <c r="C13" i="25"/>
  <c r="D21" i="25"/>
  <c r="C20" i="25"/>
  <c r="D23" i="25"/>
  <c r="E9" i="25"/>
  <c r="C17" i="25"/>
  <c r="D10" i="25"/>
  <c r="B18" i="25"/>
  <c r="B6" i="25"/>
  <c r="C6" i="25"/>
  <c r="D6" i="25"/>
  <c r="E6" i="25"/>
  <c r="O29" i="17" l="1"/>
  <c r="X16" i="17"/>
  <c r="X6" i="25" s="1"/>
  <c r="W6" i="25"/>
  <c r="AJ24" i="25"/>
  <c r="N37" i="17"/>
  <c r="Q39" i="17"/>
  <c r="R39" i="17" s="1"/>
  <c r="Q137" i="17"/>
  <c r="R137" i="17" s="1"/>
  <c r="N104" i="17"/>
  <c r="O104" i="17" s="1"/>
  <c r="N116" i="17"/>
  <c r="N108" i="17"/>
  <c r="N30" i="17"/>
  <c r="N10" i="17"/>
  <c r="N38" i="17"/>
  <c r="N24" i="17"/>
  <c r="N13" i="25" s="1"/>
  <c r="N82" i="17"/>
  <c r="N12" i="17"/>
  <c r="O12" i="17" s="1"/>
  <c r="T98" i="17"/>
  <c r="U98" i="17" s="1"/>
  <c r="T136" i="17"/>
  <c r="U136" i="17" s="1"/>
  <c r="T102" i="17"/>
  <c r="U102" i="17" s="1"/>
  <c r="T137" i="17"/>
  <c r="U137" i="17" s="1"/>
  <c r="Q138" i="17"/>
  <c r="R138" i="17" s="1"/>
  <c r="Q125" i="17"/>
  <c r="R125" i="17" s="1"/>
  <c r="T85" i="17"/>
  <c r="U85" i="17" s="1"/>
  <c r="T36" i="17"/>
  <c r="U36" i="17" s="1"/>
  <c r="Q92" i="17"/>
  <c r="R92" i="17" s="1"/>
  <c r="T129" i="17"/>
  <c r="U129" i="17" s="1"/>
  <c r="Q47" i="17"/>
  <c r="R47" i="17" s="1"/>
  <c r="N84" i="17"/>
  <c r="T134" i="17"/>
  <c r="U134" i="17" s="1"/>
  <c r="T60" i="17"/>
  <c r="U60" i="17" s="1"/>
  <c r="Q109" i="17"/>
  <c r="R109" i="17" s="1"/>
  <c r="T41" i="17"/>
  <c r="T57" i="17"/>
  <c r="U57" i="17" s="1"/>
  <c r="T81" i="17"/>
  <c r="U81" i="17" s="1"/>
  <c r="Q97" i="17"/>
  <c r="R97" i="17" s="1"/>
  <c r="Q84" i="17"/>
  <c r="R84" i="17" s="1"/>
  <c r="T74" i="17"/>
  <c r="U74" i="17" s="1"/>
  <c r="Q103" i="17"/>
  <c r="R103" i="17" s="1"/>
  <c r="T20" i="17"/>
  <c r="U20" i="17" s="1"/>
  <c r="Q87" i="17"/>
  <c r="R87" i="17" s="1"/>
  <c r="Q86" i="17"/>
  <c r="R86" i="17" s="1"/>
  <c r="T82" i="17"/>
  <c r="U82" i="17" s="1"/>
  <c r="T62" i="17"/>
  <c r="U62" i="17" s="1"/>
  <c r="Q63" i="17"/>
  <c r="R63" i="17" s="1"/>
  <c r="Q48" i="17"/>
  <c r="Q50" i="17"/>
  <c r="R50" i="17" s="1"/>
  <c r="T54" i="17"/>
  <c r="U54" i="17" s="1"/>
  <c r="T13" i="17"/>
  <c r="U13" i="17" s="1"/>
  <c r="T29" i="17"/>
  <c r="T12" i="17"/>
  <c r="U12" i="17" s="1"/>
  <c r="T124" i="17"/>
  <c r="U124" i="17" s="1"/>
  <c r="T11" i="17"/>
  <c r="U11" i="17" s="1"/>
  <c r="T21" i="17"/>
  <c r="Q25" i="17"/>
  <c r="R25" i="17" s="1"/>
  <c r="T97" i="17"/>
  <c r="U97" i="17" s="1"/>
  <c r="T128" i="17"/>
  <c r="U128" i="17" s="1"/>
  <c r="T80" i="17"/>
  <c r="U80" i="17" s="1"/>
  <c r="T86" i="17"/>
  <c r="U86" i="17" s="1"/>
  <c r="T27" i="17"/>
  <c r="U27" i="17" s="1"/>
  <c r="Q80" i="17"/>
  <c r="R80" i="17" s="1"/>
  <c r="Q32" i="17"/>
  <c r="R32" i="17" s="1"/>
  <c r="Q6" i="17"/>
  <c r="Q88" i="17"/>
  <c r="R88" i="17" s="1"/>
  <c r="Q124" i="17"/>
  <c r="R124" i="17" s="1"/>
  <c r="T17" i="17"/>
  <c r="T34" i="17"/>
  <c r="T125" i="17"/>
  <c r="U125" i="17" s="1"/>
  <c r="T114" i="17"/>
  <c r="U114" i="17" s="1"/>
  <c r="T67" i="17"/>
  <c r="T130" i="17"/>
  <c r="U130" i="17" s="1"/>
  <c r="Q26" i="17"/>
  <c r="R26" i="17" s="1"/>
  <c r="Q69" i="17"/>
  <c r="R69" i="17" s="1"/>
  <c r="T133" i="17"/>
  <c r="U133" i="17" s="1"/>
  <c r="T50" i="17"/>
  <c r="U50" i="17" s="1"/>
  <c r="T123" i="17"/>
  <c r="U123" i="17" s="1"/>
  <c r="T66" i="17"/>
  <c r="U66" i="17" s="1"/>
  <c r="T72" i="17"/>
  <c r="U72" i="17" s="1"/>
  <c r="Q78" i="17"/>
  <c r="Q96" i="17"/>
  <c r="R96" i="17" s="1"/>
  <c r="Q81" i="17"/>
  <c r="R81" i="17" s="1"/>
  <c r="Q76" i="17"/>
  <c r="Q101" i="17"/>
  <c r="R101" i="17" s="1"/>
  <c r="Q12" i="17"/>
  <c r="R12" i="17" s="1"/>
  <c r="N61" i="17"/>
  <c r="N90" i="17"/>
  <c r="N74" i="17"/>
  <c r="N122" i="17"/>
  <c r="N131" i="17"/>
  <c r="N8" i="17"/>
  <c r="N26" i="17"/>
  <c r="N46" i="17"/>
  <c r="N106" i="17"/>
  <c r="N86" i="17"/>
  <c r="N55" i="17"/>
  <c r="N36" i="17"/>
  <c r="N70" i="17"/>
  <c r="N54" i="17"/>
  <c r="N7" i="17"/>
  <c r="N11" i="17"/>
  <c r="N83" i="17"/>
  <c r="N31" i="17"/>
  <c r="N10" i="25" s="1"/>
  <c r="N124" i="17"/>
  <c r="N41" i="17"/>
  <c r="N103" i="17"/>
  <c r="N60" i="17"/>
  <c r="N25" i="17"/>
  <c r="N94" i="17"/>
  <c r="N89" i="17"/>
  <c r="N88" i="17"/>
  <c r="N9" i="17"/>
  <c r="N80" i="17"/>
  <c r="N95" i="17"/>
  <c r="N91" i="17"/>
  <c r="N99" i="17"/>
  <c r="N48" i="17"/>
  <c r="N14" i="25" s="1"/>
  <c r="N112" i="17"/>
  <c r="N140" i="17"/>
  <c r="N75" i="17"/>
  <c r="N32" i="17"/>
  <c r="N136" i="17"/>
  <c r="N67" i="17"/>
  <c r="N6" i="17"/>
  <c r="T111" i="17"/>
  <c r="U111" i="17" s="1"/>
  <c r="T110" i="17"/>
  <c r="U110" i="17" s="1"/>
  <c r="T88" i="17"/>
  <c r="U88" i="17" s="1"/>
  <c r="T76" i="17"/>
  <c r="T84" i="17"/>
  <c r="U84" i="17" s="1"/>
  <c r="T78" i="17"/>
  <c r="Q128" i="17"/>
  <c r="R128" i="17" s="1"/>
  <c r="Q52" i="17"/>
  <c r="R52" i="17" s="1"/>
  <c r="Q105" i="17"/>
  <c r="R105" i="17" s="1"/>
  <c r="T56" i="17"/>
  <c r="U56" i="17" s="1"/>
  <c r="T127" i="17"/>
  <c r="U127" i="17" s="1"/>
  <c r="T83" i="17"/>
  <c r="U83" i="17" s="1"/>
  <c r="T131" i="17"/>
  <c r="U131" i="17" s="1"/>
  <c r="T108" i="17"/>
  <c r="U108" i="17" s="1"/>
  <c r="T101" i="17"/>
  <c r="U101" i="17" s="1"/>
  <c r="Q99" i="17"/>
  <c r="R99" i="17" s="1"/>
  <c r="Q114" i="17"/>
  <c r="R114" i="17" s="1"/>
  <c r="Q9" i="17"/>
  <c r="R9" i="17" s="1"/>
  <c r="Q90" i="17"/>
  <c r="R90" i="17" s="1"/>
  <c r="Q112" i="17"/>
  <c r="R112" i="17" s="1"/>
  <c r="T77" i="17"/>
  <c r="U77" i="17" s="1"/>
  <c r="C24" i="25"/>
  <c r="B24" i="25"/>
  <c r="E24" i="25"/>
  <c r="D24" i="25"/>
  <c r="T40" i="17"/>
  <c r="U40" i="17" s="1"/>
  <c r="T55" i="17"/>
  <c r="U55" i="17" s="1"/>
  <c r="T44" i="17"/>
  <c r="U44" i="17" s="1"/>
  <c r="T112" i="17"/>
  <c r="U112" i="17" s="1"/>
  <c r="T52" i="17"/>
  <c r="U52" i="17" s="1"/>
  <c r="T33" i="17"/>
  <c r="U33" i="17" s="1"/>
  <c r="T106" i="17"/>
  <c r="U106" i="17" s="1"/>
  <c r="T37" i="17"/>
  <c r="U37" i="17" s="1"/>
  <c r="T22" i="17"/>
  <c r="U22" i="17" s="1"/>
  <c r="T51" i="17"/>
  <c r="U51" i="17" s="1"/>
  <c r="T113" i="17"/>
  <c r="U113" i="17" s="1"/>
  <c r="T31" i="17"/>
  <c r="U31" i="17" s="1"/>
  <c r="T99" i="17"/>
  <c r="U99" i="17" s="1"/>
  <c r="T95" i="17"/>
  <c r="U95" i="17" s="1"/>
  <c r="T93" i="17"/>
  <c r="U93" i="17" s="1"/>
  <c r="T121" i="17"/>
  <c r="U121" i="17" s="1"/>
  <c r="T59" i="17"/>
  <c r="U59" i="17" s="1"/>
  <c r="T117" i="17"/>
  <c r="U117" i="17" s="1"/>
  <c r="T23" i="17"/>
  <c r="T45" i="17"/>
  <c r="U45" i="17" s="1"/>
  <c r="T46" i="17"/>
  <c r="U46" i="17" s="1"/>
  <c r="T58" i="17"/>
  <c r="U58" i="17" s="1"/>
  <c r="T87" i="17"/>
  <c r="U87" i="17" s="1"/>
  <c r="T104" i="17"/>
  <c r="U104" i="17" s="1"/>
  <c r="T16" i="17"/>
  <c r="T118" i="17"/>
  <c r="U118" i="17" s="1"/>
  <c r="T139" i="17"/>
  <c r="U139" i="17" s="1"/>
  <c r="T43" i="17"/>
  <c r="U43" i="17" s="1"/>
  <c r="T138" i="17"/>
  <c r="U138" i="17" s="1"/>
  <c r="T126" i="17"/>
  <c r="U126" i="17" s="1"/>
  <c r="T92" i="17"/>
  <c r="U92" i="17" s="1"/>
  <c r="T26" i="17"/>
  <c r="U26" i="17" s="1"/>
  <c r="T48" i="17"/>
  <c r="T122" i="17"/>
  <c r="U122" i="17" s="1"/>
  <c r="T140" i="17"/>
  <c r="U140" i="17" s="1"/>
  <c r="T15" i="17"/>
  <c r="U15" i="17" s="1"/>
  <c r="T8" i="17"/>
  <c r="U8" i="17" s="1"/>
  <c r="T109" i="17"/>
  <c r="U109" i="17" s="1"/>
  <c r="T89" i="17"/>
  <c r="U89" i="17" s="1"/>
  <c r="T105" i="17"/>
  <c r="U105" i="17" s="1"/>
  <c r="T32" i="17"/>
  <c r="U32" i="17" s="1"/>
  <c r="T71" i="17"/>
  <c r="U71" i="17" s="1"/>
  <c r="T96" i="17"/>
  <c r="U96" i="17" s="1"/>
  <c r="T70" i="17"/>
  <c r="U70" i="17" s="1"/>
  <c r="T49" i="17"/>
  <c r="T24" i="17"/>
  <c r="T132" i="17"/>
  <c r="U132" i="17" s="1"/>
  <c r="T73" i="17"/>
  <c r="U73" i="17" s="1"/>
  <c r="T35" i="17"/>
  <c r="U35" i="17" s="1"/>
  <c r="T53" i="17"/>
  <c r="U53" i="17" s="1"/>
  <c r="T100" i="17"/>
  <c r="U100" i="17" s="1"/>
  <c r="T39" i="17"/>
  <c r="U39" i="17" s="1"/>
  <c r="T47" i="17"/>
  <c r="U47" i="17" s="1"/>
  <c r="T10" i="17"/>
  <c r="U10" i="17" s="1"/>
  <c r="T79" i="17"/>
  <c r="U79" i="17" s="1"/>
  <c r="T69" i="17"/>
  <c r="U69" i="17" s="1"/>
  <c r="T14" i="17"/>
  <c r="U14" i="17" s="1"/>
  <c r="T120" i="17"/>
  <c r="U120" i="17" s="1"/>
  <c r="T65" i="17"/>
  <c r="U65" i="17" s="1"/>
  <c r="T6" i="17"/>
  <c r="T38" i="17"/>
  <c r="T135" i="17"/>
  <c r="U135" i="17" s="1"/>
  <c r="T107" i="17"/>
  <c r="U107" i="17" s="1"/>
  <c r="T68" i="17"/>
  <c r="U68" i="17" s="1"/>
  <c r="T94" i="17"/>
  <c r="U94" i="17" s="1"/>
  <c r="T119" i="17"/>
  <c r="U119" i="17" s="1"/>
  <c r="T63" i="17"/>
  <c r="U63" i="17" s="1"/>
  <c r="T90" i="17"/>
  <c r="U90" i="17" s="1"/>
  <c r="T30" i="17"/>
  <c r="U30" i="17" s="1"/>
  <c r="T103" i="17"/>
  <c r="U103" i="17" s="1"/>
  <c r="T28" i="17"/>
  <c r="U28" i="17" s="1"/>
  <c r="T7" i="17"/>
  <c r="T9" i="17"/>
  <c r="U9" i="17" s="1"/>
  <c r="T64" i="17"/>
  <c r="U64" i="17" s="1"/>
  <c r="T75" i="17"/>
  <c r="U75" i="17" s="1"/>
  <c r="T61" i="17"/>
  <c r="T91" i="17"/>
  <c r="U91" i="17" s="1"/>
  <c r="T116" i="17"/>
  <c r="U116" i="17" s="1"/>
  <c r="T42" i="17"/>
  <c r="T25" i="17"/>
  <c r="U25" i="17" s="1"/>
  <c r="T19" i="17"/>
  <c r="U19" i="17" s="1"/>
  <c r="T115" i="17"/>
  <c r="U115" i="17" s="1"/>
  <c r="N42" i="17"/>
  <c r="N9" i="25" s="1"/>
  <c r="N13" i="17"/>
  <c r="N65" i="17"/>
  <c r="N58" i="17"/>
  <c r="N47" i="17"/>
  <c r="N109" i="17"/>
  <c r="N96" i="17"/>
  <c r="N53" i="17"/>
  <c r="N114" i="17"/>
  <c r="N105" i="17"/>
  <c r="N51" i="17"/>
  <c r="N21" i="17"/>
  <c r="N125" i="17"/>
  <c r="N16" i="17"/>
  <c r="N6" i="25" s="1"/>
  <c r="N69" i="17"/>
  <c r="N121" i="17"/>
  <c r="W72" i="17"/>
  <c r="X72" i="17" s="1"/>
  <c r="Q75" i="17"/>
  <c r="R75" i="17" s="1"/>
  <c r="W13" i="17"/>
  <c r="X13" i="17" s="1"/>
  <c r="W34" i="17"/>
  <c r="W64" i="17"/>
  <c r="X64" i="17" s="1"/>
  <c r="W51" i="17"/>
  <c r="X51" i="17" s="1"/>
  <c r="W102" i="17"/>
  <c r="X102" i="17" s="1"/>
  <c r="N64" i="17"/>
  <c r="N50" i="17"/>
  <c r="N73" i="17"/>
  <c r="Q83" i="17"/>
  <c r="R83" i="17" s="1"/>
  <c r="N81" i="17"/>
  <c r="N57" i="17"/>
  <c r="N102" i="17"/>
  <c r="N56" i="17"/>
  <c r="N129" i="17"/>
  <c r="N137" i="17"/>
  <c r="N68" i="17"/>
  <c r="N87" i="17"/>
  <c r="N62" i="17"/>
  <c r="Q129" i="17"/>
  <c r="R129" i="17" s="1"/>
  <c r="W93" i="17"/>
  <c r="X93" i="17" s="1"/>
  <c r="W15" i="17"/>
  <c r="X15" i="17" s="1"/>
  <c r="N20" i="17"/>
  <c r="N134" i="17"/>
  <c r="N59" i="17"/>
  <c r="N28" i="17"/>
  <c r="N111" i="17"/>
  <c r="N133" i="17"/>
  <c r="N23" i="17"/>
  <c r="N18" i="25" s="1"/>
  <c r="N63" i="17"/>
  <c r="N118" i="17"/>
  <c r="N101" i="17"/>
  <c r="Q98" i="17"/>
  <c r="R98" i="17" s="1"/>
  <c r="Q35" i="17"/>
  <c r="R35" i="17" s="1"/>
  <c r="Q51" i="17"/>
  <c r="R51" i="17" s="1"/>
  <c r="Q72" i="17"/>
  <c r="R72" i="17" s="1"/>
  <c r="N72" i="17"/>
  <c r="N71" i="17"/>
  <c r="N98" i="17"/>
  <c r="N115" i="17"/>
  <c r="N100" i="17"/>
  <c r="N117" i="17"/>
  <c r="N14" i="17"/>
  <c r="N138" i="17"/>
  <c r="N128" i="17"/>
  <c r="N120" i="17"/>
  <c r="N130" i="17"/>
  <c r="N22" i="17"/>
  <c r="N97" i="17"/>
  <c r="N66" i="17"/>
  <c r="N139" i="17"/>
  <c r="N40" i="17"/>
  <c r="N44" i="17"/>
  <c r="N34" i="17"/>
  <c r="N17" i="25" s="1"/>
  <c r="N45" i="17"/>
  <c r="N77" i="17"/>
  <c r="W40" i="17"/>
  <c r="X40" i="17" s="1"/>
  <c r="W91" i="17"/>
  <c r="X91" i="17" s="1"/>
  <c r="W10" i="17"/>
  <c r="X10" i="17" s="1"/>
  <c r="Q43" i="17"/>
  <c r="R43" i="17" s="1"/>
  <c r="N79" i="17"/>
  <c r="O79" i="17" s="1"/>
  <c r="N33" i="17"/>
  <c r="O33" i="17" s="1"/>
  <c r="N39" i="17"/>
  <c r="N78" i="17"/>
  <c r="N21" i="25" s="1"/>
  <c r="N107" i="17"/>
  <c r="N15" i="17"/>
  <c r="N93" i="17"/>
  <c r="N35" i="17"/>
  <c r="N127" i="17"/>
  <c r="N119" i="17"/>
  <c r="N76" i="17"/>
  <c r="N110" i="17"/>
  <c r="N92" i="17"/>
  <c r="N43" i="17"/>
  <c r="N19" i="17"/>
  <c r="N123" i="17"/>
  <c r="N85" i="17"/>
  <c r="N27" i="17"/>
  <c r="N113" i="17"/>
  <c r="N126" i="17"/>
  <c r="N49" i="17"/>
  <c r="N135" i="17"/>
  <c r="N17" i="17"/>
  <c r="N52" i="17"/>
  <c r="N132" i="17"/>
  <c r="W22" i="17"/>
  <c r="X22" i="17" s="1"/>
  <c r="W101" i="17"/>
  <c r="X101" i="17" s="1"/>
  <c r="W19" i="17"/>
  <c r="X19" i="17" s="1"/>
  <c r="W87" i="17"/>
  <c r="X87" i="17" s="1"/>
  <c r="W111" i="17"/>
  <c r="X111" i="17" s="1"/>
  <c r="W69" i="17"/>
  <c r="X69" i="17" s="1"/>
  <c r="W139" i="17"/>
  <c r="X139" i="17" s="1"/>
  <c r="W27" i="17"/>
  <c r="X27" i="17" s="1"/>
  <c r="W17" i="17"/>
  <c r="W123" i="17"/>
  <c r="X123" i="17" s="1"/>
  <c r="W63" i="17"/>
  <c r="X63" i="17" s="1"/>
  <c r="W83" i="17"/>
  <c r="X83" i="17" s="1"/>
  <c r="W113" i="17"/>
  <c r="X113" i="17" s="1"/>
  <c r="W84" i="17"/>
  <c r="X84" i="17" s="1"/>
  <c r="W128" i="17"/>
  <c r="X128" i="17" s="1"/>
  <c r="W77" i="17"/>
  <c r="X77" i="17" s="1"/>
  <c r="W24" i="17"/>
  <c r="W55" i="17"/>
  <c r="X55" i="17" s="1"/>
  <c r="W133" i="17"/>
  <c r="X133" i="17" s="1"/>
  <c r="W38" i="17"/>
  <c r="W73" i="17"/>
  <c r="X73" i="17" s="1"/>
  <c r="W116" i="17"/>
  <c r="X116" i="17" s="1"/>
  <c r="W124" i="17"/>
  <c r="X124" i="17" s="1"/>
  <c r="W48" i="17"/>
  <c r="W54" i="17"/>
  <c r="X54" i="17" s="1"/>
  <c r="W28" i="17"/>
  <c r="X28" i="17" s="1"/>
  <c r="W35" i="17"/>
  <c r="X35" i="17" s="1"/>
  <c r="W108" i="17"/>
  <c r="X108" i="17" s="1"/>
  <c r="W103" i="17"/>
  <c r="X103" i="17" s="1"/>
  <c r="W42" i="17"/>
  <c r="W21" i="17"/>
  <c r="W9" i="17"/>
  <c r="W57" i="17"/>
  <c r="X57" i="17" s="1"/>
  <c r="W96" i="17"/>
  <c r="X96" i="17" s="1"/>
  <c r="W44" i="17"/>
  <c r="X44" i="17" s="1"/>
  <c r="W135" i="17"/>
  <c r="X135" i="17" s="1"/>
  <c r="W90" i="17"/>
  <c r="X90" i="17" s="1"/>
  <c r="W75" i="17"/>
  <c r="X75" i="17" s="1"/>
  <c r="W86" i="17"/>
  <c r="X86" i="17" s="1"/>
  <c r="W112" i="17"/>
  <c r="X112" i="17" s="1"/>
  <c r="W60" i="17"/>
  <c r="X60" i="17" s="1"/>
  <c r="W138" i="17"/>
  <c r="X138" i="17" s="1"/>
  <c r="W129" i="17"/>
  <c r="X129" i="17" s="1"/>
  <c r="W20" i="17"/>
  <c r="X20" i="17" s="1"/>
  <c r="W71" i="17"/>
  <c r="X71" i="17" s="1"/>
  <c r="W127" i="17"/>
  <c r="X127" i="17" s="1"/>
  <c r="W122" i="17"/>
  <c r="X122" i="17" s="1"/>
  <c r="W89" i="17"/>
  <c r="X89" i="17" s="1"/>
  <c r="W140" i="17"/>
  <c r="X140" i="17" s="1"/>
  <c r="W41" i="17"/>
  <c r="W92" i="17"/>
  <c r="X92" i="17" s="1"/>
  <c r="W121" i="17"/>
  <c r="X121" i="17" s="1"/>
  <c r="W78" i="17"/>
  <c r="W99" i="17"/>
  <c r="X99" i="17" s="1"/>
  <c r="W120" i="17"/>
  <c r="X120" i="17" s="1"/>
  <c r="W67" i="17"/>
  <c r="W68" i="17"/>
  <c r="X68" i="17" s="1"/>
  <c r="W12" i="17"/>
  <c r="X12" i="17" s="1"/>
  <c r="W131" i="17"/>
  <c r="X131" i="17" s="1"/>
  <c r="W26" i="17"/>
  <c r="X26" i="17" s="1"/>
  <c r="W56" i="17"/>
  <c r="X56" i="17" s="1"/>
  <c r="W82" i="17"/>
  <c r="X82" i="17" s="1"/>
  <c r="W7" i="17"/>
  <c r="W50" i="17"/>
  <c r="X50" i="17" s="1"/>
  <c r="W94" i="17"/>
  <c r="X94" i="17" s="1"/>
  <c r="W30" i="17"/>
  <c r="X30" i="17" s="1"/>
  <c r="W80" i="17"/>
  <c r="X80" i="17" s="1"/>
  <c r="Q115" i="17"/>
  <c r="R115" i="17" s="1"/>
  <c r="Q119" i="17"/>
  <c r="R119" i="17" s="1"/>
  <c r="Q91" i="17"/>
  <c r="R91" i="17" s="1"/>
  <c r="Q64" i="17"/>
  <c r="R64" i="17" s="1"/>
  <c r="Q117" i="17"/>
  <c r="R117" i="17" s="1"/>
  <c r="Q126" i="17"/>
  <c r="R126" i="17" s="1"/>
  <c r="Q122" i="17"/>
  <c r="R122" i="17" s="1"/>
  <c r="Q118" i="17"/>
  <c r="R118" i="17" s="1"/>
  <c r="Q10" i="17"/>
  <c r="R10" i="17" s="1"/>
  <c r="Q15" i="17"/>
  <c r="R15" i="17" s="1"/>
  <c r="Q82" i="17"/>
  <c r="R82" i="17" s="1"/>
  <c r="Q29" i="17"/>
  <c r="Q104" i="17"/>
  <c r="R104" i="17" s="1"/>
  <c r="Q61" i="17"/>
  <c r="Q132" i="17"/>
  <c r="R132" i="17" s="1"/>
  <c r="Q70" i="17"/>
  <c r="R70" i="17" s="1"/>
  <c r="Q100" i="17"/>
  <c r="R100" i="17" s="1"/>
  <c r="Q13" i="17"/>
  <c r="R13" i="17" s="1"/>
  <c r="Q94" i="17"/>
  <c r="R94" i="17" s="1"/>
  <c r="Q106" i="17"/>
  <c r="R106" i="17" s="1"/>
  <c r="AI106" i="24" s="1"/>
  <c r="Q107" i="17"/>
  <c r="R107" i="17" s="1"/>
  <c r="Q79" i="17"/>
  <c r="R79" i="17" s="1"/>
  <c r="Q19" i="17"/>
  <c r="R19" i="17" s="1"/>
  <c r="Q44" i="17"/>
  <c r="R44" i="17" s="1"/>
  <c r="Q68" i="17"/>
  <c r="R68" i="17" s="1"/>
  <c r="Q85" i="17"/>
  <c r="R85" i="17" s="1"/>
  <c r="Q36" i="17"/>
  <c r="R36" i="17" s="1"/>
  <c r="Q14" i="17"/>
  <c r="R14" i="17" s="1"/>
  <c r="Q89" i="17"/>
  <c r="R89" i="17" s="1"/>
  <c r="Q40" i="17"/>
  <c r="R40" i="17" s="1"/>
  <c r="Q34" i="17"/>
  <c r="Q16" i="17"/>
  <c r="Q55" i="17"/>
  <c r="R55" i="17" s="1"/>
  <c r="Q8" i="17"/>
  <c r="R8" i="17" s="1"/>
  <c r="Q11" i="17"/>
  <c r="R11" i="17" s="1"/>
  <c r="Q31" i="17"/>
  <c r="R31" i="17" s="1"/>
  <c r="Q134" i="17"/>
  <c r="R134" i="17" s="1"/>
  <c r="Q139" i="17"/>
  <c r="R139" i="17" s="1"/>
  <c r="Q38" i="17"/>
  <c r="Q17" i="17"/>
  <c r="Q21" i="17"/>
  <c r="Q136" i="17"/>
  <c r="R136" i="17" s="1"/>
  <c r="Q121" i="17"/>
  <c r="R121" i="17" s="1"/>
  <c r="Q28" i="17"/>
  <c r="R28" i="17" s="1"/>
  <c r="Q49" i="17"/>
  <c r="Q27" i="17"/>
  <c r="R27" i="17" s="1"/>
  <c r="Q71" i="17"/>
  <c r="R71" i="17" s="1"/>
  <c r="Q53" i="17"/>
  <c r="R53" i="17" s="1"/>
  <c r="Q67" i="17"/>
  <c r="Q93" i="17"/>
  <c r="R93" i="17" s="1"/>
  <c r="Q33" i="17"/>
  <c r="R33" i="17" s="1"/>
  <c r="Q77" i="17"/>
  <c r="R77" i="17" s="1"/>
  <c r="Q127" i="17"/>
  <c r="R127" i="17" s="1"/>
  <c r="Q113" i="17"/>
  <c r="R113" i="17" s="1"/>
  <c r="Q131" i="17"/>
  <c r="R131" i="17" s="1"/>
  <c r="Q22" i="17"/>
  <c r="R22" i="17" s="1"/>
  <c r="Q45" i="17"/>
  <c r="R45" i="17" s="1"/>
  <c r="Q41" i="17"/>
  <c r="Q111" i="17"/>
  <c r="R111" i="17" s="1"/>
  <c r="Q102" i="17"/>
  <c r="R102" i="17" s="1"/>
  <c r="Q46" i="17"/>
  <c r="R46" i="17" s="1"/>
  <c r="Q66" i="17"/>
  <c r="R66" i="17" s="1"/>
  <c r="Q110" i="17"/>
  <c r="R110" i="17" s="1"/>
  <c r="Q73" i="17"/>
  <c r="R73" i="17" s="1"/>
  <c r="Q54" i="17"/>
  <c r="R54" i="17" s="1"/>
  <c r="Q74" i="17"/>
  <c r="R74" i="17" s="1"/>
  <c r="Q30" i="17"/>
  <c r="R30" i="17" s="1"/>
  <c r="Q60" i="17"/>
  <c r="R60" i="17" s="1"/>
  <c r="Q135" i="17"/>
  <c r="R135" i="17" s="1"/>
  <c r="Q130" i="17"/>
  <c r="R130" i="17" s="1"/>
  <c r="Q56" i="17"/>
  <c r="R56" i="17" s="1"/>
  <c r="Q62" i="17"/>
  <c r="R62" i="17" s="1"/>
  <c r="Q20" i="17"/>
  <c r="R20" i="17" s="1"/>
  <c r="AI20" i="24" s="1"/>
  <c r="Q37" i="17"/>
  <c r="R37" i="17" s="1"/>
  <c r="Q108" i="17"/>
  <c r="R108" i="17" s="1"/>
  <c r="Q58" i="17"/>
  <c r="R58" i="17" s="1"/>
  <c r="W46" i="17"/>
  <c r="X46" i="17" s="1"/>
  <c r="W95" i="17"/>
  <c r="X95" i="17" s="1"/>
  <c r="W39" i="17"/>
  <c r="X39" i="17" s="1"/>
  <c r="W132" i="17"/>
  <c r="X132" i="17" s="1"/>
  <c r="W88" i="17"/>
  <c r="X88" i="17" s="1"/>
  <c r="W79" i="17"/>
  <c r="X79" i="17" s="1"/>
  <c r="W85" i="17"/>
  <c r="X85" i="17" s="1"/>
  <c r="Q133" i="17"/>
  <c r="R133" i="17" s="1"/>
  <c r="Q42" i="17"/>
  <c r="Q120" i="17"/>
  <c r="R120" i="17" s="1"/>
  <c r="Q95" i="17"/>
  <c r="R95" i="17" s="1"/>
  <c r="Q65" i="17"/>
  <c r="R65" i="17" s="1"/>
  <c r="Q24" i="17"/>
  <c r="Q116" i="17"/>
  <c r="R116" i="17" s="1"/>
  <c r="W11" i="17"/>
  <c r="X11" i="17" s="1"/>
  <c r="W115" i="17"/>
  <c r="X115" i="17" s="1"/>
  <c r="W43" i="17"/>
  <c r="X43" i="17" s="1"/>
  <c r="W52" i="17"/>
  <c r="X52" i="17" s="1"/>
  <c r="W23" i="17"/>
  <c r="W110" i="17"/>
  <c r="X110" i="17" s="1"/>
  <c r="W125" i="17"/>
  <c r="X125" i="17" s="1"/>
  <c r="W134" i="17"/>
  <c r="X134" i="17" s="1"/>
  <c r="W119" i="17"/>
  <c r="X119" i="17" s="1"/>
  <c r="W58" i="17"/>
  <c r="X58" i="17" s="1"/>
  <c r="W61" i="17"/>
  <c r="W105" i="17"/>
  <c r="X105" i="17" s="1"/>
  <c r="W107" i="17"/>
  <c r="X107" i="17" s="1"/>
  <c r="W97" i="17"/>
  <c r="X97" i="17" s="1"/>
  <c r="W37" i="17"/>
  <c r="X37" i="17" s="1"/>
  <c r="W47" i="17"/>
  <c r="X47" i="17" s="1"/>
  <c r="W62" i="17"/>
  <c r="X62" i="17" s="1"/>
  <c r="W104" i="17"/>
  <c r="X104" i="17" s="1"/>
  <c r="Q140" i="17"/>
  <c r="R140" i="17" s="1"/>
  <c r="Q123" i="17"/>
  <c r="R123" i="17" s="1"/>
  <c r="W32" i="17"/>
  <c r="X32" i="17" s="1"/>
  <c r="W25" i="17"/>
  <c r="X25" i="17" s="1"/>
  <c r="W31" i="17"/>
  <c r="X31" i="17" s="1"/>
  <c r="W118" i="17"/>
  <c r="X118" i="17" s="1"/>
  <c r="W53" i="17"/>
  <c r="X53" i="17" s="1"/>
  <c r="W59" i="17"/>
  <c r="X59" i="17" s="1"/>
  <c r="W109" i="17"/>
  <c r="X109" i="17" s="1"/>
  <c r="W14" i="17"/>
  <c r="X14" i="17" s="1"/>
  <c r="W45" i="17"/>
  <c r="X45" i="17" s="1"/>
  <c r="W136" i="17"/>
  <c r="X136" i="17" s="1"/>
  <c r="W65" i="17"/>
  <c r="X65" i="17" s="1"/>
  <c r="W81" i="17"/>
  <c r="X81" i="17" s="1"/>
  <c r="W106" i="17"/>
  <c r="X106" i="17" s="1"/>
  <c r="W126" i="17"/>
  <c r="X126" i="17" s="1"/>
  <c r="W8" i="17"/>
  <c r="X8" i="17" s="1"/>
  <c r="W66" i="17"/>
  <c r="X66" i="17" s="1"/>
  <c r="W70" i="17"/>
  <c r="X70" i="17" s="1"/>
  <c r="W36" i="17"/>
  <c r="X36" i="17" s="1"/>
  <c r="W98" i="17"/>
  <c r="X98" i="17" s="1"/>
  <c r="W49" i="17"/>
  <c r="W137" i="17"/>
  <c r="X137" i="17" s="1"/>
  <c r="W29" i="17"/>
  <c r="W76" i="17"/>
  <c r="W117" i="17"/>
  <c r="X117" i="17" s="1"/>
  <c r="W100" i="17"/>
  <c r="X100" i="17" s="1"/>
  <c r="W74" i="17"/>
  <c r="X74" i="17" s="1"/>
  <c r="W130" i="17"/>
  <c r="X130" i="17" s="1"/>
  <c r="W33" i="17"/>
  <c r="X33" i="17" s="1"/>
  <c r="W114" i="17"/>
  <c r="X114" i="17" s="1"/>
  <c r="Q7" i="17"/>
  <c r="Q57" i="17"/>
  <c r="R57" i="17" s="1"/>
  <c r="Q23" i="17"/>
  <c r="AP29" i="17"/>
  <c r="N23" i="25" l="1"/>
  <c r="N12" i="25"/>
  <c r="N20" i="25"/>
  <c r="N22" i="25"/>
  <c r="N15" i="25"/>
  <c r="N8" i="25"/>
  <c r="N19" i="25"/>
  <c r="N16" i="25"/>
  <c r="N11" i="25"/>
  <c r="N7" i="25"/>
  <c r="N24" i="25" s="1"/>
  <c r="R7" i="17"/>
  <c r="R15" i="25" s="1"/>
  <c r="Q15" i="25"/>
  <c r="R41" i="17"/>
  <c r="R7" i="25" s="1"/>
  <c r="Q7" i="25"/>
  <c r="R17" i="17"/>
  <c r="R8" i="25" s="1"/>
  <c r="Q8" i="25"/>
  <c r="R78" i="17"/>
  <c r="R21" i="25" s="1"/>
  <c r="Q21" i="25"/>
  <c r="R6" i="17"/>
  <c r="R22" i="25" s="1"/>
  <c r="Q22" i="25"/>
  <c r="R67" i="17"/>
  <c r="R19" i="25" s="1"/>
  <c r="Q19" i="25"/>
  <c r="R38" i="17"/>
  <c r="R12" i="25" s="1"/>
  <c r="Q12" i="25"/>
  <c r="R34" i="17"/>
  <c r="R17" i="25" s="1"/>
  <c r="Q17" i="25"/>
  <c r="R48" i="17"/>
  <c r="R14" i="25" s="1"/>
  <c r="Q14" i="25"/>
  <c r="R24" i="17"/>
  <c r="R13" i="25" s="1"/>
  <c r="Q13" i="25"/>
  <c r="R21" i="17"/>
  <c r="R16" i="25" s="1"/>
  <c r="Q16" i="25"/>
  <c r="R16" i="17"/>
  <c r="R6" i="25" s="1"/>
  <c r="Q6" i="25"/>
  <c r="R23" i="17"/>
  <c r="R18" i="25" s="1"/>
  <c r="Q18" i="25"/>
  <c r="R61" i="17"/>
  <c r="R20" i="25" s="1"/>
  <c r="Q20" i="25"/>
  <c r="R42" i="17"/>
  <c r="R9" i="25" s="1"/>
  <c r="Q9" i="25"/>
  <c r="R49" i="17"/>
  <c r="R11" i="25" s="1"/>
  <c r="Q11" i="25"/>
  <c r="R29" i="17"/>
  <c r="R10" i="25" s="1"/>
  <c r="Q10" i="25"/>
  <c r="R76" i="17"/>
  <c r="R23" i="25" s="1"/>
  <c r="Q23" i="25"/>
  <c r="U38" i="17"/>
  <c r="U12" i="25" s="1"/>
  <c r="T12" i="25"/>
  <c r="U49" i="17"/>
  <c r="U11" i="25" s="1"/>
  <c r="T11" i="25"/>
  <c r="U78" i="17"/>
  <c r="U21" i="25" s="1"/>
  <c r="T21" i="25"/>
  <c r="U41" i="17"/>
  <c r="U7" i="25" s="1"/>
  <c r="T7" i="25"/>
  <c r="U61" i="17"/>
  <c r="U20" i="25" s="1"/>
  <c r="T20" i="25"/>
  <c r="U6" i="17"/>
  <c r="U22" i="25" s="1"/>
  <c r="T22" i="25"/>
  <c r="U23" i="17"/>
  <c r="U18" i="25" s="1"/>
  <c r="T18" i="25"/>
  <c r="U76" i="17"/>
  <c r="U23" i="25" s="1"/>
  <c r="T23" i="25"/>
  <c r="U67" i="17"/>
  <c r="U19" i="25" s="1"/>
  <c r="T19" i="25"/>
  <c r="U21" i="17"/>
  <c r="U16" i="25" s="1"/>
  <c r="T16" i="25"/>
  <c r="U48" i="17"/>
  <c r="U14" i="25" s="1"/>
  <c r="T14" i="25"/>
  <c r="U16" i="17"/>
  <c r="U6" i="25" s="1"/>
  <c r="T6" i="25"/>
  <c r="U7" i="17"/>
  <c r="U15" i="25" s="1"/>
  <c r="T15" i="25"/>
  <c r="U42" i="17"/>
  <c r="U9" i="25" s="1"/>
  <c r="T9" i="25"/>
  <c r="U34" i="17"/>
  <c r="U17" i="25" s="1"/>
  <c r="T17" i="25"/>
  <c r="U24" i="17"/>
  <c r="U13" i="25" s="1"/>
  <c r="T13" i="25"/>
  <c r="U17" i="17"/>
  <c r="U8" i="25" s="1"/>
  <c r="T8" i="25"/>
  <c r="U29" i="17"/>
  <c r="U10" i="25" s="1"/>
  <c r="T10" i="25"/>
  <c r="X38" i="17"/>
  <c r="X12" i="25" s="1"/>
  <c r="W12" i="25"/>
  <c r="X42" i="17"/>
  <c r="X9" i="25" s="1"/>
  <c r="W9" i="25"/>
  <c r="X23" i="17"/>
  <c r="X18" i="25" s="1"/>
  <c r="W18" i="25"/>
  <c r="X41" i="17"/>
  <c r="X7" i="25" s="1"/>
  <c r="X24" i="25" s="1"/>
  <c r="W7" i="25"/>
  <c r="X24" i="17"/>
  <c r="X13" i="25" s="1"/>
  <c r="W13" i="25"/>
  <c r="X17" i="17"/>
  <c r="X8" i="25" s="1"/>
  <c r="W8" i="25"/>
  <c r="X49" i="17"/>
  <c r="X11" i="25" s="1"/>
  <c r="W11" i="25"/>
  <c r="X76" i="17"/>
  <c r="X23" i="25" s="1"/>
  <c r="W23" i="25"/>
  <c r="X61" i="17"/>
  <c r="X20" i="25" s="1"/>
  <c r="W20" i="25"/>
  <c r="X67" i="17"/>
  <c r="X19" i="25" s="1"/>
  <c r="W19" i="25"/>
  <c r="X9" i="17"/>
  <c r="X22" i="25" s="1"/>
  <c r="W22" i="25"/>
  <c r="X48" i="17"/>
  <c r="X14" i="25" s="1"/>
  <c r="W14" i="25"/>
  <c r="X7" i="17"/>
  <c r="X15" i="25" s="1"/>
  <c r="W15" i="25"/>
  <c r="X21" i="17"/>
  <c r="X16" i="25" s="1"/>
  <c r="W16" i="25"/>
  <c r="X29" i="17"/>
  <c r="X10" i="25" s="1"/>
  <c r="W10" i="25"/>
  <c r="W24" i="25" s="1"/>
  <c r="X34" i="17"/>
  <c r="X17" i="25" s="1"/>
  <c r="W17" i="25"/>
  <c r="X78" i="17"/>
  <c r="X21" i="25" s="1"/>
  <c r="W21" i="25"/>
  <c r="AI24" i="24"/>
  <c r="AI10" i="24"/>
  <c r="AI38" i="24"/>
  <c r="AJ38" i="24" s="1"/>
  <c r="AK38" i="24" s="1"/>
  <c r="AI128" i="24"/>
  <c r="AI60" i="24"/>
  <c r="AI102" i="24"/>
  <c r="AJ102" i="24" s="1"/>
  <c r="AK102" i="24" s="1"/>
  <c r="AI73" i="24"/>
  <c r="AJ73" i="24" s="1"/>
  <c r="AK73" i="24" s="1"/>
  <c r="AI84" i="24"/>
  <c r="AJ84" i="24" s="1"/>
  <c r="AK84" i="24" s="1"/>
  <c r="AI137" i="24"/>
  <c r="AJ137" i="24" s="1"/>
  <c r="AK137" i="24" s="1"/>
  <c r="AI7" i="24"/>
  <c r="AJ7" i="24" s="1"/>
  <c r="AK7" i="24" s="1"/>
  <c r="AI77" i="24"/>
  <c r="AJ77" i="24" s="1"/>
  <c r="AK77" i="24" s="1"/>
  <c r="AI132" i="24"/>
  <c r="AJ132" i="24" s="1"/>
  <c r="AK132" i="24" s="1"/>
  <c r="AI80" i="24"/>
  <c r="AJ80" i="24" s="1"/>
  <c r="AK80" i="24" s="1"/>
  <c r="AI27" i="24"/>
  <c r="AJ27" i="24" s="1"/>
  <c r="AK27" i="24" s="1"/>
  <c r="AI63" i="24"/>
  <c r="AJ63" i="24" s="1"/>
  <c r="AK63" i="24" s="1"/>
  <c r="AI110" i="24"/>
  <c r="AI43" i="24"/>
  <c r="AJ43" i="24" s="1"/>
  <c r="AK43" i="24" s="1"/>
  <c r="AI72" i="24"/>
  <c r="AJ72" i="24" s="1"/>
  <c r="AK72" i="24" s="1"/>
  <c r="AI129" i="24"/>
  <c r="AJ129" i="24" s="1"/>
  <c r="AK129" i="24" s="1"/>
  <c r="AI131" i="24"/>
  <c r="AJ131" i="24" s="1"/>
  <c r="AK131" i="24" s="1"/>
  <c r="AI116" i="24"/>
  <c r="AJ116" i="24" s="1"/>
  <c r="AK116" i="24" s="1"/>
  <c r="AI133" i="24"/>
  <c r="AJ133" i="24" s="1"/>
  <c r="AK133" i="24" s="1"/>
  <c r="AI67" i="24"/>
  <c r="AJ67" i="24" s="1"/>
  <c r="AK67" i="24" s="1"/>
  <c r="AI75" i="24"/>
  <c r="AJ75" i="24" s="1"/>
  <c r="AK75" i="24" s="1"/>
  <c r="AI68" i="24"/>
  <c r="AJ68" i="24" s="1"/>
  <c r="AK68" i="24" s="1"/>
  <c r="AI62" i="24"/>
  <c r="AJ62" i="24" s="1"/>
  <c r="AK62" i="24" s="1"/>
  <c r="AI22" i="24"/>
  <c r="AJ22" i="24" s="1"/>
  <c r="AK22" i="24" s="1"/>
  <c r="AI57" i="24"/>
  <c r="AJ57" i="24" s="1"/>
  <c r="AK57" i="24" s="1"/>
  <c r="AI51" i="24"/>
  <c r="AJ51" i="24" s="1"/>
  <c r="AK51" i="24" s="1"/>
  <c r="AI93" i="24"/>
  <c r="AJ93" i="24" s="1"/>
  <c r="AK93" i="24" s="1"/>
  <c r="AI105" i="24"/>
  <c r="AJ105" i="24" s="1"/>
  <c r="AK105" i="24" s="1"/>
  <c r="AI50" i="24"/>
  <c r="AJ50" i="24" s="1"/>
  <c r="AK50" i="24" s="1"/>
  <c r="AI23" i="24"/>
  <c r="AJ23" i="24" s="1"/>
  <c r="AK23" i="24" s="1"/>
  <c r="AI123" i="24"/>
  <c r="AJ123" i="24" s="1"/>
  <c r="AK123" i="24" s="1"/>
  <c r="AI120" i="24"/>
  <c r="AJ120" i="24" s="1"/>
  <c r="AK120" i="24" s="1"/>
  <c r="AI130" i="24"/>
  <c r="AJ130" i="24" s="1"/>
  <c r="AK130" i="24" s="1"/>
  <c r="AI66" i="24"/>
  <c r="AJ66" i="24" s="1"/>
  <c r="AK66" i="24" s="1"/>
  <c r="AQ113" i="17"/>
  <c r="AI113" i="24"/>
  <c r="AJ113" i="24" s="1"/>
  <c r="AK113" i="24" s="1"/>
  <c r="AQ139" i="17"/>
  <c r="AI139" i="24"/>
  <c r="AJ139" i="24" s="1"/>
  <c r="AK139" i="24" s="1"/>
  <c r="AI40" i="24"/>
  <c r="AJ40" i="24" s="1"/>
  <c r="AK40" i="24" s="1"/>
  <c r="AI79" i="24"/>
  <c r="AJ79" i="24" s="1"/>
  <c r="AK79" i="24" s="1"/>
  <c r="AI61" i="24"/>
  <c r="AJ61" i="24" s="1"/>
  <c r="AK61" i="24" s="1"/>
  <c r="AI126" i="24"/>
  <c r="AJ126" i="24" s="1"/>
  <c r="AK126" i="24" s="1"/>
  <c r="AQ12" i="17"/>
  <c r="AI12" i="24"/>
  <c r="AJ12" i="24" s="1"/>
  <c r="AK12" i="24" s="1"/>
  <c r="AQ97" i="17"/>
  <c r="AI97" i="24"/>
  <c r="AJ97" i="24" s="1"/>
  <c r="AK97" i="24" s="1"/>
  <c r="AQ47" i="17"/>
  <c r="AI47" i="24"/>
  <c r="AJ47" i="24" s="1"/>
  <c r="AK47" i="24" s="1"/>
  <c r="AQ39" i="17"/>
  <c r="AI39" i="24"/>
  <c r="AJ39" i="24" s="1"/>
  <c r="AK39" i="24" s="1"/>
  <c r="AQ56" i="17"/>
  <c r="AI56" i="24"/>
  <c r="AJ56" i="24" s="1"/>
  <c r="AK56" i="24" s="1"/>
  <c r="AI140" i="24"/>
  <c r="AJ140" i="24" s="1"/>
  <c r="AK140" i="24" s="1"/>
  <c r="AQ42" i="17"/>
  <c r="AQ9" i="25" s="1"/>
  <c r="AI42" i="24"/>
  <c r="AJ42" i="24" s="1"/>
  <c r="AK42" i="24" s="1"/>
  <c r="AI135" i="24"/>
  <c r="AJ135" i="24" s="1"/>
  <c r="AK135" i="24" s="1"/>
  <c r="AQ46" i="17"/>
  <c r="AI46" i="24"/>
  <c r="AJ46" i="24" s="1"/>
  <c r="AK46" i="24" s="1"/>
  <c r="AI127" i="24"/>
  <c r="AJ127" i="24" s="1"/>
  <c r="AK127" i="24" s="1"/>
  <c r="AI134" i="24"/>
  <c r="AJ134" i="24" s="1"/>
  <c r="AK134" i="24" s="1"/>
  <c r="AQ89" i="17"/>
  <c r="AI89" i="24"/>
  <c r="AJ89" i="24" s="1"/>
  <c r="AK89" i="24" s="1"/>
  <c r="AQ107" i="17"/>
  <c r="AI107" i="24"/>
  <c r="AJ107" i="24" s="1"/>
  <c r="AK107" i="24" s="1"/>
  <c r="AQ104" i="17"/>
  <c r="AI104" i="24"/>
  <c r="AJ104" i="24" s="1"/>
  <c r="AK104" i="24" s="1"/>
  <c r="AQ117" i="17"/>
  <c r="AI117" i="24"/>
  <c r="AJ117" i="24" s="1"/>
  <c r="AK117" i="24" s="1"/>
  <c r="AI101" i="24"/>
  <c r="AJ101" i="24" s="1"/>
  <c r="AK101" i="24" s="1"/>
  <c r="AQ71" i="17"/>
  <c r="AI71" i="24"/>
  <c r="AJ71" i="24" s="1"/>
  <c r="AK71" i="24" s="1"/>
  <c r="AQ19" i="17"/>
  <c r="AI19" i="24"/>
  <c r="AJ19" i="24" s="1"/>
  <c r="AK19" i="24" s="1"/>
  <c r="AI112" i="24"/>
  <c r="AJ112" i="24" s="1"/>
  <c r="AK112" i="24" s="1"/>
  <c r="AI76" i="24"/>
  <c r="AJ76" i="24" s="1"/>
  <c r="AK76" i="24" s="1"/>
  <c r="AI86" i="24"/>
  <c r="AJ86" i="24" s="1"/>
  <c r="AK86" i="24" s="1"/>
  <c r="AI92" i="24"/>
  <c r="AJ92" i="24" s="1"/>
  <c r="AK92" i="24" s="1"/>
  <c r="AQ122" i="17"/>
  <c r="AI122" i="24"/>
  <c r="AJ122" i="24" s="1"/>
  <c r="AK122" i="24" s="1"/>
  <c r="AI28" i="24"/>
  <c r="AJ28" i="24" s="1"/>
  <c r="AK28" i="24" s="1"/>
  <c r="AI31" i="24"/>
  <c r="AJ31" i="24" s="1"/>
  <c r="AK31" i="24" s="1"/>
  <c r="AQ14" i="17"/>
  <c r="AI14" i="24"/>
  <c r="AJ14" i="24" s="1"/>
  <c r="AK14" i="24" s="1"/>
  <c r="AI29" i="24"/>
  <c r="AJ29" i="24" s="1"/>
  <c r="AK29" i="24" s="1"/>
  <c r="AQ64" i="17"/>
  <c r="AI64" i="24"/>
  <c r="AJ64" i="24" s="1"/>
  <c r="AK64" i="24" s="1"/>
  <c r="AI108" i="24"/>
  <c r="AJ108" i="24" s="1"/>
  <c r="AK108" i="24" s="1"/>
  <c r="AI30" i="24"/>
  <c r="AJ30" i="24" s="1"/>
  <c r="AK30" i="24" s="1"/>
  <c r="AQ111" i="17"/>
  <c r="AI111" i="24"/>
  <c r="AJ111" i="24" s="1"/>
  <c r="AK111" i="24" s="1"/>
  <c r="AQ33" i="17"/>
  <c r="AI33" i="24"/>
  <c r="AJ33" i="24" s="1"/>
  <c r="AK33" i="24" s="1"/>
  <c r="AQ121" i="17"/>
  <c r="AI121" i="24"/>
  <c r="AJ121" i="24" s="1"/>
  <c r="AK121" i="24" s="1"/>
  <c r="AI11" i="24"/>
  <c r="AJ11" i="24" s="1"/>
  <c r="AK11" i="24" s="1"/>
  <c r="AQ36" i="17"/>
  <c r="AI36" i="24"/>
  <c r="AJ36" i="24" s="1"/>
  <c r="AK36" i="24" s="1"/>
  <c r="AQ94" i="17"/>
  <c r="AI94" i="24"/>
  <c r="AJ94" i="24" s="1"/>
  <c r="AK94" i="24" s="1"/>
  <c r="AQ82" i="17"/>
  <c r="AI82" i="24"/>
  <c r="AJ82" i="24" s="1"/>
  <c r="AK82" i="24" s="1"/>
  <c r="AQ91" i="17"/>
  <c r="AI91" i="24"/>
  <c r="AJ91" i="24" s="1"/>
  <c r="AK91" i="24" s="1"/>
  <c r="AI90" i="24"/>
  <c r="AJ90" i="24" s="1"/>
  <c r="AK90" i="24" s="1"/>
  <c r="AI81" i="24"/>
  <c r="AJ81" i="24" s="1"/>
  <c r="AK81" i="24" s="1"/>
  <c r="AI69" i="24"/>
  <c r="AJ69" i="24" s="1"/>
  <c r="AK69" i="24" s="1"/>
  <c r="AI124" i="24"/>
  <c r="AJ124" i="24" s="1"/>
  <c r="AK124" i="24" s="1"/>
  <c r="AI87" i="24"/>
  <c r="AJ87" i="24" s="1"/>
  <c r="AK87" i="24" s="1"/>
  <c r="AQ95" i="17"/>
  <c r="AI95" i="24"/>
  <c r="AJ95" i="24" s="1"/>
  <c r="AK95" i="24" s="1"/>
  <c r="AI58" i="24"/>
  <c r="AJ58" i="24" s="1"/>
  <c r="AK58" i="24" s="1"/>
  <c r="AI37" i="24"/>
  <c r="AJ37" i="24" s="1"/>
  <c r="AK37" i="24" s="1"/>
  <c r="AI74" i="24"/>
  <c r="AJ74" i="24" s="1"/>
  <c r="AK74" i="24" s="1"/>
  <c r="AI136" i="24"/>
  <c r="AJ136" i="24" s="1"/>
  <c r="AK136" i="24" s="1"/>
  <c r="AI8" i="24"/>
  <c r="AJ8" i="24" s="1"/>
  <c r="AK8" i="24" s="1"/>
  <c r="AI85" i="24"/>
  <c r="AJ85" i="24" s="1"/>
  <c r="AK85" i="24" s="1"/>
  <c r="AQ13" i="17"/>
  <c r="AI13" i="24"/>
  <c r="AJ13" i="24" s="1"/>
  <c r="AK13" i="24" s="1"/>
  <c r="AQ15" i="17"/>
  <c r="AI15" i="24"/>
  <c r="AJ15" i="24" s="1"/>
  <c r="AK15" i="24" s="1"/>
  <c r="AI119" i="24"/>
  <c r="AJ119" i="24" s="1"/>
  <c r="AK119" i="24" s="1"/>
  <c r="AI35" i="24"/>
  <c r="AJ35" i="24" s="1"/>
  <c r="AK35" i="24" s="1"/>
  <c r="AI83" i="24"/>
  <c r="AJ83" i="24" s="1"/>
  <c r="AK83" i="24" s="1"/>
  <c r="AI9" i="24"/>
  <c r="AJ9" i="24" s="1"/>
  <c r="AK9" i="24" s="1"/>
  <c r="AI96" i="24"/>
  <c r="AJ96" i="24" s="1"/>
  <c r="AK96" i="24" s="1"/>
  <c r="AI26" i="24"/>
  <c r="AJ26" i="24" s="1"/>
  <c r="AK26" i="24" s="1"/>
  <c r="AI88" i="24"/>
  <c r="AJ88" i="24" s="1"/>
  <c r="AK88" i="24" s="1"/>
  <c r="AI109" i="24"/>
  <c r="AJ109" i="24" s="1"/>
  <c r="AK109" i="24" s="1"/>
  <c r="AQ54" i="17"/>
  <c r="AI54" i="24"/>
  <c r="AJ54" i="24" s="1"/>
  <c r="AK54" i="24" s="1"/>
  <c r="AQ45" i="17"/>
  <c r="AI45" i="24"/>
  <c r="AJ45" i="24" s="1"/>
  <c r="AK45" i="24" s="1"/>
  <c r="AQ100" i="17"/>
  <c r="AI100" i="24"/>
  <c r="AJ100" i="24" s="1"/>
  <c r="AK100" i="24" s="1"/>
  <c r="AI98" i="24"/>
  <c r="AJ98" i="24" s="1"/>
  <c r="AK98" i="24" s="1"/>
  <c r="AI114" i="24"/>
  <c r="AJ114" i="24" s="1"/>
  <c r="AK114" i="24" s="1"/>
  <c r="AI6" i="24"/>
  <c r="AI25" i="24"/>
  <c r="AJ25" i="24" s="1"/>
  <c r="AK25" i="24" s="1"/>
  <c r="AI103" i="24"/>
  <c r="AJ103" i="24" s="1"/>
  <c r="AK103" i="24" s="1"/>
  <c r="AI125" i="24"/>
  <c r="AJ125" i="24" s="1"/>
  <c r="AK125" i="24" s="1"/>
  <c r="AQ21" i="17"/>
  <c r="AI21" i="24"/>
  <c r="AJ21" i="24" s="1"/>
  <c r="AK21" i="24" s="1"/>
  <c r="AQ55" i="17"/>
  <c r="AI55" i="24"/>
  <c r="AJ55" i="24" s="1"/>
  <c r="AK55" i="24" s="1"/>
  <c r="AI115" i="24"/>
  <c r="AJ115" i="24" s="1"/>
  <c r="AK115" i="24" s="1"/>
  <c r="AI65" i="24"/>
  <c r="AJ65" i="24" s="1"/>
  <c r="AK65" i="24" s="1"/>
  <c r="AI53" i="24"/>
  <c r="AJ53" i="24" s="1"/>
  <c r="AK53" i="24" s="1"/>
  <c r="AQ17" i="17"/>
  <c r="AI17" i="24"/>
  <c r="AJ17" i="24" s="1"/>
  <c r="AK17" i="24" s="1"/>
  <c r="AQ44" i="17"/>
  <c r="AI44" i="24"/>
  <c r="AJ44" i="24" s="1"/>
  <c r="AK44" i="24" s="1"/>
  <c r="AQ70" i="17"/>
  <c r="AI70" i="24"/>
  <c r="AJ70" i="24" s="1"/>
  <c r="AK70" i="24" s="1"/>
  <c r="AQ118" i="17"/>
  <c r="AI118" i="24"/>
  <c r="AJ118" i="24" s="1"/>
  <c r="AK118" i="24" s="1"/>
  <c r="AI99" i="24"/>
  <c r="AJ99" i="24" s="1"/>
  <c r="AK99" i="24" s="1"/>
  <c r="AI52" i="24"/>
  <c r="AJ52" i="24" s="1"/>
  <c r="AK52" i="24" s="1"/>
  <c r="AI32" i="24"/>
  <c r="AJ32" i="24" s="1"/>
  <c r="AK32" i="24" s="1"/>
  <c r="AI138" i="24"/>
  <c r="AJ138" i="24" s="1"/>
  <c r="AK138" i="24" s="1"/>
  <c r="AI59" i="24"/>
  <c r="AJ59" i="24" s="1"/>
  <c r="AK59" i="24" s="1"/>
  <c r="AQ57" i="17"/>
  <c r="AQ134" i="17"/>
  <c r="AQ7" i="17"/>
  <c r="AQ133" i="17"/>
  <c r="AQ58" i="17"/>
  <c r="AQ60" i="17"/>
  <c r="AQ102" i="17"/>
  <c r="AQ77" i="17"/>
  <c r="AQ28" i="17"/>
  <c r="AQ31" i="17"/>
  <c r="AQ106" i="17"/>
  <c r="AQ29" i="17"/>
  <c r="AQ43" i="17"/>
  <c r="AQ72" i="17"/>
  <c r="AQ129" i="17"/>
  <c r="AQ101" i="17"/>
  <c r="AQ86" i="17"/>
  <c r="AQ92" i="17"/>
  <c r="AQ112" i="17"/>
  <c r="AQ116" i="17"/>
  <c r="AQ37" i="17"/>
  <c r="AQ74" i="17"/>
  <c r="AQ93" i="17"/>
  <c r="AQ136" i="17"/>
  <c r="AQ8" i="17"/>
  <c r="AQ85" i="17"/>
  <c r="AQ119" i="17"/>
  <c r="AQ35" i="17"/>
  <c r="AQ83" i="17"/>
  <c r="AQ90" i="17"/>
  <c r="AQ81" i="17"/>
  <c r="AQ69" i="17"/>
  <c r="AQ124" i="17"/>
  <c r="AQ87" i="17"/>
  <c r="AQ135" i="17"/>
  <c r="AQ68" i="17"/>
  <c r="AQ10" i="17"/>
  <c r="AQ115" i="17"/>
  <c r="AQ98" i="17"/>
  <c r="AQ75" i="17"/>
  <c r="AQ9" i="17"/>
  <c r="AQ96" i="17"/>
  <c r="AQ26" i="17"/>
  <c r="AQ88" i="17"/>
  <c r="AQ109" i="17"/>
  <c r="AQ108" i="17"/>
  <c r="AQ11" i="17"/>
  <c r="AQ65" i="17"/>
  <c r="AQ62" i="17"/>
  <c r="AQ73" i="17"/>
  <c r="AQ22" i="17"/>
  <c r="AQ53" i="17"/>
  <c r="AQ114" i="17"/>
  <c r="AQ105" i="17"/>
  <c r="AQ78" i="17"/>
  <c r="AQ6" i="17"/>
  <c r="AQ25" i="17"/>
  <c r="AQ50" i="17"/>
  <c r="AQ103" i="17"/>
  <c r="AQ125" i="17"/>
  <c r="AQ59" i="17"/>
  <c r="AQ127" i="17"/>
  <c r="AQ51" i="17"/>
  <c r="AQ24" i="17"/>
  <c r="AQ20" i="17"/>
  <c r="AQ67" i="17"/>
  <c r="AQ99" i="17"/>
  <c r="AQ52" i="17"/>
  <c r="AQ32" i="17"/>
  <c r="AQ138" i="17"/>
  <c r="AQ140" i="17"/>
  <c r="AQ49" i="17"/>
  <c r="AQ30" i="17"/>
  <c r="AQ110" i="17"/>
  <c r="AQ131" i="17"/>
  <c r="AQ38" i="17"/>
  <c r="AQ132" i="17"/>
  <c r="AQ23" i="17"/>
  <c r="AQ123" i="17"/>
  <c r="AQ120" i="17"/>
  <c r="AQ130" i="17"/>
  <c r="AQ66" i="17"/>
  <c r="AQ27" i="17"/>
  <c r="AQ40" i="17"/>
  <c r="AQ79" i="17"/>
  <c r="AQ61" i="17"/>
  <c r="AQ126" i="17"/>
  <c r="AQ128" i="17"/>
  <c r="AQ80" i="17"/>
  <c r="AQ63" i="17"/>
  <c r="AQ84" i="17"/>
  <c r="AQ137" i="17"/>
  <c r="AJ110" i="24"/>
  <c r="AK110" i="24" s="1"/>
  <c r="AJ60" i="24"/>
  <c r="AK60" i="24" s="1"/>
  <c r="AJ18" i="24"/>
  <c r="AK18" i="24" s="1"/>
  <c r="AJ24" i="24"/>
  <c r="AK24" i="24" s="1"/>
  <c r="AJ128" i="24"/>
  <c r="AK128" i="24" s="1"/>
  <c r="AJ20" i="24"/>
  <c r="AK20" i="24" s="1"/>
  <c r="AJ106" i="24"/>
  <c r="AK106" i="24" s="1"/>
  <c r="AP12" i="17"/>
  <c r="AJ10" i="24"/>
  <c r="AK10" i="24" s="1"/>
  <c r="AP104" i="17"/>
  <c r="Q141" i="17"/>
  <c r="W141" i="17"/>
  <c r="N141" i="17"/>
  <c r="T141" i="17"/>
  <c r="O113" i="17"/>
  <c r="O35" i="17"/>
  <c r="AE35" i="24" s="1"/>
  <c r="AF35" i="24" s="1"/>
  <c r="AG35" i="24" s="1"/>
  <c r="O77" i="17"/>
  <c r="O28" i="17"/>
  <c r="O87" i="17"/>
  <c r="O65" i="17"/>
  <c r="O85" i="17"/>
  <c r="O119" i="17"/>
  <c r="O15" i="17"/>
  <c r="O39" i="17"/>
  <c r="O34" i="17"/>
  <c r="O66" i="17"/>
  <c r="O130" i="17"/>
  <c r="O14" i="17"/>
  <c r="O118" i="17"/>
  <c r="O111" i="17"/>
  <c r="O134" i="17"/>
  <c r="O137" i="17"/>
  <c r="O57" i="17"/>
  <c r="AE57" i="24" s="1"/>
  <c r="AF57" i="24" s="1"/>
  <c r="AG57" i="24" s="1"/>
  <c r="O73" i="17"/>
  <c r="O16" i="17"/>
  <c r="O6" i="25" s="1"/>
  <c r="O105" i="17"/>
  <c r="O42" i="17"/>
  <c r="O9" i="25" s="1"/>
  <c r="O52" i="17"/>
  <c r="O126" i="17"/>
  <c r="O123" i="17"/>
  <c r="O92" i="17"/>
  <c r="O127" i="17"/>
  <c r="O107" i="17"/>
  <c r="O44" i="17"/>
  <c r="O97" i="17"/>
  <c r="O120" i="17"/>
  <c r="O117" i="17"/>
  <c r="O98" i="17"/>
  <c r="O63" i="17"/>
  <c r="O62" i="17"/>
  <c r="O129" i="17"/>
  <c r="O81" i="17"/>
  <c r="O50" i="17"/>
  <c r="O125" i="17"/>
  <c r="O114" i="17"/>
  <c r="O109" i="17"/>
  <c r="O67" i="17"/>
  <c r="O140" i="17"/>
  <c r="O91" i="17"/>
  <c r="O9" i="17"/>
  <c r="AE9" i="24" s="1"/>
  <c r="AF9" i="24" s="1"/>
  <c r="AG9" i="24" s="1"/>
  <c r="O94" i="17"/>
  <c r="O103" i="17"/>
  <c r="O54" i="17"/>
  <c r="O46" i="17"/>
  <c r="O122" i="17"/>
  <c r="O61" i="17"/>
  <c r="O38" i="17"/>
  <c r="O37" i="17"/>
  <c r="O100" i="17"/>
  <c r="O56" i="17"/>
  <c r="O64" i="17"/>
  <c r="O121" i="17"/>
  <c r="O136" i="17"/>
  <c r="O112" i="17"/>
  <c r="O95" i="17"/>
  <c r="O25" i="17"/>
  <c r="O41" i="17"/>
  <c r="O83" i="17"/>
  <c r="O70" i="17"/>
  <c r="O86" i="17"/>
  <c r="O26" i="17"/>
  <c r="O74" i="17"/>
  <c r="O108" i="17"/>
  <c r="O17" i="17"/>
  <c r="O8" i="25" s="1"/>
  <c r="O110" i="17"/>
  <c r="AE110" i="24" s="1"/>
  <c r="AF110" i="24" s="1"/>
  <c r="AG110" i="24" s="1"/>
  <c r="O78" i="17"/>
  <c r="O40" i="17"/>
  <c r="O47" i="17"/>
  <c r="O132" i="17"/>
  <c r="O135" i="17"/>
  <c r="O27" i="17"/>
  <c r="O43" i="17"/>
  <c r="O76" i="17"/>
  <c r="O93" i="17"/>
  <c r="O45" i="17"/>
  <c r="O139" i="17"/>
  <c r="O22" i="17"/>
  <c r="O138" i="17"/>
  <c r="O115" i="17"/>
  <c r="O72" i="17"/>
  <c r="O101" i="17"/>
  <c r="O133" i="17"/>
  <c r="O59" i="17"/>
  <c r="O20" i="17"/>
  <c r="O68" i="17"/>
  <c r="O102" i="17"/>
  <c r="O69" i="17"/>
  <c r="O51" i="17"/>
  <c r="O96" i="17"/>
  <c r="O58" i="17"/>
  <c r="O13" i="17"/>
  <c r="O6" i="17"/>
  <c r="O32" i="17"/>
  <c r="O48" i="17"/>
  <c r="O14" i="25" s="1"/>
  <c r="O88" i="17"/>
  <c r="O124" i="17"/>
  <c r="O11" i="17"/>
  <c r="O36" i="17"/>
  <c r="O106" i="17"/>
  <c r="AE113" i="24" s="1"/>
  <c r="AF113" i="24" s="1"/>
  <c r="AG113" i="24" s="1"/>
  <c r="O8" i="17"/>
  <c r="O90" i="17"/>
  <c r="O82" i="17"/>
  <c r="AE82" i="24" s="1"/>
  <c r="AF82" i="24" s="1"/>
  <c r="AG82" i="24" s="1"/>
  <c r="O10" i="17"/>
  <c r="O116" i="17"/>
  <c r="O19" i="17"/>
  <c r="O128" i="17"/>
  <c r="O71" i="17"/>
  <c r="O23" i="17"/>
  <c r="O21" i="17"/>
  <c r="O53" i="17"/>
  <c r="O49" i="17"/>
  <c r="O11" i="25" s="1"/>
  <c r="O75" i="17"/>
  <c r="O99" i="17"/>
  <c r="O80" i="17"/>
  <c r="O89" i="17"/>
  <c r="O60" i="17"/>
  <c r="O31" i="17"/>
  <c r="O10" i="25" s="1"/>
  <c r="O7" i="17"/>
  <c r="O15" i="25" s="1"/>
  <c r="O55" i="17"/>
  <c r="O131" i="17"/>
  <c r="O84" i="17"/>
  <c r="O24" i="17"/>
  <c r="O30" i="17"/>
  <c r="AP79" i="17"/>
  <c r="AQ20" i="25" l="1"/>
  <c r="AQ18" i="25"/>
  <c r="O16" i="25"/>
  <c r="O19" i="25"/>
  <c r="O17" i="25"/>
  <c r="O20" i="25"/>
  <c r="O18" i="25"/>
  <c r="AE6" i="24"/>
  <c r="O22" i="25"/>
  <c r="O13" i="25"/>
  <c r="O21" i="25"/>
  <c r="AE79" i="24"/>
  <c r="AF79" i="24" s="1"/>
  <c r="AG79" i="24" s="1"/>
  <c r="O23" i="25"/>
  <c r="O7" i="25"/>
  <c r="O24" i="25" s="1"/>
  <c r="O12" i="25"/>
  <c r="Q24" i="25"/>
  <c r="R24" i="25"/>
  <c r="AQ16" i="17"/>
  <c r="AQ6" i="25" s="1"/>
  <c r="AI34" i="24"/>
  <c r="AJ34" i="24" s="1"/>
  <c r="AK34" i="24" s="1"/>
  <c r="AI49" i="24"/>
  <c r="AJ49" i="24" s="1"/>
  <c r="AK49" i="24" s="1"/>
  <c r="AI78" i="24"/>
  <c r="AJ78" i="24" s="1"/>
  <c r="AK78" i="24" s="1"/>
  <c r="AI16" i="24"/>
  <c r="AJ16" i="24" s="1"/>
  <c r="AK16" i="24" s="1"/>
  <c r="T24" i="25"/>
  <c r="U24" i="25"/>
  <c r="AQ15" i="25"/>
  <c r="AQ11" i="25"/>
  <c r="AQ13" i="25"/>
  <c r="AQ22" i="25"/>
  <c r="AQ21" i="25"/>
  <c r="AI41" i="24"/>
  <c r="AJ41" i="24" s="1"/>
  <c r="AK41" i="24" s="1"/>
  <c r="AQ34" i="17"/>
  <c r="AQ17" i="25" s="1"/>
  <c r="AQ48" i="17"/>
  <c r="AQ14" i="25" s="1"/>
  <c r="AQ76" i="17"/>
  <c r="AQ23" i="25" s="1"/>
  <c r="AQ12" i="25"/>
  <c r="AQ41" i="17"/>
  <c r="AQ7" i="25" s="1"/>
  <c r="AQ19" i="25"/>
  <c r="AQ16" i="25"/>
  <c r="AI48" i="24"/>
  <c r="AJ48" i="24" s="1"/>
  <c r="AK48" i="24" s="1"/>
  <c r="AQ10" i="25"/>
  <c r="AQ8" i="25"/>
  <c r="AE40" i="24"/>
  <c r="AF40" i="24" s="1"/>
  <c r="AG40" i="24" s="1"/>
  <c r="AE14" i="24"/>
  <c r="AF14" i="24" s="1"/>
  <c r="AG14" i="24" s="1"/>
  <c r="AE43" i="24"/>
  <c r="AF43" i="24" s="1"/>
  <c r="AG43" i="24" s="1"/>
  <c r="AE44" i="24"/>
  <c r="AF44" i="24" s="1"/>
  <c r="AG44" i="24" s="1"/>
  <c r="AE33" i="24"/>
  <c r="AF33" i="24" s="1"/>
  <c r="AG33" i="24" s="1"/>
  <c r="AE31" i="24"/>
  <c r="AF31" i="24" s="1"/>
  <c r="AG31" i="24" s="1"/>
  <c r="AE52" i="24"/>
  <c r="AF52" i="24" s="1"/>
  <c r="AG52" i="24" s="1"/>
  <c r="AE103" i="24"/>
  <c r="AF103" i="24" s="1"/>
  <c r="AG103" i="24" s="1"/>
  <c r="AE69" i="24"/>
  <c r="AF69" i="24" s="1"/>
  <c r="AG69" i="24" s="1"/>
  <c r="AE23" i="24"/>
  <c r="AF23" i="24" s="1"/>
  <c r="AG23" i="24" s="1"/>
  <c r="AE21" i="24"/>
  <c r="AF21" i="24" s="1"/>
  <c r="AG21" i="24" s="1"/>
  <c r="AP72" i="17"/>
  <c r="AE75" i="24"/>
  <c r="AF75" i="24" s="1"/>
  <c r="AG75" i="24" s="1"/>
  <c r="AP17" i="17"/>
  <c r="AE19" i="24"/>
  <c r="AF19" i="24" s="1"/>
  <c r="AG19" i="24" s="1"/>
  <c r="AP62" i="17"/>
  <c r="AE65" i="24"/>
  <c r="AF65" i="24" s="1"/>
  <c r="AG65" i="24" s="1"/>
  <c r="AP53" i="17"/>
  <c r="AP83" i="17"/>
  <c r="AE86" i="24"/>
  <c r="AF86" i="24" s="1"/>
  <c r="AG86" i="24" s="1"/>
  <c r="AP80" i="17"/>
  <c r="AE83" i="24"/>
  <c r="AF83" i="24" s="1"/>
  <c r="AG83" i="24" s="1"/>
  <c r="AP6" i="17"/>
  <c r="AE7" i="24"/>
  <c r="AF7" i="24" s="1"/>
  <c r="AG7" i="24" s="1"/>
  <c r="AP132" i="17"/>
  <c r="AE137" i="24"/>
  <c r="AF137" i="24" s="1"/>
  <c r="AG137" i="24" s="1"/>
  <c r="AP54" i="17"/>
  <c r="AE55" i="24"/>
  <c r="AF55" i="24" s="1"/>
  <c r="AG55" i="24" s="1"/>
  <c r="AP114" i="17"/>
  <c r="AE121" i="24"/>
  <c r="AF121" i="24" s="1"/>
  <c r="AG121" i="24" s="1"/>
  <c r="AP63" i="17"/>
  <c r="AE66" i="24"/>
  <c r="AF66" i="24" s="1"/>
  <c r="AG66" i="24" s="1"/>
  <c r="AP57" i="17"/>
  <c r="AE59" i="24"/>
  <c r="AF59" i="24" s="1"/>
  <c r="AG59" i="24" s="1"/>
  <c r="AP77" i="17"/>
  <c r="AE80" i="24"/>
  <c r="AF80" i="24" s="1"/>
  <c r="AG80" i="24" s="1"/>
  <c r="AP99" i="17"/>
  <c r="AE105" i="24"/>
  <c r="AF105" i="24" s="1"/>
  <c r="AG105" i="24" s="1"/>
  <c r="AP36" i="17"/>
  <c r="AE38" i="24"/>
  <c r="AF38" i="24" s="1"/>
  <c r="AG38" i="24" s="1"/>
  <c r="AP13" i="17"/>
  <c r="AE15" i="24"/>
  <c r="AF15" i="24" s="1"/>
  <c r="AG15" i="24" s="1"/>
  <c r="AP139" i="17"/>
  <c r="AP74" i="17"/>
  <c r="AE77" i="24"/>
  <c r="AF77" i="24" s="1"/>
  <c r="AG77" i="24" s="1"/>
  <c r="AP95" i="17"/>
  <c r="AE101" i="24"/>
  <c r="AF101" i="24" s="1"/>
  <c r="AG101" i="24" s="1"/>
  <c r="AP37" i="17"/>
  <c r="AE39" i="24"/>
  <c r="AF39" i="24" s="1"/>
  <c r="AG39" i="24" s="1"/>
  <c r="AP103" i="17"/>
  <c r="AE109" i="24"/>
  <c r="AF109" i="24" s="1"/>
  <c r="AG109" i="24" s="1"/>
  <c r="AP125" i="17"/>
  <c r="AE131" i="24"/>
  <c r="AF131" i="24" s="1"/>
  <c r="AG131" i="24" s="1"/>
  <c r="AP98" i="17"/>
  <c r="AE104" i="24"/>
  <c r="AF104" i="24" s="1"/>
  <c r="AG104" i="24" s="1"/>
  <c r="AP123" i="17"/>
  <c r="AE129" i="24"/>
  <c r="AF129" i="24" s="1"/>
  <c r="AG129" i="24" s="1"/>
  <c r="AP137" i="17"/>
  <c r="AP39" i="17"/>
  <c r="AE41" i="24"/>
  <c r="AF41" i="24" s="1"/>
  <c r="AG41" i="24" s="1"/>
  <c r="AP35" i="17"/>
  <c r="AE37" i="24"/>
  <c r="AF37" i="24" s="1"/>
  <c r="AG37" i="24" s="1"/>
  <c r="AP75" i="17"/>
  <c r="AE78" i="24"/>
  <c r="AF78" i="24" s="1"/>
  <c r="AG78" i="24" s="1"/>
  <c r="AP19" i="17"/>
  <c r="AE22" i="24"/>
  <c r="AF22" i="24" s="1"/>
  <c r="AG22" i="24" s="1"/>
  <c r="AP11" i="17"/>
  <c r="AE13" i="24"/>
  <c r="AF13" i="24" s="1"/>
  <c r="AG13" i="24" s="1"/>
  <c r="AP58" i="17"/>
  <c r="AE60" i="24"/>
  <c r="AF60" i="24" s="1"/>
  <c r="AG60" i="24" s="1"/>
  <c r="AP59" i="17"/>
  <c r="AE62" i="24"/>
  <c r="AF62" i="24" s="1"/>
  <c r="AG62" i="24" s="1"/>
  <c r="AP45" i="17"/>
  <c r="AE47" i="24"/>
  <c r="AF47" i="24" s="1"/>
  <c r="AG47" i="24" s="1"/>
  <c r="AP40" i="17"/>
  <c r="AE42" i="24"/>
  <c r="AF42" i="24" s="1"/>
  <c r="AG42" i="24" s="1"/>
  <c r="AP26" i="17"/>
  <c r="AP112" i="17"/>
  <c r="AE119" i="24"/>
  <c r="AF119" i="24" s="1"/>
  <c r="AG119" i="24" s="1"/>
  <c r="AE139" i="24"/>
  <c r="AF139" i="24" s="1"/>
  <c r="AG139" i="24" s="1"/>
  <c r="AP94" i="17"/>
  <c r="AE100" i="24"/>
  <c r="AF100" i="24" s="1"/>
  <c r="AG100" i="24" s="1"/>
  <c r="AP117" i="17"/>
  <c r="AE124" i="24"/>
  <c r="AF124" i="24" s="1"/>
  <c r="AG124" i="24" s="1"/>
  <c r="AP126" i="17"/>
  <c r="AE133" i="24"/>
  <c r="AF133" i="24" s="1"/>
  <c r="AG133" i="24" s="1"/>
  <c r="AP134" i="17"/>
  <c r="AP15" i="17"/>
  <c r="AE17" i="24"/>
  <c r="AF17" i="24" s="1"/>
  <c r="AG17" i="24" s="1"/>
  <c r="AP113" i="17"/>
  <c r="AE120" i="24"/>
  <c r="AF120" i="24" s="1"/>
  <c r="AG120" i="24" s="1"/>
  <c r="AP22" i="17"/>
  <c r="AE25" i="24"/>
  <c r="AF25" i="24" s="1"/>
  <c r="AG25" i="24" s="1"/>
  <c r="AE140" i="24"/>
  <c r="AF140" i="24" s="1"/>
  <c r="AG140" i="24" s="1"/>
  <c r="AP34" i="17"/>
  <c r="AE36" i="24"/>
  <c r="AF36" i="24" s="1"/>
  <c r="AG36" i="24" s="1"/>
  <c r="AP131" i="17"/>
  <c r="AP128" i="17"/>
  <c r="AE135" i="24"/>
  <c r="AF135" i="24" s="1"/>
  <c r="AG135" i="24" s="1"/>
  <c r="AP47" i="17"/>
  <c r="AE49" i="24"/>
  <c r="AF49" i="24" s="1"/>
  <c r="AG49" i="24" s="1"/>
  <c r="AP55" i="17"/>
  <c r="AE56" i="24"/>
  <c r="AF56" i="24" s="1"/>
  <c r="AG56" i="24" s="1"/>
  <c r="AE20" i="24"/>
  <c r="AF20" i="24" s="1"/>
  <c r="AG20" i="24" s="1"/>
  <c r="AP116" i="17"/>
  <c r="AE123" i="24"/>
  <c r="AF123" i="24" s="1"/>
  <c r="AG123" i="24" s="1"/>
  <c r="AP124" i="17"/>
  <c r="AE130" i="24"/>
  <c r="AF130" i="24" s="1"/>
  <c r="AG130" i="24" s="1"/>
  <c r="AP96" i="17"/>
  <c r="AE102" i="24"/>
  <c r="AF102" i="24" s="1"/>
  <c r="AG102" i="24" s="1"/>
  <c r="AP133" i="17"/>
  <c r="AE138" i="24"/>
  <c r="AF138" i="24" s="1"/>
  <c r="AG138" i="24" s="1"/>
  <c r="AP93" i="17"/>
  <c r="AE99" i="24"/>
  <c r="AF99" i="24" s="1"/>
  <c r="AG99" i="24" s="1"/>
  <c r="AP78" i="17"/>
  <c r="AE81" i="24"/>
  <c r="AF81" i="24" s="1"/>
  <c r="AG81" i="24" s="1"/>
  <c r="AP86" i="17"/>
  <c r="AE92" i="24"/>
  <c r="AF92" i="24" s="1"/>
  <c r="AG92" i="24" s="1"/>
  <c r="AP136" i="17"/>
  <c r="AP9" i="17"/>
  <c r="AE11" i="24"/>
  <c r="AF11" i="24" s="1"/>
  <c r="AG11" i="24" s="1"/>
  <c r="AP81" i="17"/>
  <c r="AE84" i="24"/>
  <c r="AF84" i="24" s="1"/>
  <c r="AG84" i="24" s="1"/>
  <c r="AP120" i="17"/>
  <c r="AE126" i="24"/>
  <c r="AF126" i="24" s="1"/>
  <c r="AG126" i="24" s="1"/>
  <c r="AP52" i="17"/>
  <c r="AE54" i="24"/>
  <c r="AF54" i="24" s="1"/>
  <c r="AG54" i="24" s="1"/>
  <c r="AP111" i="17"/>
  <c r="AE118" i="24"/>
  <c r="AF118" i="24" s="1"/>
  <c r="AG118" i="24" s="1"/>
  <c r="AP119" i="17"/>
  <c r="U141" i="17"/>
  <c r="AE87" i="24"/>
  <c r="AF87" i="24" s="1"/>
  <c r="AG87" i="24" s="1"/>
  <c r="AP71" i="17"/>
  <c r="AE74" i="24"/>
  <c r="AF74" i="24" s="1"/>
  <c r="AG74" i="24" s="1"/>
  <c r="AP68" i="17"/>
  <c r="AE71" i="24"/>
  <c r="AF71" i="24" s="1"/>
  <c r="AG71" i="24" s="1"/>
  <c r="AE61" i="24"/>
  <c r="AF61" i="24" s="1"/>
  <c r="AG61" i="24" s="1"/>
  <c r="AP92" i="17"/>
  <c r="AE98" i="24"/>
  <c r="AF98" i="24" s="1"/>
  <c r="AG98" i="24" s="1"/>
  <c r="AP7" i="17"/>
  <c r="AE8" i="24"/>
  <c r="AF8" i="24" s="1"/>
  <c r="AG8" i="24" s="1"/>
  <c r="AP49" i="17"/>
  <c r="AP11" i="25" s="1"/>
  <c r="AE51" i="24"/>
  <c r="AF51" i="24" s="1"/>
  <c r="AG51" i="24" s="1"/>
  <c r="AP10" i="17"/>
  <c r="AE12" i="24"/>
  <c r="AF12" i="24" s="1"/>
  <c r="AG12" i="24" s="1"/>
  <c r="AP88" i="17"/>
  <c r="AE94" i="24"/>
  <c r="AF94" i="24" s="1"/>
  <c r="AG94" i="24" s="1"/>
  <c r="AP51" i="17"/>
  <c r="AE53" i="24"/>
  <c r="AF53" i="24" s="1"/>
  <c r="AG53" i="24" s="1"/>
  <c r="AP101" i="17"/>
  <c r="AE107" i="24"/>
  <c r="AF107" i="24" s="1"/>
  <c r="AG107" i="24" s="1"/>
  <c r="AP110" i="17"/>
  <c r="AE117" i="24"/>
  <c r="AF117" i="24" s="1"/>
  <c r="AG117" i="24" s="1"/>
  <c r="AP70" i="17"/>
  <c r="AE73" i="24"/>
  <c r="AF73" i="24" s="1"/>
  <c r="AG73" i="24" s="1"/>
  <c r="AP121" i="17"/>
  <c r="AE127" i="24"/>
  <c r="AF127" i="24" s="1"/>
  <c r="AG127" i="24" s="1"/>
  <c r="AP61" i="17"/>
  <c r="AP20" i="25" s="1"/>
  <c r="AE64" i="24"/>
  <c r="AF64" i="24" s="1"/>
  <c r="AG64" i="24" s="1"/>
  <c r="AP91" i="17"/>
  <c r="AE97" i="24"/>
  <c r="AF97" i="24" s="1"/>
  <c r="AG97" i="24" s="1"/>
  <c r="AP129" i="17"/>
  <c r="AE136" i="24"/>
  <c r="AF136" i="24" s="1"/>
  <c r="AG136" i="24" s="1"/>
  <c r="AP118" i="17"/>
  <c r="AE125" i="24"/>
  <c r="AF125" i="24" s="1"/>
  <c r="AG125" i="24" s="1"/>
  <c r="AP85" i="17"/>
  <c r="AE91" i="24"/>
  <c r="AF91" i="24" s="1"/>
  <c r="AG91" i="24" s="1"/>
  <c r="AF6" i="24"/>
  <c r="X141" i="17"/>
  <c r="AP30" i="17"/>
  <c r="AE32" i="24"/>
  <c r="AF32" i="24" s="1"/>
  <c r="AG32" i="24" s="1"/>
  <c r="AP82" i="17"/>
  <c r="AE85" i="24"/>
  <c r="AF85" i="24" s="1"/>
  <c r="AG85" i="24" s="1"/>
  <c r="AP69" i="17"/>
  <c r="AE72" i="24"/>
  <c r="AF72" i="24" s="1"/>
  <c r="AG72" i="24" s="1"/>
  <c r="AP43" i="17"/>
  <c r="AE45" i="24"/>
  <c r="AF45" i="24" s="1"/>
  <c r="AG45" i="24" s="1"/>
  <c r="AP64" i="17"/>
  <c r="AE67" i="24"/>
  <c r="AF67" i="24" s="1"/>
  <c r="AG67" i="24" s="1"/>
  <c r="AP122" i="17"/>
  <c r="AE128" i="24"/>
  <c r="AF128" i="24" s="1"/>
  <c r="AG128" i="24" s="1"/>
  <c r="AP140" i="17"/>
  <c r="AP44" i="17"/>
  <c r="AE46" i="24"/>
  <c r="AF46" i="24" s="1"/>
  <c r="AG46" i="24" s="1"/>
  <c r="AP105" i="17"/>
  <c r="AE111" i="24"/>
  <c r="AF111" i="24" s="1"/>
  <c r="AG111" i="24" s="1"/>
  <c r="AP14" i="17"/>
  <c r="AE16" i="24"/>
  <c r="AF16" i="24" s="1"/>
  <c r="AG16" i="24" s="1"/>
  <c r="AP65" i="17"/>
  <c r="AE68" i="24"/>
  <c r="AF68" i="24" s="1"/>
  <c r="AG68" i="24" s="1"/>
  <c r="AP24" i="17"/>
  <c r="AE27" i="24"/>
  <c r="AF27" i="24" s="1"/>
  <c r="AG27" i="24" s="1"/>
  <c r="AP60" i="17"/>
  <c r="AE63" i="24"/>
  <c r="AF63" i="24" s="1"/>
  <c r="AG63" i="24" s="1"/>
  <c r="AP21" i="17"/>
  <c r="AP16" i="25" s="1"/>
  <c r="AE24" i="24"/>
  <c r="AF24" i="24" s="1"/>
  <c r="AG24" i="24" s="1"/>
  <c r="AP90" i="17"/>
  <c r="AE96" i="24"/>
  <c r="AF96" i="24" s="1"/>
  <c r="AG96" i="24" s="1"/>
  <c r="AP48" i="17"/>
  <c r="AE50" i="24"/>
  <c r="AF50" i="24" s="1"/>
  <c r="AG50" i="24" s="1"/>
  <c r="AE112" i="24"/>
  <c r="AF112" i="24" s="1"/>
  <c r="AG112" i="24" s="1"/>
  <c r="AP115" i="17"/>
  <c r="AE122" i="24"/>
  <c r="AF122" i="24" s="1"/>
  <c r="AG122" i="24" s="1"/>
  <c r="AP27" i="17"/>
  <c r="AE29" i="24"/>
  <c r="AF29" i="24" s="1"/>
  <c r="AG29" i="24" s="1"/>
  <c r="AP108" i="17"/>
  <c r="AE115" i="24"/>
  <c r="AF115" i="24" s="1"/>
  <c r="AG115" i="24" s="1"/>
  <c r="AP56" i="17"/>
  <c r="AE58" i="24"/>
  <c r="AF58" i="24" s="1"/>
  <c r="AG58" i="24" s="1"/>
  <c r="AP67" i="17"/>
  <c r="AE70" i="24"/>
  <c r="AF70" i="24" s="1"/>
  <c r="AG70" i="24" s="1"/>
  <c r="AP107" i="17"/>
  <c r="AE114" i="24"/>
  <c r="AF114" i="24" s="1"/>
  <c r="AG114" i="24" s="1"/>
  <c r="AP16" i="17"/>
  <c r="AP6" i="25" s="1"/>
  <c r="AE18" i="24"/>
  <c r="AF18" i="24" s="1"/>
  <c r="AG18" i="24" s="1"/>
  <c r="AP87" i="17"/>
  <c r="AE93" i="24"/>
  <c r="AF93" i="24" s="1"/>
  <c r="AG93" i="24" s="1"/>
  <c r="R141" i="17"/>
  <c r="AP46" i="17"/>
  <c r="AE48" i="24"/>
  <c r="AF48" i="24" s="1"/>
  <c r="AG48" i="24" s="1"/>
  <c r="AE89" i="24"/>
  <c r="AF89" i="24" s="1"/>
  <c r="AG89" i="24" s="1"/>
  <c r="AP130" i="17"/>
  <c r="AP84" i="17"/>
  <c r="AE90" i="24"/>
  <c r="AF90" i="24" s="1"/>
  <c r="AG90" i="24" s="1"/>
  <c r="AP89" i="17"/>
  <c r="AE95" i="24"/>
  <c r="AF95" i="24" s="1"/>
  <c r="AG95" i="24" s="1"/>
  <c r="AP23" i="17"/>
  <c r="AE26" i="24"/>
  <c r="AF26" i="24" s="1"/>
  <c r="AG26" i="24" s="1"/>
  <c r="AP8" i="17"/>
  <c r="AE10" i="24"/>
  <c r="AF10" i="24" s="1"/>
  <c r="AG10" i="24" s="1"/>
  <c r="AP32" i="17"/>
  <c r="AE34" i="24"/>
  <c r="AF34" i="24" s="1"/>
  <c r="AG34" i="24" s="1"/>
  <c r="AP102" i="17"/>
  <c r="AE108" i="24"/>
  <c r="AF108" i="24" s="1"/>
  <c r="AG108" i="24" s="1"/>
  <c r="AP138" i="17"/>
  <c r="AP135" i="17"/>
  <c r="AE132" i="24"/>
  <c r="AF132" i="24" s="1"/>
  <c r="AG132" i="24" s="1"/>
  <c r="AP25" i="17"/>
  <c r="AE28" i="24"/>
  <c r="AF28" i="24" s="1"/>
  <c r="AG28" i="24" s="1"/>
  <c r="AP100" i="17"/>
  <c r="AE106" i="24"/>
  <c r="AF106" i="24" s="1"/>
  <c r="AG106" i="24" s="1"/>
  <c r="AE88" i="24"/>
  <c r="AF88" i="24" s="1"/>
  <c r="AG88" i="24" s="1"/>
  <c r="AP109" i="17"/>
  <c r="AE116" i="24"/>
  <c r="AF116" i="24" s="1"/>
  <c r="AG116" i="24" s="1"/>
  <c r="AP127" i="17"/>
  <c r="AE134" i="24"/>
  <c r="AF134" i="24" s="1"/>
  <c r="AG134" i="24" s="1"/>
  <c r="AP73" i="17"/>
  <c r="AE76" i="24"/>
  <c r="AF76" i="24" s="1"/>
  <c r="AG76" i="24" s="1"/>
  <c r="AP28" i="17"/>
  <c r="AE30" i="24"/>
  <c r="AF30" i="24" s="1"/>
  <c r="AG30" i="24" s="1"/>
  <c r="O141" i="17"/>
  <c r="AP20" i="17"/>
  <c r="AP76" i="17"/>
  <c r="AP23" i="25" s="1"/>
  <c r="AP38" i="17"/>
  <c r="AP12" i="25" s="1"/>
  <c r="AP97" i="17"/>
  <c r="AP42" i="17"/>
  <c r="AP9" i="25" s="1"/>
  <c r="AP31" i="17"/>
  <c r="AP10" i="25" s="1"/>
  <c r="AP106" i="17"/>
  <c r="AP41" i="17"/>
  <c r="AP50" i="17"/>
  <c r="AP66" i="17"/>
  <c r="AP33" i="17"/>
  <c r="AP14" i="25" l="1"/>
  <c r="AP13" i="25"/>
  <c r="AP17" i="25"/>
  <c r="AP22" i="25"/>
  <c r="AP8" i="25"/>
  <c r="AP15" i="25"/>
  <c r="AP7" i="25"/>
  <c r="AP24" i="25" s="1"/>
  <c r="AP21" i="25"/>
  <c r="AP18" i="25"/>
  <c r="AP19" i="25"/>
  <c r="AQ24" i="25"/>
  <c r="AJ6" i="24"/>
  <c r="AI141" i="24"/>
  <c r="AE141" i="24"/>
  <c r="AF141" i="24"/>
  <c r="AG141" i="24" s="1"/>
  <c r="AG6" i="24"/>
  <c r="AP141" i="17"/>
  <c r="AQ141" i="17"/>
  <c r="AK6" i="24" l="1"/>
  <c r="AJ141" i="24"/>
  <c r="AK141" i="24" s="1"/>
  <c r="J15" i="17" l="1"/>
  <c r="J42" i="17"/>
  <c r="J9" i="25" s="1"/>
  <c r="I9" i="25" s="1"/>
  <c r="J112" i="17"/>
  <c r="J119" i="17"/>
  <c r="J68" i="17"/>
  <c r="J102" i="17"/>
  <c r="J131" i="17"/>
  <c r="J103" i="17"/>
  <c r="J135" i="17"/>
  <c r="J133" i="17"/>
  <c r="J57" i="17"/>
  <c r="J46" i="17"/>
  <c r="J6" i="17"/>
  <c r="J129" i="17"/>
  <c r="J9" i="17"/>
  <c r="J96" i="17"/>
  <c r="J138" i="17"/>
  <c r="J51" i="17"/>
  <c r="J113" i="17"/>
  <c r="J33" i="17"/>
  <c r="J64" i="17"/>
  <c r="J105" i="17"/>
  <c r="J71" i="17"/>
  <c r="J100" i="17"/>
  <c r="J65" i="17"/>
  <c r="J81" i="17"/>
  <c r="J114" i="17"/>
  <c r="J36" i="17"/>
  <c r="J77" i="17"/>
  <c r="J128" i="17"/>
  <c r="J53" i="17"/>
  <c r="J106" i="17"/>
  <c r="J39" i="17"/>
  <c r="J127" i="17"/>
  <c r="J52" i="17"/>
  <c r="J111" i="17"/>
  <c r="J59" i="17"/>
  <c r="J117" i="17"/>
  <c r="J87" i="17"/>
  <c r="J73" i="17"/>
  <c r="J58" i="17"/>
  <c r="J19" i="17"/>
  <c r="J122" i="17"/>
  <c r="J121" i="17"/>
  <c r="G77" i="17"/>
  <c r="G119" i="17"/>
  <c r="J130" i="17"/>
  <c r="J116" i="17"/>
  <c r="J101" i="17"/>
  <c r="J86" i="17"/>
  <c r="J72" i="17"/>
  <c r="G33" i="17"/>
  <c r="G114" i="17"/>
  <c r="G113" i="17"/>
  <c r="J125" i="17"/>
  <c r="J123" i="17"/>
  <c r="J107" i="17"/>
  <c r="J93" i="17"/>
  <c r="J80" i="17"/>
  <c r="J45" i="17"/>
  <c r="J110" i="17"/>
  <c r="J50" i="17"/>
  <c r="J120" i="17"/>
  <c r="J27" i="17"/>
  <c r="G48" i="17"/>
  <c r="J48" i="17"/>
  <c r="J88" i="17"/>
  <c r="J11" i="17"/>
  <c r="G15" i="17"/>
  <c r="J140" i="17"/>
  <c r="G140" i="17"/>
  <c r="J8" i="17"/>
  <c r="J37" i="17"/>
  <c r="J54" i="17"/>
  <c r="G54" i="17"/>
  <c r="G106" i="17"/>
  <c r="G39" i="17"/>
  <c r="J14" i="17"/>
  <c r="J92" i="17"/>
  <c r="J91" i="17"/>
  <c r="J30" i="17"/>
  <c r="G30" i="17"/>
  <c r="J41" i="17"/>
  <c r="G41" i="17"/>
  <c r="J69" i="17"/>
  <c r="G69" i="17"/>
  <c r="J90" i="17"/>
  <c r="G90" i="17"/>
  <c r="J47" i="17"/>
  <c r="J32" i="17"/>
  <c r="J134" i="17"/>
  <c r="J63" i="17"/>
  <c r="J78" i="17"/>
  <c r="J21" i="25" s="1"/>
  <c r="I21" i="25" s="1"/>
  <c r="J56" i="17"/>
  <c r="G138" i="17"/>
  <c r="G110" i="17"/>
  <c r="G96" i="17"/>
  <c r="G50" i="17"/>
  <c r="J66" i="17"/>
  <c r="G66" i="17"/>
  <c r="G128" i="17"/>
  <c r="G63" i="17"/>
  <c r="G78" i="17"/>
  <c r="J28" i="17"/>
  <c r="J40" i="17"/>
  <c r="J25" i="17"/>
  <c r="J26" i="17"/>
  <c r="J13" i="17"/>
  <c r="H141" i="17"/>
  <c r="J79" i="17"/>
  <c r="J16" i="17"/>
  <c r="J6" i="25" s="1"/>
  <c r="J17" i="17"/>
  <c r="J55" i="17"/>
  <c r="J108" i="17"/>
  <c r="J115" i="17"/>
  <c r="G17" i="17"/>
  <c r="G127" i="17"/>
  <c r="G53" i="17"/>
  <c r="G14" i="17"/>
  <c r="G111" i="17"/>
  <c r="G59" i="17"/>
  <c r="G117" i="17"/>
  <c r="G87" i="17"/>
  <c r="G73" i="17"/>
  <c r="G58" i="17"/>
  <c r="J44" i="17"/>
  <c r="J139" i="17"/>
  <c r="J89" i="17"/>
  <c r="G131" i="17"/>
  <c r="G102" i="17"/>
  <c r="G130" i="17"/>
  <c r="G116" i="17"/>
  <c r="G101" i="17"/>
  <c r="G86" i="17"/>
  <c r="G72" i="17"/>
  <c r="G57" i="17"/>
  <c r="J10" i="17"/>
  <c r="J84" i="17"/>
  <c r="J24" i="17"/>
  <c r="J13" i="25" s="1"/>
  <c r="I13" i="25" s="1"/>
  <c r="J31" i="17"/>
  <c r="J60" i="17"/>
  <c r="G36" i="17"/>
  <c r="G125" i="17"/>
  <c r="G135" i="17"/>
  <c r="G123" i="17"/>
  <c r="G107" i="17"/>
  <c r="G93" i="17"/>
  <c r="G80" i="17"/>
  <c r="G64" i="17"/>
  <c r="G47" i="17"/>
  <c r="G32" i="17"/>
  <c r="G134" i="17"/>
  <c r="G8" i="17"/>
  <c r="J62" i="17"/>
  <c r="J104" i="17"/>
  <c r="G104" i="17"/>
  <c r="J21" i="17"/>
  <c r="G21" i="17"/>
  <c r="J83" i="17"/>
  <c r="G83" i="17"/>
  <c r="G35" i="17"/>
  <c r="J35" i="17"/>
  <c r="J118" i="17"/>
  <c r="J75" i="17"/>
  <c r="J70" i="17"/>
  <c r="G7" i="17"/>
  <c r="J7" i="17"/>
  <c r="J15" i="25" s="1"/>
  <c r="I15" i="25" s="1"/>
  <c r="J124" i="17"/>
  <c r="G38" i="17"/>
  <c r="J38" i="17"/>
  <c r="J12" i="25" s="1"/>
  <c r="I12" i="25" s="1"/>
  <c r="J12" i="17"/>
  <c r="J97" i="17"/>
  <c r="J82" i="17"/>
  <c r="J137" i="17"/>
  <c r="J126" i="17"/>
  <c r="G27" i="17"/>
  <c r="G11" i="17"/>
  <c r="G92" i="17"/>
  <c r="G91" i="17"/>
  <c r="J29" i="17"/>
  <c r="G29" i="17"/>
  <c r="J132" i="17"/>
  <c r="G62" i="17"/>
  <c r="G37" i="17"/>
  <c r="J61" i="17"/>
  <c r="J20" i="25" s="1"/>
  <c r="I20" i="25" s="1"/>
  <c r="J98" i="17"/>
  <c r="J95" i="17"/>
  <c r="J136" i="17"/>
  <c r="G16" i="17"/>
  <c r="G61" i="17"/>
  <c r="G105" i="17"/>
  <c r="G44" i="17"/>
  <c r="G139" i="17"/>
  <c r="G89" i="17"/>
  <c r="J109" i="17"/>
  <c r="J94" i="17"/>
  <c r="G26" i="17"/>
  <c r="G10" i="17"/>
  <c r="G84" i="17"/>
  <c r="G24" i="17"/>
  <c r="G31" i="17"/>
  <c r="G120" i="17"/>
  <c r="G60" i="17"/>
  <c r="J43" i="17"/>
  <c r="J85" i="17"/>
  <c r="G67" i="17"/>
  <c r="J67" i="17"/>
  <c r="J19" i="25" s="1"/>
  <c r="I19" i="25" s="1"/>
  <c r="G20" i="17"/>
  <c r="J20" i="17"/>
  <c r="J49" i="17"/>
  <c r="J11" i="25" s="1"/>
  <c r="I11" i="25" s="1"/>
  <c r="G79" i="17"/>
  <c r="G97" i="17"/>
  <c r="G25" i="17"/>
  <c r="J99" i="17"/>
  <c r="J74" i="17"/>
  <c r="G133" i="17"/>
  <c r="G51" i="17"/>
  <c r="G6" i="17"/>
  <c r="G132" i="17"/>
  <c r="G118" i="17"/>
  <c r="G103" i="17"/>
  <c r="G88" i="17"/>
  <c r="G75" i="17"/>
  <c r="G42" i="17"/>
  <c r="G28" i="17"/>
  <c r="J34" i="17"/>
  <c r="J17" i="25" s="1"/>
  <c r="I17" i="25" s="1"/>
  <c r="G22" i="17"/>
  <c r="J22" i="17"/>
  <c r="G23" i="17"/>
  <c r="J23" i="17"/>
  <c r="G34" i="17"/>
  <c r="G98" i="17"/>
  <c r="G126" i="17"/>
  <c r="G13" i="17"/>
  <c r="G95" i="17"/>
  <c r="G82" i="17"/>
  <c r="G109" i="17"/>
  <c r="G136" i="17"/>
  <c r="G124" i="17"/>
  <c r="G108" i="17"/>
  <c r="G94" i="17"/>
  <c r="G81" i="17"/>
  <c r="G65" i="17"/>
  <c r="G43" i="17"/>
  <c r="G137" i="17"/>
  <c r="G129" i="17"/>
  <c r="G115" i="17"/>
  <c r="G100" i="17"/>
  <c r="G85" i="17"/>
  <c r="G71" i="17"/>
  <c r="G55" i="17"/>
  <c r="G40" i="17"/>
  <c r="G9" i="17"/>
  <c r="G70" i="17"/>
  <c r="G12" i="17"/>
  <c r="G56" i="17"/>
  <c r="G68" i="17"/>
  <c r="G76" i="17"/>
  <c r="J76" i="17"/>
  <c r="J23" i="25" s="1"/>
  <c r="I23" i="25" s="1"/>
  <c r="G49" i="17"/>
  <c r="G112" i="17"/>
  <c r="G52" i="17"/>
  <c r="G19" i="17"/>
  <c r="G122" i="17"/>
  <c r="G46" i="17"/>
  <c r="G121" i="17"/>
  <c r="G99" i="17"/>
  <c r="G74" i="17"/>
  <c r="G45" i="17"/>
  <c r="J8" i="25" l="1"/>
  <c r="I8" i="25" s="1"/>
  <c r="I6" i="25"/>
  <c r="J18" i="25"/>
  <c r="I18" i="25" s="1"/>
  <c r="J22" i="25"/>
  <c r="I22" i="25" s="1"/>
  <c r="J16" i="25"/>
  <c r="I16" i="25" s="1"/>
  <c r="J10" i="25"/>
  <c r="I10" i="25" s="1"/>
  <c r="J7" i="25"/>
  <c r="I7" i="25" s="1"/>
  <c r="J14" i="25"/>
  <c r="I14" i="25" s="1"/>
  <c r="G141" i="17"/>
  <c r="J141" i="17"/>
  <c r="I24" i="25" l="1"/>
  <c r="J24" i="25"/>
  <c r="K48" i="17"/>
  <c r="K18" i="17"/>
  <c r="K53" i="17"/>
  <c r="K6" i="17"/>
  <c r="K61" i="17"/>
  <c r="K98" i="17"/>
  <c r="K114" i="17"/>
  <c r="K123" i="17"/>
  <c r="K28" i="17"/>
  <c r="K134" i="17"/>
  <c r="K117" i="17"/>
  <c r="K112" i="17"/>
  <c r="K138" i="17"/>
  <c r="K90" i="17"/>
  <c r="K131" i="17"/>
  <c r="K116" i="17"/>
  <c r="K36" i="17"/>
  <c r="K135" i="17"/>
  <c r="K71" i="17"/>
  <c r="K103" i="17"/>
  <c r="K66" i="17"/>
  <c r="K72" i="17"/>
  <c r="K34" i="17"/>
  <c r="K97" i="17"/>
  <c r="K42" i="17"/>
  <c r="K9" i="25" s="1"/>
  <c r="K113" i="17"/>
  <c r="K26" i="17"/>
  <c r="K99" i="17"/>
  <c r="K77" i="17"/>
  <c r="K80" i="17"/>
  <c r="K12" i="17"/>
  <c r="K24" i="17"/>
  <c r="K105" i="17"/>
  <c r="K44" i="17"/>
  <c r="K137" i="17"/>
  <c r="K132" i="17"/>
  <c r="K130" i="17"/>
  <c r="K94" i="17"/>
  <c r="K70" i="17"/>
  <c r="K92" i="17"/>
  <c r="K21" i="17"/>
  <c r="K16" i="25" s="1"/>
  <c r="K102" i="17"/>
  <c r="K96" i="17"/>
  <c r="K51" i="17"/>
  <c r="K87" i="17"/>
  <c r="K32" i="17"/>
  <c r="K46" i="17"/>
  <c r="K95" i="17"/>
  <c r="K86" i="17"/>
  <c r="K120" i="17"/>
  <c r="K101" i="17"/>
  <c r="K14" i="17"/>
  <c r="K74" i="17"/>
  <c r="K128" i="17"/>
  <c r="K79" i="17"/>
  <c r="K84" i="17"/>
  <c r="K58" i="17"/>
  <c r="K45" i="17"/>
  <c r="K136" i="17"/>
  <c r="K89" i="17"/>
  <c r="K9" i="17"/>
  <c r="K93" i="17"/>
  <c r="K55" i="17"/>
  <c r="K109" i="17"/>
  <c r="K35" i="17"/>
  <c r="K52" i="17"/>
  <c r="K39" i="17"/>
  <c r="K16" i="17"/>
  <c r="K6" i="25" s="1"/>
  <c r="K40" i="17"/>
  <c r="K78" i="17"/>
  <c r="K125" i="17"/>
  <c r="K115" i="17"/>
  <c r="K67" i="17"/>
  <c r="K19" i="25" s="1"/>
  <c r="K20" i="17"/>
  <c r="K23" i="17"/>
  <c r="K75" i="17"/>
  <c r="K31" i="17"/>
  <c r="K76" i="17"/>
  <c r="K23" i="25" s="1"/>
  <c r="K50" i="17"/>
  <c r="K91" i="17"/>
  <c r="K57" i="17"/>
  <c r="K118" i="17"/>
  <c r="K27" i="17"/>
  <c r="K7" i="17"/>
  <c r="K73" i="17"/>
  <c r="K13" i="17"/>
  <c r="K10" i="17"/>
  <c r="K100" i="17"/>
  <c r="K41" i="17"/>
  <c r="K7" i="25" s="1"/>
  <c r="K68" i="17"/>
  <c r="K56" i="17"/>
  <c r="K104" i="17"/>
  <c r="K29" i="17"/>
  <c r="K19" i="17"/>
  <c r="K110" i="17"/>
  <c r="K49" i="17"/>
  <c r="K11" i="25" s="1"/>
  <c r="K121" i="17"/>
  <c r="K37" i="17"/>
  <c r="K140" i="17"/>
  <c r="K133" i="17"/>
  <c r="K127" i="17"/>
  <c r="K63" i="17"/>
  <c r="K106" i="17"/>
  <c r="K124" i="17"/>
  <c r="K129" i="17"/>
  <c r="K119" i="17"/>
  <c r="K47" i="17"/>
  <c r="K139" i="17"/>
  <c r="K83" i="17"/>
  <c r="K25" i="17"/>
  <c r="K43" i="17"/>
  <c r="K54" i="17"/>
  <c r="K81" i="17"/>
  <c r="K62" i="17"/>
  <c r="K8" i="17"/>
  <c r="K22" i="17"/>
  <c r="K65" i="17"/>
  <c r="K15" i="17"/>
  <c r="K122" i="17"/>
  <c r="K30" i="17"/>
  <c r="K88" i="17"/>
  <c r="K60" i="17"/>
  <c r="K11" i="17"/>
  <c r="K64" i="17"/>
  <c r="K108" i="17"/>
  <c r="K85" i="17"/>
  <c r="K107" i="17"/>
  <c r="K126" i="17"/>
  <c r="K17" i="17"/>
  <c r="K8" i="25" s="1"/>
  <c r="K33" i="17"/>
  <c r="K38" i="17"/>
  <c r="K12" i="25" s="1"/>
  <c r="K111" i="17"/>
  <c r="K82" i="17"/>
  <c r="K59" i="17"/>
  <c r="K69" i="17"/>
  <c r="K10" i="25" l="1"/>
  <c r="K24" i="25" s="1"/>
  <c r="K20" i="25"/>
  <c r="K15" i="25"/>
  <c r="K22" i="25"/>
  <c r="K18" i="25"/>
  <c r="K21" i="25"/>
  <c r="K14" i="25"/>
  <c r="K13" i="25"/>
  <c r="K17" i="25"/>
  <c r="L69" i="17"/>
  <c r="L107" i="17"/>
  <c r="L30" i="17"/>
  <c r="AO30" i="17" s="1"/>
  <c r="L62" i="17"/>
  <c r="L119" i="17"/>
  <c r="L37" i="17"/>
  <c r="L73" i="17"/>
  <c r="L31" i="17"/>
  <c r="L40" i="17"/>
  <c r="L9" i="17"/>
  <c r="L128" i="17"/>
  <c r="L32" i="17"/>
  <c r="L94" i="17"/>
  <c r="L12" i="17"/>
  <c r="L131" i="17"/>
  <c r="L59" i="17"/>
  <c r="L129" i="17"/>
  <c r="L104" i="17"/>
  <c r="L89" i="17"/>
  <c r="L87" i="17"/>
  <c r="L114" i="17"/>
  <c r="L82" i="17"/>
  <c r="L108" i="17"/>
  <c r="L54" i="17"/>
  <c r="L124" i="17"/>
  <c r="L56" i="17"/>
  <c r="L27" i="17"/>
  <c r="L39" i="17"/>
  <c r="L136" i="17"/>
  <c r="L14" i="17"/>
  <c r="L51" i="17"/>
  <c r="L130" i="17"/>
  <c r="L77" i="17"/>
  <c r="L66" i="17"/>
  <c r="L138" i="17"/>
  <c r="L98" i="17"/>
  <c r="L85" i="17"/>
  <c r="AO85" i="17" s="1"/>
  <c r="L72" i="17"/>
  <c r="L90" i="17"/>
  <c r="L111" i="17"/>
  <c r="L65" i="17"/>
  <c r="L43" i="17"/>
  <c r="L106" i="17"/>
  <c r="L68" i="17"/>
  <c r="L118" i="17"/>
  <c r="L52" i="17"/>
  <c r="L45" i="17"/>
  <c r="L101" i="17"/>
  <c r="L96" i="17"/>
  <c r="L132" i="17"/>
  <c r="L99" i="17"/>
  <c r="L103" i="17"/>
  <c r="AO103" i="17" s="1"/>
  <c r="L112" i="17"/>
  <c r="L61" i="17"/>
  <c r="L20" i="25" s="1"/>
  <c r="L81" i="17"/>
  <c r="L25" i="17"/>
  <c r="L57" i="17"/>
  <c r="L35" i="17"/>
  <c r="L58" i="17"/>
  <c r="L120" i="17"/>
  <c r="L102" i="17"/>
  <c r="L137" i="17"/>
  <c r="L26" i="17"/>
  <c r="L71" i="17"/>
  <c r="L117" i="17"/>
  <c r="L6" i="17"/>
  <c r="L122" i="17"/>
  <c r="L74" i="17"/>
  <c r="L80" i="17"/>
  <c r="L64" i="17"/>
  <c r="L63" i="17"/>
  <c r="L121" i="17"/>
  <c r="L33" i="17"/>
  <c r="L11" i="17"/>
  <c r="L83" i="17"/>
  <c r="L127" i="17"/>
  <c r="L100" i="17"/>
  <c r="L91" i="17"/>
  <c r="L115" i="17"/>
  <c r="L109" i="17"/>
  <c r="L84" i="17"/>
  <c r="L86" i="17"/>
  <c r="L21" i="17"/>
  <c r="L16" i="25" s="1"/>
  <c r="L44" i="17"/>
  <c r="L113" i="17"/>
  <c r="L135" i="17"/>
  <c r="L134" i="17"/>
  <c r="L53" i="17"/>
  <c r="L60" i="17"/>
  <c r="L139" i="17"/>
  <c r="L133" i="17"/>
  <c r="L110" i="17"/>
  <c r="L10" i="17"/>
  <c r="L50" i="17"/>
  <c r="L125" i="17"/>
  <c r="L55" i="17"/>
  <c r="L79" i="17"/>
  <c r="L95" i="17"/>
  <c r="L92" i="17"/>
  <c r="L105" i="17"/>
  <c r="L42" i="17"/>
  <c r="L9" i="25" s="1"/>
  <c r="L36" i="17"/>
  <c r="L28" i="17"/>
  <c r="L18" i="17"/>
  <c r="L21" i="25" s="1"/>
  <c r="L75" i="17"/>
  <c r="L126" i="17"/>
  <c r="L88" i="17"/>
  <c r="L8" i="17"/>
  <c r="L47" i="17"/>
  <c r="L140" i="17"/>
  <c r="L19" i="17"/>
  <c r="L13" i="17"/>
  <c r="L78" i="17"/>
  <c r="L93" i="17"/>
  <c r="L46" i="17"/>
  <c r="L70" i="17"/>
  <c r="L24" i="17"/>
  <c r="L13" i="25" s="1"/>
  <c r="L97" i="17"/>
  <c r="L116" i="17"/>
  <c r="L123" i="17"/>
  <c r="L48" i="17"/>
  <c r="L76" i="17"/>
  <c r="L38" i="17"/>
  <c r="L12" i="25" s="1"/>
  <c r="L15" i="17"/>
  <c r="L41" i="17"/>
  <c r="L7" i="25" s="1"/>
  <c r="L7" i="17"/>
  <c r="L15" i="25" s="1"/>
  <c r="K141" i="17"/>
  <c r="L34" i="17"/>
  <c r="L17" i="25" s="1"/>
  <c r="L17" i="17"/>
  <c r="L8" i="25" s="1"/>
  <c r="L49" i="17"/>
  <c r="L16" i="17"/>
  <c r="L6" i="25" s="1"/>
  <c r="L22" i="17"/>
  <c r="L23" i="17"/>
  <c r="L29" i="17"/>
  <c r="L10" i="25" s="1"/>
  <c r="L67" i="17"/>
  <c r="L20" i="17"/>
  <c r="L18" i="25" l="1"/>
  <c r="L11" i="25"/>
  <c r="L23" i="25"/>
  <c r="L22" i="25"/>
  <c r="L14" i="25"/>
  <c r="L19" i="25"/>
  <c r="AF19" i="17"/>
  <c r="AR19" i="17" s="1"/>
  <c r="AF28" i="17"/>
  <c r="AF125" i="17"/>
  <c r="O125" i="24" s="1"/>
  <c r="AF26" i="17"/>
  <c r="AR26" i="17" s="1"/>
  <c r="AF81" i="17"/>
  <c r="O81" i="24" s="1"/>
  <c r="AF45" i="17"/>
  <c r="AF111" i="17"/>
  <c r="AR111" i="17" s="1"/>
  <c r="AF130" i="17"/>
  <c r="AR130" i="17" s="1"/>
  <c r="AF54" i="17"/>
  <c r="O54" i="24" s="1"/>
  <c r="AF59" i="17"/>
  <c r="O59" i="24" s="1"/>
  <c r="AF31" i="17"/>
  <c r="AF22" i="17"/>
  <c r="O22" i="24" s="1"/>
  <c r="AF51" i="17"/>
  <c r="AF73" i="17"/>
  <c r="AR73" i="17" s="1"/>
  <c r="AF29" i="17"/>
  <c r="AF38" i="17"/>
  <c r="AF24" i="17"/>
  <c r="AF47" i="17"/>
  <c r="O47" i="24" s="1"/>
  <c r="AF42" i="17"/>
  <c r="AF10" i="17"/>
  <c r="AR10" i="17" s="1"/>
  <c r="AF100" i="17"/>
  <c r="AR100" i="17" s="1"/>
  <c r="AF80" i="17"/>
  <c r="AF112" i="17"/>
  <c r="O112" i="24" s="1"/>
  <c r="AF72" i="17"/>
  <c r="AR72" i="17" s="1"/>
  <c r="AF14" i="17"/>
  <c r="AF12" i="17"/>
  <c r="AR12" i="17" s="1"/>
  <c r="AF37" i="17"/>
  <c r="AR37" i="17" s="1"/>
  <c r="AF17" i="17"/>
  <c r="AF70" i="17"/>
  <c r="AR70" i="17" s="1"/>
  <c r="AF127" i="17"/>
  <c r="AR127" i="17" s="1"/>
  <c r="AF120" i="17"/>
  <c r="O120" i="24" s="1"/>
  <c r="AF103" i="17"/>
  <c r="O103" i="24" s="1"/>
  <c r="AF85" i="17"/>
  <c r="AF136" i="17"/>
  <c r="AR136" i="17" s="1"/>
  <c r="AF114" i="17"/>
  <c r="AR114" i="17" s="1"/>
  <c r="AF94" i="17"/>
  <c r="AR94" i="17" s="1"/>
  <c r="AF119" i="17"/>
  <c r="O119" i="24" s="1"/>
  <c r="P119" i="24" s="1"/>
  <c r="AF67" i="17"/>
  <c r="AF16" i="17"/>
  <c r="AF6" i="25" s="1"/>
  <c r="AF97" i="17"/>
  <c r="AR97" i="17" s="1"/>
  <c r="AF49" i="17"/>
  <c r="AF7" i="17"/>
  <c r="AF46" i="17"/>
  <c r="AR46" i="17" s="1"/>
  <c r="AF88" i="17"/>
  <c r="O88" i="24" s="1"/>
  <c r="AF92" i="17"/>
  <c r="AR92" i="17" s="1"/>
  <c r="AF133" i="17"/>
  <c r="AF21" i="17"/>
  <c r="AF122" i="17"/>
  <c r="AF58" i="17"/>
  <c r="AF99" i="17"/>
  <c r="AR99" i="17" s="1"/>
  <c r="AF106" i="17"/>
  <c r="AR106" i="17" s="1"/>
  <c r="AF98" i="17"/>
  <c r="AR98" i="17" s="1"/>
  <c r="AF87" i="17"/>
  <c r="O87" i="24" s="1"/>
  <c r="AF62" i="17"/>
  <c r="AR62" i="17" s="1"/>
  <c r="AF34" i="17"/>
  <c r="AF15" i="17"/>
  <c r="O15" i="24" s="1"/>
  <c r="AF140" i="17"/>
  <c r="O140" i="24" s="1"/>
  <c r="AF36" i="17"/>
  <c r="AR36" i="17" s="1"/>
  <c r="AF50" i="17"/>
  <c r="AF135" i="17"/>
  <c r="O135" i="24" s="1"/>
  <c r="AF91" i="17"/>
  <c r="O91" i="24" s="1"/>
  <c r="AF64" i="17"/>
  <c r="O64" i="24" s="1"/>
  <c r="AF137" i="17"/>
  <c r="O137" i="24" s="1"/>
  <c r="AF61" i="17"/>
  <c r="AF90" i="17"/>
  <c r="AR90" i="17" s="1"/>
  <c r="AF108" i="17"/>
  <c r="AR108" i="17" s="1"/>
  <c r="AF131" i="17"/>
  <c r="AR131" i="17" s="1"/>
  <c r="AF20" i="17"/>
  <c r="O20" i="24" s="1"/>
  <c r="AF23" i="17"/>
  <c r="AF76" i="17"/>
  <c r="AF93" i="17"/>
  <c r="AR93" i="17" s="1"/>
  <c r="AF126" i="17"/>
  <c r="AR126" i="17" s="1"/>
  <c r="AF95" i="17"/>
  <c r="O95" i="24" s="1"/>
  <c r="AF139" i="17"/>
  <c r="AR139" i="17" s="1"/>
  <c r="AF11" i="17"/>
  <c r="O11" i="24" s="1"/>
  <c r="AF6" i="17"/>
  <c r="AF132" i="17"/>
  <c r="O132" i="24" s="1"/>
  <c r="AF43" i="17"/>
  <c r="AR43" i="17" s="1"/>
  <c r="AF138" i="17"/>
  <c r="O138" i="24" s="1"/>
  <c r="AF30" i="17"/>
  <c r="O30" i="24" s="1"/>
  <c r="P30" i="24" s="1"/>
  <c r="AF48" i="17"/>
  <c r="AF79" i="17"/>
  <c r="AF33" i="17"/>
  <c r="O33" i="24" s="1"/>
  <c r="AF117" i="17"/>
  <c r="AR117" i="17" s="1"/>
  <c r="AF65" i="17"/>
  <c r="AR65" i="17" s="1"/>
  <c r="AF66" i="17"/>
  <c r="AR66" i="17" s="1"/>
  <c r="AF56" i="17"/>
  <c r="O56" i="24" s="1"/>
  <c r="AF9" i="17"/>
  <c r="O9" i="24" s="1"/>
  <c r="P9" i="24" s="1"/>
  <c r="Q9" i="24" s="1"/>
  <c r="AF41" i="17"/>
  <c r="AF18" i="17"/>
  <c r="AR18" i="17" s="1"/>
  <c r="AF55" i="17"/>
  <c r="O55" i="24" s="1"/>
  <c r="AF109" i="17"/>
  <c r="O109" i="24" s="1"/>
  <c r="AF121" i="17"/>
  <c r="AR121" i="17" s="1"/>
  <c r="AF25" i="17"/>
  <c r="AF101" i="17"/>
  <c r="O101" i="24" s="1"/>
  <c r="AF77" i="17"/>
  <c r="AR77" i="17" s="1"/>
  <c r="AF69" i="17"/>
  <c r="AR69" i="17" s="1"/>
  <c r="AO115" i="17"/>
  <c r="AF115" i="17"/>
  <c r="AR115" i="17" s="1"/>
  <c r="AO116" i="17"/>
  <c r="AF116" i="17"/>
  <c r="O116" i="24" s="1"/>
  <c r="AO134" i="17"/>
  <c r="AF134" i="17"/>
  <c r="AR134" i="17" s="1"/>
  <c r="AO63" i="17"/>
  <c r="AA63" i="24" s="1"/>
  <c r="AB63" i="24" s="1"/>
  <c r="AC63" i="24" s="1"/>
  <c r="AF63" i="17"/>
  <c r="AR63" i="17" s="1"/>
  <c r="AO52" i="17"/>
  <c r="AF52" i="17"/>
  <c r="O52" i="24" s="1"/>
  <c r="AO113" i="17"/>
  <c r="AF113" i="17"/>
  <c r="O113" i="24" s="1"/>
  <c r="AO102" i="17"/>
  <c r="AA102" i="24" s="1"/>
  <c r="AB102" i="24" s="1"/>
  <c r="AC102" i="24" s="1"/>
  <c r="AF102" i="17"/>
  <c r="AR102" i="17" s="1"/>
  <c r="AO118" i="17"/>
  <c r="AF118" i="17"/>
  <c r="AR118" i="17" s="1"/>
  <c r="AO82" i="17"/>
  <c r="AF82" i="17"/>
  <c r="O82" i="24" s="1"/>
  <c r="AO8" i="17"/>
  <c r="AF8" i="17"/>
  <c r="AR8" i="17" s="1"/>
  <c r="AO105" i="17"/>
  <c r="AF105" i="17"/>
  <c r="AR105" i="17" s="1"/>
  <c r="AO110" i="17"/>
  <c r="AF110" i="17"/>
  <c r="AR110" i="17" s="1"/>
  <c r="AO44" i="17"/>
  <c r="AF44" i="17"/>
  <c r="O44" i="24" s="1"/>
  <c r="AO74" i="17"/>
  <c r="AA74" i="24" s="1"/>
  <c r="AB74" i="24" s="1"/>
  <c r="AC74" i="24" s="1"/>
  <c r="AF74" i="17"/>
  <c r="AR74" i="17" s="1"/>
  <c r="AO68" i="17"/>
  <c r="AF68" i="17"/>
  <c r="O68" i="24" s="1"/>
  <c r="AO83" i="17"/>
  <c r="AF83" i="17"/>
  <c r="O83" i="24" s="1"/>
  <c r="AO39" i="17"/>
  <c r="AA39" i="24" s="1"/>
  <c r="AB39" i="24" s="1"/>
  <c r="AC39" i="24" s="1"/>
  <c r="AF39" i="17"/>
  <c r="AR39" i="17" s="1"/>
  <c r="AO32" i="17"/>
  <c r="AA32" i="24" s="1"/>
  <c r="AB32" i="24" s="1"/>
  <c r="AC32" i="24" s="1"/>
  <c r="AF32" i="17"/>
  <c r="O32" i="24" s="1"/>
  <c r="AO86" i="17"/>
  <c r="AF86" i="17"/>
  <c r="AR86" i="17" s="1"/>
  <c r="AO35" i="17"/>
  <c r="AF35" i="17"/>
  <c r="AR35" i="17" s="1"/>
  <c r="AO27" i="17"/>
  <c r="AF27" i="17"/>
  <c r="AR27" i="17" s="1"/>
  <c r="AO89" i="17"/>
  <c r="AA89" i="24" s="1"/>
  <c r="AB89" i="24" s="1"/>
  <c r="AC89" i="24" s="1"/>
  <c r="AF89" i="17"/>
  <c r="AR89" i="17" s="1"/>
  <c r="AO128" i="17"/>
  <c r="AF128" i="17"/>
  <c r="O128" i="24" s="1"/>
  <c r="AO78" i="17"/>
  <c r="AF78" i="17"/>
  <c r="O78" i="24" s="1"/>
  <c r="AO75" i="17"/>
  <c r="AF75" i="17"/>
  <c r="AR75" i="17" s="1"/>
  <c r="AO60" i="17"/>
  <c r="AF60" i="17"/>
  <c r="O60" i="24" s="1"/>
  <c r="AO84" i="17"/>
  <c r="AF84" i="17"/>
  <c r="AR84" i="17" s="1"/>
  <c r="AO57" i="17"/>
  <c r="AA57" i="24" s="1"/>
  <c r="AB57" i="24" s="1"/>
  <c r="AC57" i="24" s="1"/>
  <c r="AF57" i="17"/>
  <c r="O57" i="24" s="1"/>
  <c r="P57" i="24" s="1"/>
  <c r="Q57" i="24" s="1"/>
  <c r="AO96" i="17"/>
  <c r="AF96" i="17"/>
  <c r="AR96" i="17" s="1"/>
  <c r="AO104" i="17"/>
  <c r="AF104" i="17"/>
  <c r="AR104" i="17" s="1"/>
  <c r="AO107" i="17"/>
  <c r="AF107" i="17"/>
  <c r="AR107" i="17" s="1"/>
  <c r="AO123" i="17"/>
  <c r="AF123" i="17"/>
  <c r="O123" i="24" s="1"/>
  <c r="AO13" i="17"/>
  <c r="AF13" i="17"/>
  <c r="AF53" i="17"/>
  <c r="O53" i="24" s="1"/>
  <c r="AO71" i="17"/>
  <c r="AF71" i="17"/>
  <c r="AR71" i="17" s="1"/>
  <c r="AO124" i="17"/>
  <c r="AF124" i="17"/>
  <c r="AR124" i="17" s="1"/>
  <c r="AO129" i="17"/>
  <c r="AF129" i="17"/>
  <c r="AR129" i="17" s="1"/>
  <c r="AO40" i="17"/>
  <c r="AF40" i="17"/>
  <c r="AR40" i="17" s="1"/>
  <c r="AO37" i="17"/>
  <c r="AA37" i="24" s="1"/>
  <c r="AB37" i="24" s="1"/>
  <c r="AC37" i="24" s="1"/>
  <c r="AO92" i="17"/>
  <c r="AO132" i="17"/>
  <c r="AO46" i="17"/>
  <c r="AA46" i="24" s="1"/>
  <c r="AB46" i="24" s="1"/>
  <c r="AC46" i="24" s="1"/>
  <c r="AO19" i="17"/>
  <c r="AO25" i="17"/>
  <c r="AO135" i="17"/>
  <c r="AO120" i="17"/>
  <c r="AO127" i="17"/>
  <c r="AO79" i="17"/>
  <c r="AO125" i="17"/>
  <c r="AO97" i="17"/>
  <c r="AA103" i="24" s="1"/>
  <c r="AB103" i="24" s="1"/>
  <c r="AC103" i="24" s="1"/>
  <c r="AO43" i="17"/>
  <c r="AO72" i="17"/>
  <c r="AO69" i="17"/>
  <c r="AO77" i="17"/>
  <c r="AA77" i="24" s="1"/>
  <c r="AB77" i="24" s="1"/>
  <c r="AC77" i="24" s="1"/>
  <c r="AO12" i="17"/>
  <c r="AO14" i="17"/>
  <c r="AO80" i="17"/>
  <c r="AO73" i="17"/>
  <c r="AO101" i="17"/>
  <c r="AO24" i="17"/>
  <c r="AO36" i="17"/>
  <c r="AO50" i="17"/>
  <c r="AO81" i="17"/>
  <c r="AO111" i="17"/>
  <c r="AA111" i="24" s="1"/>
  <c r="AB111" i="24" s="1"/>
  <c r="AC111" i="24" s="1"/>
  <c r="AO59" i="17"/>
  <c r="AO42" i="17"/>
  <c r="AO10" i="17"/>
  <c r="AA10" i="24" s="1"/>
  <c r="AB10" i="24" s="1"/>
  <c r="AC10" i="24" s="1"/>
  <c r="AO64" i="17"/>
  <c r="AO61" i="17"/>
  <c r="AO90" i="17"/>
  <c r="AO51" i="17"/>
  <c r="AO9" i="17"/>
  <c r="AA9" i="24" s="1"/>
  <c r="AB9" i="24" s="1"/>
  <c r="AC9" i="24" s="1"/>
  <c r="AO66" i="17"/>
  <c r="AA66" i="24" s="1"/>
  <c r="AB66" i="24" s="1"/>
  <c r="AC66" i="24" s="1"/>
  <c r="AO121" i="17"/>
  <c r="AO33" i="17"/>
  <c r="AO56" i="17"/>
  <c r="AO138" i="17"/>
  <c r="AO114" i="17"/>
  <c r="AO94" i="17"/>
  <c r="AO55" i="17"/>
  <c r="AO53" i="17"/>
  <c r="AO93" i="17"/>
  <c r="AO11" i="17"/>
  <c r="AO122" i="17"/>
  <c r="AO106" i="17"/>
  <c r="AO87" i="17"/>
  <c r="AO62" i="17"/>
  <c r="AO6" i="17"/>
  <c r="AO18" i="17"/>
  <c r="AO21" i="25" s="1"/>
  <c r="AO65" i="17"/>
  <c r="AO109" i="17"/>
  <c r="AO117" i="17"/>
  <c r="AO28" i="17"/>
  <c r="AO108" i="17"/>
  <c r="AO70" i="17"/>
  <c r="AO131" i="17"/>
  <c r="AO47" i="17"/>
  <c r="AO137" i="17"/>
  <c r="AO21" i="17"/>
  <c r="AO100" i="17"/>
  <c r="AO119" i="17"/>
  <c r="AO136" i="17"/>
  <c r="AO88" i="17"/>
  <c r="AO140" i="17"/>
  <c r="AA140" i="24" s="1"/>
  <c r="AB140" i="24" s="1"/>
  <c r="AC140" i="24" s="1"/>
  <c r="AO126" i="17"/>
  <c r="AO91" i="17"/>
  <c r="AO98" i="17"/>
  <c r="AA98" i="24" s="1"/>
  <c r="AB98" i="24" s="1"/>
  <c r="AC98" i="24" s="1"/>
  <c r="AO58" i="17"/>
  <c r="AO95" i="17"/>
  <c r="AA95" i="24" s="1"/>
  <c r="AB95" i="24" s="1"/>
  <c r="AC95" i="24" s="1"/>
  <c r="AO130" i="17"/>
  <c r="AO54" i="17"/>
  <c r="AA54" i="24" s="1"/>
  <c r="AB54" i="24" s="1"/>
  <c r="AC54" i="24" s="1"/>
  <c r="AO48" i="17"/>
  <c r="AO14" i="25" s="1"/>
  <c r="AO26" i="17"/>
  <c r="AO99" i="17"/>
  <c r="AO139" i="17"/>
  <c r="AO45" i="17"/>
  <c r="AA85" i="24"/>
  <c r="AB85" i="24" s="1"/>
  <c r="AC85" i="24" s="1"/>
  <c r="AO16" i="17"/>
  <c r="AO6" i="25" s="1"/>
  <c r="AO17" i="17"/>
  <c r="O127" i="24"/>
  <c r="AO76" i="17"/>
  <c r="AO20" i="17"/>
  <c r="AA20" i="24" s="1"/>
  <c r="AB20" i="24" s="1"/>
  <c r="AC20" i="24" s="1"/>
  <c r="AO22" i="17"/>
  <c r="AO49" i="17"/>
  <c r="AO11" i="25" s="1"/>
  <c r="AO34" i="17"/>
  <c r="AO17" i="25" s="1"/>
  <c r="AO41" i="17"/>
  <c r="AO67" i="17"/>
  <c r="AO29" i="17"/>
  <c r="O139" i="24"/>
  <c r="L141" i="17"/>
  <c r="AR25" i="17"/>
  <c r="AO7" i="17"/>
  <c r="AO15" i="17"/>
  <c r="AO23" i="17"/>
  <c r="AR64" i="17"/>
  <c r="O67" i="24"/>
  <c r="AO38" i="17"/>
  <c r="AO12" i="25" s="1"/>
  <c r="O12" i="24" l="1"/>
  <c r="AR59" i="17"/>
  <c r="AF18" i="25"/>
  <c r="AF22" i="25"/>
  <c r="AF8" i="25"/>
  <c r="L24" i="25"/>
  <c r="AO23" i="25"/>
  <c r="AO16" i="25"/>
  <c r="AO20" i="25"/>
  <c r="AR42" i="17"/>
  <c r="AR9" i="25" s="1"/>
  <c r="AF9" i="25"/>
  <c r="AO19" i="25"/>
  <c r="AO13" i="25"/>
  <c r="AF21" i="25"/>
  <c r="O7" i="24"/>
  <c r="P7" i="24" s="1"/>
  <c r="Q7" i="24" s="1"/>
  <c r="AF15" i="25"/>
  <c r="AO18" i="25"/>
  <c r="AA41" i="24"/>
  <c r="AB41" i="24" s="1"/>
  <c r="AC41" i="24" s="1"/>
  <c r="AO7" i="25"/>
  <c r="AO8" i="25"/>
  <c r="AF7" i="25"/>
  <c r="O48" i="24"/>
  <c r="AF14" i="25"/>
  <c r="O49" i="24"/>
  <c r="AF11" i="25"/>
  <c r="AR24" i="17"/>
  <c r="AF13" i="25"/>
  <c r="AA42" i="24"/>
  <c r="AB42" i="24" s="1"/>
  <c r="AC42" i="24" s="1"/>
  <c r="AO9" i="25"/>
  <c r="O61" i="24"/>
  <c r="AF20" i="25"/>
  <c r="O38" i="24"/>
  <c r="P38" i="24" s="1"/>
  <c r="AF12" i="25"/>
  <c r="O34" i="24"/>
  <c r="AF17" i="25"/>
  <c r="AR21" i="17"/>
  <c r="AF16" i="25"/>
  <c r="AF10" i="25"/>
  <c r="AO15" i="25"/>
  <c r="AF23" i="25"/>
  <c r="AF19" i="25"/>
  <c r="O62" i="24"/>
  <c r="P62" i="24" s="1"/>
  <c r="K96" i="24"/>
  <c r="AT90" i="17"/>
  <c r="O46" i="24"/>
  <c r="O75" i="24"/>
  <c r="AR44" i="17"/>
  <c r="S44" i="24" s="1"/>
  <c r="AR120" i="17"/>
  <c r="L120" i="24" s="1"/>
  <c r="O21" i="24"/>
  <c r="P21" i="24" s="1"/>
  <c r="O37" i="24"/>
  <c r="P37" i="24" s="1"/>
  <c r="AR138" i="17"/>
  <c r="AR125" i="17"/>
  <c r="AR33" i="17"/>
  <c r="O63" i="24"/>
  <c r="O35" i="24"/>
  <c r="P35" i="24" s="1"/>
  <c r="AR78" i="17"/>
  <c r="L78" i="24" s="1"/>
  <c r="O39" i="24"/>
  <c r="P39" i="24" s="1"/>
  <c r="AR91" i="17"/>
  <c r="F91" i="24" s="1"/>
  <c r="AR81" i="17"/>
  <c r="AA125" i="24"/>
  <c r="AB125" i="24" s="1"/>
  <c r="AC125" i="24" s="1"/>
  <c r="O100" i="24"/>
  <c r="P100" i="24" s="1"/>
  <c r="AR87" i="17"/>
  <c r="AR119" i="17"/>
  <c r="AT119" i="17" s="1"/>
  <c r="AR140" i="17"/>
  <c r="S140" i="24" s="1"/>
  <c r="T140" i="24" s="1"/>
  <c r="U140" i="24" s="1"/>
  <c r="O14" i="24"/>
  <c r="P14" i="24" s="1"/>
  <c r="AR48" i="17"/>
  <c r="AR68" i="17"/>
  <c r="AR132" i="17"/>
  <c r="O102" i="24"/>
  <c r="P102" i="24" s="1"/>
  <c r="AA82" i="24"/>
  <c r="AB82" i="24" s="1"/>
  <c r="AC82" i="24" s="1"/>
  <c r="AR101" i="17"/>
  <c r="AT101" i="17" s="1"/>
  <c r="AR116" i="17"/>
  <c r="K116" i="24" s="1"/>
  <c r="AA78" i="24"/>
  <c r="AB78" i="24" s="1"/>
  <c r="AC78" i="24" s="1"/>
  <c r="O71" i="24"/>
  <c r="P71" i="24" s="1"/>
  <c r="AA48" i="24"/>
  <c r="AB48" i="24" s="1"/>
  <c r="AC48" i="24" s="1"/>
  <c r="AA107" i="24"/>
  <c r="AB107" i="24" s="1"/>
  <c r="AC107" i="24" s="1"/>
  <c r="AA86" i="24"/>
  <c r="AB86" i="24" s="1"/>
  <c r="AC86" i="24" s="1"/>
  <c r="O77" i="24"/>
  <c r="P77" i="24" s="1"/>
  <c r="O69" i="24"/>
  <c r="P69" i="24" s="1"/>
  <c r="AA123" i="24"/>
  <c r="AB123" i="24" s="1"/>
  <c r="AC123" i="24" s="1"/>
  <c r="AA92" i="24"/>
  <c r="AB92" i="24" s="1"/>
  <c r="AC92" i="24" s="1"/>
  <c r="AA115" i="24"/>
  <c r="AB115" i="24" s="1"/>
  <c r="AC115" i="24" s="1"/>
  <c r="AA122" i="24"/>
  <c r="AB122" i="24" s="1"/>
  <c r="AC122" i="24" s="1"/>
  <c r="AA130" i="24"/>
  <c r="AB130" i="24" s="1"/>
  <c r="AC130" i="24" s="1"/>
  <c r="AR88" i="17"/>
  <c r="AR57" i="17"/>
  <c r="AR109" i="17"/>
  <c r="AT109" i="17" s="1"/>
  <c r="AA120" i="24"/>
  <c r="AB120" i="24" s="1"/>
  <c r="AC120" i="24" s="1"/>
  <c r="AA87" i="24"/>
  <c r="AB87" i="24" s="1"/>
  <c r="AC87" i="24" s="1"/>
  <c r="AA127" i="24"/>
  <c r="AB127" i="24" s="1"/>
  <c r="AC127" i="24" s="1"/>
  <c r="AA90" i="24"/>
  <c r="AB90" i="24" s="1"/>
  <c r="AC90" i="24" s="1"/>
  <c r="AA136" i="24"/>
  <c r="AB136" i="24" s="1"/>
  <c r="AC136" i="24" s="1"/>
  <c r="AA110" i="24"/>
  <c r="AB110" i="24" s="1"/>
  <c r="AC110" i="24" s="1"/>
  <c r="AR60" i="17"/>
  <c r="AR30" i="17"/>
  <c r="O89" i="24"/>
  <c r="P89" i="24" s="1"/>
  <c r="AR103" i="17"/>
  <c r="O130" i="24"/>
  <c r="P130" i="24" s="1"/>
  <c r="AR135" i="17"/>
  <c r="AR9" i="17"/>
  <c r="AR32" i="17"/>
  <c r="O126" i="24"/>
  <c r="P126" i="24" s="1"/>
  <c r="O117" i="24"/>
  <c r="P117" i="24" s="1"/>
  <c r="O98" i="24"/>
  <c r="P98" i="24" s="1"/>
  <c r="AA71" i="24"/>
  <c r="AB71" i="24" s="1"/>
  <c r="AC71" i="24" s="1"/>
  <c r="AA61" i="24"/>
  <c r="AB61" i="24" s="1"/>
  <c r="AC61" i="24" s="1"/>
  <c r="AR53" i="17"/>
  <c r="AA114" i="24"/>
  <c r="AB114" i="24" s="1"/>
  <c r="AC114" i="24" s="1"/>
  <c r="AA73" i="24"/>
  <c r="AB73" i="24" s="1"/>
  <c r="AC73" i="24" s="1"/>
  <c r="AA108" i="24"/>
  <c r="AB108" i="24" s="1"/>
  <c r="AC108" i="24" s="1"/>
  <c r="O129" i="24"/>
  <c r="P129" i="24" s="1"/>
  <c r="Q129" i="24" s="1"/>
  <c r="AA52" i="24"/>
  <c r="AB52" i="24" s="1"/>
  <c r="AC52" i="24" s="1"/>
  <c r="AA65" i="24"/>
  <c r="AB65" i="24" s="1"/>
  <c r="AC65" i="24" s="1"/>
  <c r="AA34" i="24"/>
  <c r="AB34" i="24" s="1"/>
  <c r="AC34" i="24" s="1"/>
  <c r="AA137" i="24"/>
  <c r="AB137" i="24" s="1"/>
  <c r="AC137" i="24" s="1"/>
  <c r="AA84" i="24"/>
  <c r="AB84" i="24" s="1"/>
  <c r="AC84" i="24" s="1"/>
  <c r="AA72" i="24"/>
  <c r="AB72" i="24" s="1"/>
  <c r="AC72" i="24" s="1"/>
  <c r="AA44" i="24"/>
  <c r="AB44" i="24" s="1"/>
  <c r="AC44" i="24" s="1"/>
  <c r="AA118" i="24"/>
  <c r="AB118" i="24" s="1"/>
  <c r="AC118" i="24" s="1"/>
  <c r="AA45" i="24"/>
  <c r="AB45" i="24" s="1"/>
  <c r="AC45" i="24" s="1"/>
  <c r="AA109" i="24"/>
  <c r="AB109" i="24" s="1"/>
  <c r="AC109" i="24" s="1"/>
  <c r="AR128" i="17"/>
  <c r="AA129" i="24"/>
  <c r="AB129" i="24" s="1"/>
  <c r="AC129" i="24" s="1"/>
  <c r="AR82" i="17"/>
  <c r="AA91" i="24"/>
  <c r="AB91" i="24" s="1"/>
  <c r="AC91" i="24" s="1"/>
  <c r="AA29" i="24"/>
  <c r="AB29" i="24" s="1"/>
  <c r="AC29" i="24" s="1"/>
  <c r="AA81" i="24"/>
  <c r="AB81" i="24" s="1"/>
  <c r="AC81" i="24" s="1"/>
  <c r="AA117" i="24"/>
  <c r="AB117" i="24" s="1"/>
  <c r="AC117" i="24" s="1"/>
  <c r="AA76" i="24"/>
  <c r="AB76" i="24" s="1"/>
  <c r="AC76" i="24" s="1"/>
  <c r="AA88" i="24"/>
  <c r="AB88" i="24" s="1"/>
  <c r="AC88" i="24" s="1"/>
  <c r="AA135" i="24"/>
  <c r="AB135" i="24" s="1"/>
  <c r="AC135" i="24" s="1"/>
  <c r="AA56" i="24"/>
  <c r="AB56" i="24" s="1"/>
  <c r="AC56" i="24" s="1"/>
  <c r="AA69" i="24"/>
  <c r="AB69" i="24" s="1"/>
  <c r="AC69" i="24" s="1"/>
  <c r="AA15" i="24"/>
  <c r="AB15" i="24" s="1"/>
  <c r="AC15" i="24" s="1"/>
  <c r="AA139" i="24"/>
  <c r="AB139" i="24" s="1"/>
  <c r="AC139" i="24" s="1"/>
  <c r="AA53" i="24"/>
  <c r="AB53" i="24" s="1"/>
  <c r="AC53" i="24" s="1"/>
  <c r="AA132" i="24"/>
  <c r="AB132" i="24" s="1"/>
  <c r="AC132" i="24" s="1"/>
  <c r="AA80" i="24"/>
  <c r="AB80" i="24" s="1"/>
  <c r="AC80" i="24" s="1"/>
  <c r="AA99" i="24"/>
  <c r="AB99" i="24" s="1"/>
  <c r="AC99" i="24" s="1"/>
  <c r="AA126" i="24"/>
  <c r="AB126" i="24" s="1"/>
  <c r="AC126" i="24" s="1"/>
  <c r="AR83" i="17"/>
  <c r="L107" i="24"/>
  <c r="M107" i="24"/>
  <c r="L104" i="24"/>
  <c r="M104" i="24"/>
  <c r="L35" i="24"/>
  <c r="M35" i="24"/>
  <c r="L42" i="24"/>
  <c r="M42" i="24"/>
  <c r="L25" i="24"/>
  <c r="M25" i="24"/>
  <c r="L10" i="24"/>
  <c r="M10" i="24"/>
  <c r="L65" i="24"/>
  <c r="M65" i="24"/>
  <c r="L75" i="24"/>
  <c r="M75" i="24"/>
  <c r="L24" i="24"/>
  <c r="M24" i="24"/>
  <c r="L115" i="24"/>
  <c r="M115" i="24"/>
  <c r="L99" i="24"/>
  <c r="M99" i="24"/>
  <c r="L136" i="24"/>
  <c r="M136" i="24"/>
  <c r="L108" i="24"/>
  <c r="M108" i="24"/>
  <c r="L130" i="24"/>
  <c r="M130" i="24"/>
  <c r="L73" i="24"/>
  <c r="M73" i="24"/>
  <c r="L43" i="24"/>
  <c r="M43" i="24"/>
  <c r="L12" i="24"/>
  <c r="M12" i="24"/>
  <c r="L66" i="24"/>
  <c r="M66" i="24"/>
  <c r="L64" i="24"/>
  <c r="M64" i="24"/>
  <c r="L124" i="24"/>
  <c r="M124" i="24"/>
  <c r="L111" i="24"/>
  <c r="M111" i="24"/>
  <c r="L36" i="24"/>
  <c r="M36" i="24"/>
  <c r="L90" i="24"/>
  <c r="M90" i="24"/>
  <c r="L127" i="24"/>
  <c r="M127" i="24"/>
  <c r="L110" i="24"/>
  <c r="M110" i="24"/>
  <c r="L92" i="24"/>
  <c r="M92" i="24"/>
  <c r="L72" i="24"/>
  <c r="M72" i="24"/>
  <c r="L37" i="24"/>
  <c r="M37" i="24"/>
  <c r="L19" i="24"/>
  <c r="M19" i="24"/>
  <c r="L93" i="24"/>
  <c r="M93" i="24"/>
  <c r="J124" i="24"/>
  <c r="L117" i="24"/>
  <c r="M117" i="24"/>
  <c r="L125" i="24"/>
  <c r="L40" i="24"/>
  <c r="M40" i="24"/>
  <c r="L8" i="24"/>
  <c r="M8" i="24"/>
  <c r="L105" i="24"/>
  <c r="M105" i="24"/>
  <c r="L21" i="24"/>
  <c r="M21" i="24"/>
  <c r="L70" i="24"/>
  <c r="M70" i="24"/>
  <c r="L77" i="24"/>
  <c r="M77" i="24"/>
  <c r="L71" i="24"/>
  <c r="M71" i="24"/>
  <c r="L96" i="24"/>
  <c r="M96" i="24"/>
  <c r="L86" i="24"/>
  <c r="M86" i="24"/>
  <c r="L84" i="24"/>
  <c r="M84" i="24"/>
  <c r="L26" i="24"/>
  <c r="M26" i="24"/>
  <c r="L74" i="24"/>
  <c r="M74" i="24"/>
  <c r="L97" i="24"/>
  <c r="M97" i="24"/>
  <c r="L121" i="24"/>
  <c r="M121" i="24"/>
  <c r="L39" i="24"/>
  <c r="M39" i="24"/>
  <c r="L139" i="24"/>
  <c r="M139" i="24"/>
  <c r="L134" i="24"/>
  <c r="M134" i="24"/>
  <c r="L63" i="24"/>
  <c r="M63" i="24"/>
  <c r="L46" i="24"/>
  <c r="M46" i="24"/>
  <c r="L89" i="24"/>
  <c r="M89" i="24"/>
  <c r="L87" i="24"/>
  <c r="M87" i="24"/>
  <c r="I104" i="24"/>
  <c r="L98" i="24"/>
  <c r="M98" i="24"/>
  <c r="L100" i="24"/>
  <c r="M100" i="24"/>
  <c r="L69" i="24"/>
  <c r="M69" i="24"/>
  <c r="L102" i="24"/>
  <c r="M102" i="24"/>
  <c r="L94" i="24"/>
  <c r="M94" i="24"/>
  <c r="L106" i="24"/>
  <c r="M106" i="24"/>
  <c r="L59" i="24"/>
  <c r="M59" i="24"/>
  <c r="L118" i="24"/>
  <c r="M118" i="24"/>
  <c r="L18" i="24"/>
  <c r="M18" i="24"/>
  <c r="L62" i="24"/>
  <c r="M62" i="24"/>
  <c r="S121" i="24"/>
  <c r="T121" i="24" s="1"/>
  <c r="U121" i="24" s="1"/>
  <c r="L114" i="24"/>
  <c r="M114" i="24"/>
  <c r="L126" i="24"/>
  <c r="M126" i="24"/>
  <c r="L131" i="24"/>
  <c r="M131" i="24"/>
  <c r="L27" i="24"/>
  <c r="M27" i="24"/>
  <c r="L129" i="24"/>
  <c r="M129" i="24"/>
  <c r="AA28" i="24"/>
  <c r="AB28" i="24" s="1"/>
  <c r="AC28" i="24" s="1"/>
  <c r="O110" i="24"/>
  <c r="P110" i="24" s="1"/>
  <c r="O111" i="24"/>
  <c r="P111" i="24" s="1"/>
  <c r="AR95" i="17"/>
  <c r="AR13" i="17"/>
  <c r="O118" i="24"/>
  <c r="P118" i="24" s="1"/>
  <c r="O65" i="24"/>
  <c r="P65" i="24" s="1"/>
  <c r="O58" i="24"/>
  <c r="P58" i="24" s="1"/>
  <c r="O10" i="24"/>
  <c r="P10" i="24" s="1"/>
  <c r="O28" i="24"/>
  <c r="P28" i="24" s="1"/>
  <c r="AA21" i="24"/>
  <c r="AB21" i="24" s="1"/>
  <c r="AC21" i="24" s="1"/>
  <c r="O13" i="24"/>
  <c r="P13" i="24" s="1"/>
  <c r="AA94" i="24"/>
  <c r="AB94" i="24" s="1"/>
  <c r="AC94" i="24" s="1"/>
  <c r="AA96" i="24"/>
  <c r="AB96" i="24" s="1"/>
  <c r="AC96" i="24" s="1"/>
  <c r="AA128" i="24"/>
  <c r="AB128" i="24" s="1"/>
  <c r="AC128" i="24" s="1"/>
  <c r="F104" i="24"/>
  <c r="AA22" i="24"/>
  <c r="AB22" i="24" s="1"/>
  <c r="AC22" i="24" s="1"/>
  <c r="AR122" i="17"/>
  <c r="O133" i="24"/>
  <c r="P133" i="24" s="1"/>
  <c r="AA59" i="24"/>
  <c r="AB59" i="24" s="1"/>
  <c r="AC59" i="24" s="1"/>
  <c r="O16" i="24"/>
  <c r="P16" i="24" s="1"/>
  <c r="AR47" i="17"/>
  <c r="O108" i="24"/>
  <c r="P108" i="24" s="1"/>
  <c r="AR14" i="17"/>
  <c r="J104" i="24"/>
  <c r="O114" i="24"/>
  <c r="P114" i="24" s="1"/>
  <c r="O66" i="24"/>
  <c r="P66" i="24" s="1"/>
  <c r="O72" i="24"/>
  <c r="P72" i="24" s="1"/>
  <c r="AR51" i="17"/>
  <c r="O24" i="24"/>
  <c r="P24" i="24" s="1"/>
  <c r="O76" i="24"/>
  <c r="P76" i="24" s="1"/>
  <c r="AR6" i="17"/>
  <c r="O93" i="24"/>
  <c r="P93" i="24" s="1"/>
  <c r="AA93" i="24"/>
  <c r="AB93" i="24" s="1"/>
  <c r="AC93" i="24" s="1"/>
  <c r="O92" i="24"/>
  <c r="P92" i="24" s="1"/>
  <c r="O136" i="24"/>
  <c r="P136" i="24" s="1"/>
  <c r="AT18" i="17"/>
  <c r="H96" i="24"/>
  <c r="H124" i="24"/>
  <c r="AR85" i="17"/>
  <c r="K104" i="24"/>
  <c r="AT114" i="17"/>
  <c r="AA134" i="24"/>
  <c r="AB134" i="24" s="1"/>
  <c r="AC134" i="24" s="1"/>
  <c r="AA16" i="24"/>
  <c r="AB16" i="24" s="1"/>
  <c r="AC16" i="24" s="1"/>
  <c r="O107" i="24"/>
  <c r="P107" i="24" s="1"/>
  <c r="AR79" i="17"/>
  <c r="AR58" i="17"/>
  <c r="AA30" i="24"/>
  <c r="AB30" i="24" s="1"/>
  <c r="AC30" i="24" s="1"/>
  <c r="AA35" i="24"/>
  <c r="AB35" i="24" s="1"/>
  <c r="AC35" i="24" s="1"/>
  <c r="AR113" i="17"/>
  <c r="AR11" i="17"/>
  <c r="AR61" i="17"/>
  <c r="AR20" i="25" s="1"/>
  <c r="O74" i="24"/>
  <c r="P74" i="24" s="1"/>
  <c r="AR80" i="17"/>
  <c r="O106" i="24"/>
  <c r="P106" i="24" s="1"/>
  <c r="O80" i="24"/>
  <c r="P80" i="24" s="1"/>
  <c r="AR28" i="17"/>
  <c r="J28" i="24" s="1"/>
  <c r="AA106" i="24"/>
  <c r="AB106" i="24" s="1"/>
  <c r="AC106" i="24" s="1"/>
  <c r="AA14" i="24"/>
  <c r="AB14" i="24" s="1"/>
  <c r="AC14" i="24" s="1"/>
  <c r="O122" i="24"/>
  <c r="P122" i="24" s="1"/>
  <c r="O105" i="24"/>
  <c r="P105" i="24" s="1"/>
  <c r="O97" i="24"/>
  <c r="P97" i="24" s="1"/>
  <c r="AR55" i="17"/>
  <c r="AA13" i="24"/>
  <c r="AB13" i="24" s="1"/>
  <c r="AC13" i="24" s="1"/>
  <c r="AT134" i="17"/>
  <c r="AR137" i="17"/>
  <c r="AT98" i="17"/>
  <c r="AR50" i="17"/>
  <c r="O131" i="24"/>
  <c r="P131" i="24" s="1"/>
  <c r="S104" i="24"/>
  <c r="T104" i="24" s="1"/>
  <c r="U104" i="24" s="1"/>
  <c r="E104" i="24"/>
  <c r="AA11" i="24"/>
  <c r="AB11" i="24" s="1"/>
  <c r="AC11" i="24" s="1"/>
  <c r="G104" i="24"/>
  <c r="H104" i="24"/>
  <c r="F121" i="24"/>
  <c r="AA100" i="24"/>
  <c r="AB100" i="24" s="1"/>
  <c r="AC100" i="24" s="1"/>
  <c r="AA24" i="24"/>
  <c r="AB24" i="24" s="1"/>
  <c r="AC24" i="24" s="1"/>
  <c r="AA49" i="24"/>
  <c r="AB49" i="24" s="1"/>
  <c r="AC49" i="24" s="1"/>
  <c r="AA116" i="24"/>
  <c r="AB116" i="24" s="1"/>
  <c r="AC116" i="24" s="1"/>
  <c r="O29" i="24"/>
  <c r="P29" i="24" s="1"/>
  <c r="AR45" i="17"/>
  <c r="O134" i="24"/>
  <c r="P134" i="24" s="1"/>
  <c r="O94" i="24"/>
  <c r="P94" i="24" s="1"/>
  <c r="AR52" i="17"/>
  <c r="AA97" i="24"/>
  <c r="AB97" i="24" s="1"/>
  <c r="AC97" i="24" s="1"/>
  <c r="AA27" i="24"/>
  <c r="AB27" i="24" s="1"/>
  <c r="AC27" i="24" s="1"/>
  <c r="O84" i="24"/>
  <c r="P84" i="24" s="1"/>
  <c r="I96" i="24"/>
  <c r="AA38" i="24"/>
  <c r="AB38" i="24" s="1"/>
  <c r="AC38" i="24" s="1"/>
  <c r="AA113" i="24"/>
  <c r="AB113" i="24" s="1"/>
  <c r="AC113" i="24" s="1"/>
  <c r="AA60" i="24"/>
  <c r="AB60" i="24" s="1"/>
  <c r="AC60" i="24" s="1"/>
  <c r="AA124" i="24"/>
  <c r="AB124" i="24" s="1"/>
  <c r="AC124" i="24" s="1"/>
  <c r="S96" i="24"/>
  <c r="T96" i="24" s="1"/>
  <c r="U96" i="24" s="1"/>
  <c r="J96" i="24"/>
  <c r="AA131" i="24"/>
  <c r="AB131" i="24" s="1"/>
  <c r="AC131" i="24" s="1"/>
  <c r="AA121" i="24"/>
  <c r="AB121" i="24" s="1"/>
  <c r="AC121" i="24" s="1"/>
  <c r="O27" i="24"/>
  <c r="P27" i="24" s="1"/>
  <c r="O86" i="24"/>
  <c r="P86" i="24" s="1"/>
  <c r="O96" i="24"/>
  <c r="P96" i="24" s="1"/>
  <c r="Q96" i="24" s="1"/>
  <c r="AA58" i="24"/>
  <c r="AB58" i="24" s="1"/>
  <c r="AC58" i="24" s="1"/>
  <c r="E96" i="24"/>
  <c r="AA12" i="24"/>
  <c r="AB12" i="24" s="1"/>
  <c r="AC12" i="24" s="1"/>
  <c r="O85" i="24"/>
  <c r="P85" i="24" s="1"/>
  <c r="O42" i="24"/>
  <c r="P42" i="24" s="1"/>
  <c r="F96" i="24"/>
  <c r="AR56" i="17"/>
  <c r="O50" i="24"/>
  <c r="P50" i="24" s="1"/>
  <c r="G96" i="24"/>
  <c r="AA7" i="24"/>
  <c r="AB7" i="24" s="1"/>
  <c r="AC7" i="24" s="1"/>
  <c r="AA67" i="24"/>
  <c r="AB67" i="24" s="1"/>
  <c r="AC67" i="24" s="1"/>
  <c r="AA55" i="24"/>
  <c r="AB55" i="24" s="1"/>
  <c r="AC55" i="24" s="1"/>
  <c r="AA62" i="24"/>
  <c r="AB62" i="24" s="1"/>
  <c r="AC62" i="24" s="1"/>
  <c r="AR123" i="17"/>
  <c r="AA101" i="24"/>
  <c r="AB101" i="24" s="1"/>
  <c r="AC101" i="24" s="1"/>
  <c r="E121" i="24"/>
  <c r="G121" i="24"/>
  <c r="O73" i="24"/>
  <c r="P73" i="24" s="1"/>
  <c r="O90" i="24"/>
  <c r="P90" i="24" s="1"/>
  <c r="H121" i="24"/>
  <c r="AA83" i="24"/>
  <c r="AB83" i="24" s="1"/>
  <c r="AC83" i="24" s="1"/>
  <c r="AA104" i="24"/>
  <c r="AB104" i="24" s="1"/>
  <c r="AC104" i="24" s="1"/>
  <c r="AA68" i="24"/>
  <c r="AB68" i="24" s="1"/>
  <c r="AC68" i="24" s="1"/>
  <c r="O45" i="24"/>
  <c r="P45" i="24" s="1"/>
  <c r="O41" i="24"/>
  <c r="P41" i="24" s="1"/>
  <c r="O121" i="24"/>
  <c r="P121" i="24" s="1"/>
  <c r="J121" i="24"/>
  <c r="AA50" i="24"/>
  <c r="AB50" i="24" s="1"/>
  <c r="AC50" i="24" s="1"/>
  <c r="K121" i="24"/>
  <c r="AA75" i="24"/>
  <c r="AB75" i="24" s="1"/>
  <c r="AC75" i="24" s="1"/>
  <c r="I121" i="24"/>
  <c r="O104" i="24"/>
  <c r="P104" i="24" s="1"/>
  <c r="Q104" i="24" s="1"/>
  <c r="AA105" i="24"/>
  <c r="AB105" i="24" s="1"/>
  <c r="AC105" i="24" s="1"/>
  <c r="O124" i="24"/>
  <c r="P124" i="24" s="1"/>
  <c r="I124" i="24"/>
  <c r="E124" i="24"/>
  <c r="O115" i="24"/>
  <c r="P115" i="24" s="1"/>
  <c r="K124" i="24"/>
  <c r="AT117" i="17"/>
  <c r="AR54" i="17"/>
  <c r="S124" i="24"/>
  <c r="T124" i="24" s="1"/>
  <c r="U124" i="24" s="1"/>
  <c r="F124" i="24"/>
  <c r="G124" i="24"/>
  <c r="AA64" i="24"/>
  <c r="AB64" i="24" s="1"/>
  <c r="AC64" i="24" s="1"/>
  <c r="AA47" i="24"/>
  <c r="AB47" i="24" s="1"/>
  <c r="AC47" i="24" s="1"/>
  <c r="O99" i="24"/>
  <c r="P99" i="24" s="1"/>
  <c r="F130" i="24"/>
  <c r="AA26" i="24"/>
  <c r="AB26" i="24" s="1"/>
  <c r="AC26" i="24" s="1"/>
  <c r="F66" i="24"/>
  <c r="AA70" i="24"/>
  <c r="AB70" i="24" s="1"/>
  <c r="AC70" i="24" s="1"/>
  <c r="F102" i="24"/>
  <c r="F10" i="24"/>
  <c r="AA6" i="24"/>
  <c r="AB6" i="24" s="1"/>
  <c r="AA36" i="24"/>
  <c r="AB36" i="24" s="1"/>
  <c r="AC36" i="24" s="1"/>
  <c r="AA51" i="24"/>
  <c r="AB51" i="24" s="1"/>
  <c r="AC51" i="24" s="1"/>
  <c r="AA25" i="24"/>
  <c r="AB25" i="24" s="1"/>
  <c r="AC25" i="24" s="1"/>
  <c r="AA79" i="24"/>
  <c r="AB79" i="24" s="1"/>
  <c r="AC79" i="24" s="1"/>
  <c r="AA43" i="24"/>
  <c r="AB43" i="24" s="1"/>
  <c r="AC43" i="24" s="1"/>
  <c r="F92" i="24"/>
  <c r="F127" i="24"/>
  <c r="F65" i="24"/>
  <c r="F62" i="24"/>
  <c r="AA8" i="24"/>
  <c r="AB8" i="24" s="1"/>
  <c r="AC8" i="24" s="1"/>
  <c r="AA19" i="24"/>
  <c r="AB19" i="24" s="1"/>
  <c r="AC19" i="24" s="1"/>
  <c r="F69" i="24"/>
  <c r="AA17" i="24"/>
  <c r="AB17" i="24" s="1"/>
  <c r="AC17" i="24" s="1"/>
  <c r="F73" i="24"/>
  <c r="F99" i="24"/>
  <c r="F105" i="24"/>
  <c r="AA40" i="24"/>
  <c r="AB40" i="24" s="1"/>
  <c r="AC40" i="24" s="1"/>
  <c r="F131" i="24"/>
  <c r="F39" i="24"/>
  <c r="F89" i="24"/>
  <c r="F74" i="24"/>
  <c r="AA23" i="24"/>
  <c r="AB23" i="24" s="1"/>
  <c r="AC23" i="24" s="1"/>
  <c r="F21" i="24"/>
  <c r="AA18" i="24"/>
  <c r="AB18" i="24" s="1"/>
  <c r="AC18" i="24" s="1"/>
  <c r="I110" i="24"/>
  <c r="K110" i="24"/>
  <c r="J110" i="24"/>
  <c r="H110" i="24"/>
  <c r="G110" i="24"/>
  <c r="E110" i="24"/>
  <c r="I126" i="24"/>
  <c r="K126" i="24"/>
  <c r="J126" i="24"/>
  <c r="H126" i="24"/>
  <c r="G126" i="24"/>
  <c r="E126" i="24"/>
  <c r="K27" i="24"/>
  <c r="I27" i="24"/>
  <c r="J27" i="24"/>
  <c r="H27" i="24"/>
  <c r="G27" i="24"/>
  <c r="E27" i="24"/>
  <c r="J90" i="24"/>
  <c r="K90" i="24"/>
  <c r="I90" i="24"/>
  <c r="H90" i="24"/>
  <c r="G90" i="24"/>
  <c r="E90" i="24"/>
  <c r="K72" i="24"/>
  <c r="J72" i="24"/>
  <c r="I72" i="24"/>
  <c r="H72" i="24"/>
  <c r="G72" i="24"/>
  <c r="E72" i="24"/>
  <c r="K118" i="24"/>
  <c r="J118" i="24"/>
  <c r="I118" i="24"/>
  <c r="H118" i="24"/>
  <c r="G118" i="24"/>
  <c r="E118" i="24"/>
  <c r="J93" i="24"/>
  <c r="I93" i="24"/>
  <c r="K93" i="24"/>
  <c r="H93" i="24"/>
  <c r="G93" i="24"/>
  <c r="E93" i="24"/>
  <c r="I117" i="24"/>
  <c r="K117" i="24"/>
  <c r="J117" i="24"/>
  <c r="H117" i="24"/>
  <c r="G117" i="24"/>
  <c r="E117" i="24"/>
  <c r="J37" i="24"/>
  <c r="K37" i="24"/>
  <c r="I37" i="24"/>
  <c r="H37" i="24"/>
  <c r="G37" i="24"/>
  <c r="E37" i="24"/>
  <c r="I84" i="24"/>
  <c r="J84" i="24"/>
  <c r="K84" i="24"/>
  <c r="H84" i="24"/>
  <c r="G84" i="24"/>
  <c r="E84" i="24"/>
  <c r="I106" i="24"/>
  <c r="J106" i="24"/>
  <c r="K106" i="24"/>
  <c r="H106" i="24"/>
  <c r="G106" i="24"/>
  <c r="E106" i="24"/>
  <c r="F72" i="24"/>
  <c r="F90" i="24"/>
  <c r="K77" i="24"/>
  <c r="I77" i="24"/>
  <c r="J77" i="24"/>
  <c r="H77" i="24"/>
  <c r="G77" i="24"/>
  <c r="E77" i="24"/>
  <c r="J46" i="24"/>
  <c r="K46" i="24"/>
  <c r="I46" i="24"/>
  <c r="H46" i="24"/>
  <c r="G46" i="24"/>
  <c r="E46" i="24"/>
  <c r="J98" i="24"/>
  <c r="K98" i="24"/>
  <c r="I98" i="24"/>
  <c r="H98" i="24"/>
  <c r="G98" i="24"/>
  <c r="E98" i="24"/>
  <c r="J69" i="24"/>
  <c r="I69" i="24"/>
  <c r="K69" i="24"/>
  <c r="H69" i="24"/>
  <c r="G69" i="24"/>
  <c r="E69" i="24"/>
  <c r="J97" i="24"/>
  <c r="K97" i="24"/>
  <c r="I97" i="24"/>
  <c r="H97" i="24"/>
  <c r="G97" i="24"/>
  <c r="E97" i="24"/>
  <c r="J59" i="24"/>
  <c r="I59" i="24"/>
  <c r="K59" i="24"/>
  <c r="H59" i="24"/>
  <c r="G59" i="24"/>
  <c r="E59" i="24"/>
  <c r="J100" i="24"/>
  <c r="I100" i="24"/>
  <c r="K100" i="24"/>
  <c r="H100" i="24"/>
  <c r="G100" i="24"/>
  <c r="E100" i="24"/>
  <c r="I111" i="24"/>
  <c r="J111" i="24"/>
  <c r="K111" i="24"/>
  <c r="H111" i="24"/>
  <c r="G111" i="24"/>
  <c r="E111" i="24"/>
  <c r="I139" i="24"/>
  <c r="K139" i="24"/>
  <c r="J139" i="24"/>
  <c r="H139" i="24"/>
  <c r="G139" i="24"/>
  <c r="E139" i="24"/>
  <c r="K71" i="24"/>
  <c r="I71" i="24"/>
  <c r="J71" i="24"/>
  <c r="H71" i="24"/>
  <c r="G71" i="24"/>
  <c r="E71" i="24"/>
  <c r="G12" i="24"/>
  <c r="I87" i="24"/>
  <c r="K87" i="24"/>
  <c r="J87" i="24"/>
  <c r="H87" i="24"/>
  <c r="G87" i="24"/>
  <c r="E87" i="24"/>
  <c r="K115" i="24"/>
  <c r="J115" i="24"/>
  <c r="I115" i="24"/>
  <c r="H115" i="24"/>
  <c r="G115" i="24"/>
  <c r="E115" i="24"/>
  <c r="F77" i="24"/>
  <c r="F97" i="24"/>
  <c r="F139" i="24"/>
  <c r="K73" i="24"/>
  <c r="I73" i="24"/>
  <c r="J73" i="24"/>
  <c r="H73" i="24"/>
  <c r="G73" i="24"/>
  <c r="E73" i="24"/>
  <c r="K134" i="24"/>
  <c r="J134" i="24"/>
  <c r="I134" i="24"/>
  <c r="H134" i="24"/>
  <c r="G134" i="24"/>
  <c r="E134" i="24"/>
  <c r="J107" i="24"/>
  <c r="I107" i="24"/>
  <c r="K107" i="24"/>
  <c r="H107" i="24"/>
  <c r="G107" i="24"/>
  <c r="E107" i="24"/>
  <c r="J63" i="24"/>
  <c r="I63" i="24"/>
  <c r="K63" i="24"/>
  <c r="H63" i="24"/>
  <c r="G63" i="24"/>
  <c r="E63" i="24"/>
  <c r="J136" i="24"/>
  <c r="I136" i="24"/>
  <c r="K136" i="24"/>
  <c r="H136" i="24"/>
  <c r="G136" i="24"/>
  <c r="E136" i="24"/>
  <c r="K92" i="24"/>
  <c r="J92" i="24"/>
  <c r="I92" i="24"/>
  <c r="H92" i="24"/>
  <c r="G92" i="24"/>
  <c r="E92" i="24"/>
  <c r="J127" i="24"/>
  <c r="K127" i="24"/>
  <c r="I127" i="24"/>
  <c r="H127" i="24"/>
  <c r="G127" i="24"/>
  <c r="E127" i="24"/>
  <c r="I65" i="24"/>
  <c r="J65" i="24"/>
  <c r="K65" i="24"/>
  <c r="H65" i="24"/>
  <c r="G65" i="24"/>
  <c r="E65" i="24"/>
  <c r="K108" i="24"/>
  <c r="J108" i="24"/>
  <c r="I108" i="24"/>
  <c r="H108" i="24"/>
  <c r="G108" i="24"/>
  <c r="E108" i="24"/>
  <c r="I114" i="24"/>
  <c r="J114" i="24"/>
  <c r="K114" i="24"/>
  <c r="H114" i="24"/>
  <c r="G114" i="24"/>
  <c r="E114" i="24"/>
  <c r="F114" i="24"/>
  <c r="F126" i="24"/>
  <c r="K130" i="24"/>
  <c r="J130" i="24"/>
  <c r="I130" i="24"/>
  <c r="H130" i="24"/>
  <c r="G130" i="24"/>
  <c r="E130" i="24"/>
  <c r="I89" i="24"/>
  <c r="J89" i="24"/>
  <c r="K89" i="24"/>
  <c r="H89" i="24"/>
  <c r="G89" i="24"/>
  <c r="E89" i="24"/>
  <c r="J94" i="24"/>
  <c r="K94" i="24"/>
  <c r="I94" i="24"/>
  <c r="H94" i="24"/>
  <c r="G94" i="24"/>
  <c r="E94" i="24"/>
  <c r="F136" i="24"/>
  <c r="F71" i="24"/>
  <c r="F46" i="24"/>
  <c r="F108" i="24"/>
  <c r="F94" i="24"/>
  <c r="F37" i="24"/>
  <c r="F115" i="24"/>
  <c r="F117" i="24"/>
  <c r="F111" i="24"/>
  <c r="I39" i="24"/>
  <c r="J39" i="24"/>
  <c r="K39" i="24"/>
  <c r="H39" i="24"/>
  <c r="G39" i="24"/>
  <c r="E39" i="24"/>
  <c r="I74" i="24"/>
  <c r="J74" i="24"/>
  <c r="K74" i="24"/>
  <c r="H74" i="24"/>
  <c r="G74" i="24"/>
  <c r="E74" i="24"/>
  <c r="I105" i="24"/>
  <c r="J105" i="24"/>
  <c r="K105" i="24"/>
  <c r="H105" i="24"/>
  <c r="G105" i="24"/>
  <c r="E105" i="24"/>
  <c r="K35" i="24"/>
  <c r="I35" i="24"/>
  <c r="J35" i="24"/>
  <c r="H35" i="24"/>
  <c r="G35" i="24"/>
  <c r="E35" i="24"/>
  <c r="K42" i="24"/>
  <c r="I42" i="24"/>
  <c r="J42" i="24"/>
  <c r="H42" i="24"/>
  <c r="G42" i="24"/>
  <c r="E42" i="24"/>
  <c r="I86" i="24"/>
  <c r="J86" i="24"/>
  <c r="K86" i="24"/>
  <c r="H86" i="24"/>
  <c r="G86" i="24"/>
  <c r="E86" i="24"/>
  <c r="F63" i="24"/>
  <c r="F134" i="24"/>
  <c r="F100" i="24"/>
  <c r="F106" i="24"/>
  <c r="F98" i="24"/>
  <c r="F27" i="24"/>
  <c r="K131" i="24"/>
  <c r="J131" i="24"/>
  <c r="I131" i="24"/>
  <c r="H131" i="24"/>
  <c r="G131" i="24"/>
  <c r="E131" i="24"/>
  <c r="I75" i="24"/>
  <c r="K75" i="24"/>
  <c r="J75" i="24"/>
  <c r="H75" i="24"/>
  <c r="G75" i="24"/>
  <c r="E75" i="24"/>
  <c r="I10" i="24"/>
  <c r="J10" i="24"/>
  <c r="K10" i="24"/>
  <c r="H10" i="24"/>
  <c r="G10" i="24"/>
  <c r="E10" i="24"/>
  <c r="J99" i="24"/>
  <c r="K99" i="24"/>
  <c r="I99" i="24"/>
  <c r="H99" i="24"/>
  <c r="G99" i="24"/>
  <c r="E99" i="24"/>
  <c r="K66" i="24"/>
  <c r="I66" i="24"/>
  <c r="J66" i="24"/>
  <c r="H66" i="24"/>
  <c r="G66" i="24"/>
  <c r="E66" i="24"/>
  <c r="K64" i="24"/>
  <c r="I64" i="24"/>
  <c r="J64" i="24"/>
  <c r="H64" i="24"/>
  <c r="G64" i="24"/>
  <c r="E64" i="24"/>
  <c r="F110" i="24"/>
  <c r="F118" i="24"/>
  <c r="F64" i="24"/>
  <c r="F87" i="24"/>
  <c r="K102" i="24"/>
  <c r="J102" i="24"/>
  <c r="I102" i="24"/>
  <c r="H102" i="24"/>
  <c r="G102" i="24"/>
  <c r="E102" i="24"/>
  <c r="I62" i="24"/>
  <c r="J62" i="24"/>
  <c r="K62" i="24"/>
  <c r="H62" i="24"/>
  <c r="G62" i="24"/>
  <c r="E62" i="24"/>
  <c r="I21" i="24"/>
  <c r="J21" i="24"/>
  <c r="K21" i="24"/>
  <c r="H21" i="24"/>
  <c r="G21" i="24"/>
  <c r="E21" i="24"/>
  <c r="F75" i="24"/>
  <c r="F93" i="24"/>
  <c r="F84" i="24"/>
  <c r="F42" i="24"/>
  <c r="F107" i="24"/>
  <c r="F35" i="24"/>
  <c r="F86" i="24"/>
  <c r="P12" i="24"/>
  <c r="P127" i="24"/>
  <c r="P125" i="24"/>
  <c r="P139" i="24"/>
  <c r="P135" i="24"/>
  <c r="P67" i="24"/>
  <c r="P91" i="24"/>
  <c r="P113" i="24"/>
  <c r="P78" i="24"/>
  <c r="P123" i="24"/>
  <c r="P120" i="24"/>
  <c r="P61" i="24"/>
  <c r="P82" i="24"/>
  <c r="P63" i="24"/>
  <c r="P132" i="24"/>
  <c r="P116" i="24"/>
  <c r="Q30" i="24"/>
  <c r="P109" i="24"/>
  <c r="P75" i="24"/>
  <c r="P54" i="24"/>
  <c r="P56" i="24"/>
  <c r="P137" i="24"/>
  <c r="P64" i="24"/>
  <c r="P112" i="24"/>
  <c r="P47" i="24"/>
  <c r="P103" i="24"/>
  <c r="P87" i="24"/>
  <c r="P83" i="24"/>
  <c r="P101" i="24"/>
  <c r="P46" i="24"/>
  <c r="P81" i="24"/>
  <c r="P128" i="24"/>
  <c r="P15" i="24"/>
  <c r="P60" i="24"/>
  <c r="P22" i="24"/>
  <c r="Q119" i="24"/>
  <c r="P95" i="24"/>
  <c r="P140" i="24"/>
  <c r="P138" i="24"/>
  <c r="P48" i="24"/>
  <c r="P55" i="24"/>
  <c r="P52" i="24"/>
  <c r="P53" i="24"/>
  <c r="P20" i="24"/>
  <c r="P11" i="24"/>
  <c r="P49" i="24"/>
  <c r="P32" i="24"/>
  <c r="P59" i="24"/>
  <c r="P44" i="24"/>
  <c r="P34" i="24"/>
  <c r="P33" i="24"/>
  <c r="P68" i="24"/>
  <c r="P88" i="24"/>
  <c r="AT64" i="17"/>
  <c r="AT106" i="17"/>
  <c r="AT140" i="17"/>
  <c r="AT89" i="17"/>
  <c r="AR41" i="17"/>
  <c r="O43" i="24"/>
  <c r="AT139" i="17"/>
  <c r="AR76" i="17"/>
  <c r="AR23" i="25" s="1"/>
  <c r="O79" i="24"/>
  <c r="S115" i="24"/>
  <c r="T115" i="24" s="1"/>
  <c r="AT108" i="17"/>
  <c r="AT102" i="17"/>
  <c r="S108" i="24"/>
  <c r="T108" i="24" s="1"/>
  <c r="AT111" i="17"/>
  <c r="S118" i="24"/>
  <c r="T118" i="24" s="1"/>
  <c r="S127" i="24"/>
  <c r="T127" i="24" s="1"/>
  <c r="AT121" i="17"/>
  <c r="W121" i="24" s="1"/>
  <c r="X121" i="24" s="1"/>
  <c r="Y121" i="24" s="1"/>
  <c r="AT127" i="17"/>
  <c r="S134" i="24"/>
  <c r="T134" i="24" s="1"/>
  <c r="AT24" i="17"/>
  <c r="S27" i="24"/>
  <c r="T27" i="24" s="1"/>
  <c r="AT124" i="17"/>
  <c r="S130" i="24"/>
  <c r="T130" i="24" s="1"/>
  <c r="AT36" i="17"/>
  <c r="S71" i="24"/>
  <c r="T71" i="24" s="1"/>
  <c r="S63" i="24"/>
  <c r="T63" i="24" s="1"/>
  <c r="AT65" i="17"/>
  <c r="S105" i="24"/>
  <c r="T105" i="24" s="1"/>
  <c r="AT99" i="17"/>
  <c r="AT86" i="17"/>
  <c r="S92" i="24"/>
  <c r="T92" i="24" s="1"/>
  <c r="AT73" i="17"/>
  <c r="AT118" i="17"/>
  <c r="AT26" i="17"/>
  <c r="S111" i="24"/>
  <c r="T111" i="24" s="1"/>
  <c r="AT105" i="17"/>
  <c r="S39" i="24"/>
  <c r="T39" i="24" s="1"/>
  <c r="AT37" i="17"/>
  <c r="S59" i="24"/>
  <c r="T59" i="24" s="1"/>
  <c r="AT57" i="17"/>
  <c r="W57" i="24" s="1"/>
  <c r="X57" i="24" s="1"/>
  <c r="Y57" i="24" s="1"/>
  <c r="S98" i="24"/>
  <c r="T98" i="24" s="1"/>
  <c r="AT92" i="17"/>
  <c r="AF141" i="17"/>
  <c r="O6" i="24"/>
  <c r="AT46" i="17"/>
  <c r="AT12" i="17"/>
  <c r="AR67" i="17"/>
  <c r="AR19" i="25" s="1"/>
  <c r="O70" i="24"/>
  <c r="S102" i="24"/>
  <c r="T102" i="24" s="1"/>
  <c r="AT96" i="17"/>
  <c r="W96" i="24" s="1"/>
  <c r="X96" i="24" s="1"/>
  <c r="Y96" i="24" s="1"/>
  <c r="AT69" i="17"/>
  <c r="S72" i="24"/>
  <c r="T72" i="24" s="1"/>
  <c r="S42" i="24"/>
  <c r="T42" i="24" s="1"/>
  <c r="AT40" i="17"/>
  <c r="S65" i="24"/>
  <c r="T65" i="24" s="1"/>
  <c r="AT62" i="17"/>
  <c r="AT126" i="17"/>
  <c r="AT74" i="17"/>
  <c r="S77" i="24"/>
  <c r="T77" i="24" s="1"/>
  <c r="S97" i="24"/>
  <c r="T97" i="24" s="1"/>
  <c r="S100" i="24"/>
  <c r="T100" i="24" s="1"/>
  <c r="AT94" i="17"/>
  <c r="S131" i="24"/>
  <c r="T131" i="24" s="1"/>
  <c r="S109" i="24"/>
  <c r="T109" i="24" s="1"/>
  <c r="AT43" i="17"/>
  <c r="S99" i="24"/>
  <c r="T99" i="24" s="1"/>
  <c r="AT93" i="17"/>
  <c r="S139" i="24"/>
  <c r="T139" i="24" s="1"/>
  <c r="U139" i="24" s="1"/>
  <c r="S74" i="24"/>
  <c r="T74" i="24" s="1"/>
  <c r="AT71" i="17"/>
  <c r="AR49" i="17"/>
  <c r="AR11" i="25" s="1"/>
  <c r="O51" i="24"/>
  <c r="S106" i="24"/>
  <c r="T106" i="24" s="1"/>
  <c r="AT100" i="17"/>
  <c r="S21" i="24"/>
  <c r="T21" i="24" s="1"/>
  <c r="AT115" i="17"/>
  <c r="AR23" i="17"/>
  <c r="O26" i="24"/>
  <c r="S10" i="24"/>
  <c r="T10" i="24" s="1"/>
  <c r="AT8" i="17"/>
  <c r="AT25" i="17"/>
  <c r="S107" i="24"/>
  <c r="T107" i="24" s="1"/>
  <c r="S89" i="24"/>
  <c r="T89" i="24" s="1"/>
  <c r="U89" i="24" s="1"/>
  <c r="AT35" i="17"/>
  <c r="S37" i="24"/>
  <c r="T37" i="24" s="1"/>
  <c r="AT129" i="17"/>
  <c r="S136" i="24"/>
  <c r="T136" i="24" s="1"/>
  <c r="AT131" i="17"/>
  <c r="S62" i="24"/>
  <c r="T62" i="24" s="1"/>
  <c r="AT59" i="17"/>
  <c r="AR20" i="17"/>
  <c r="O23" i="24"/>
  <c r="S84" i="24"/>
  <c r="T84" i="24" s="1"/>
  <c r="AT75" i="17"/>
  <c r="S86" i="24"/>
  <c r="T86" i="24" s="1"/>
  <c r="S114" i="24"/>
  <c r="T114" i="24" s="1"/>
  <c r="AT107" i="17"/>
  <c r="S117" i="24"/>
  <c r="T117" i="24" s="1"/>
  <c r="AT110" i="17"/>
  <c r="AT19" i="17"/>
  <c r="AT116" i="17"/>
  <c r="AT136" i="17"/>
  <c r="AT130" i="17"/>
  <c r="AT21" i="17"/>
  <c r="AT42" i="17"/>
  <c r="S73" i="24"/>
  <c r="T73" i="24" s="1"/>
  <c r="AT70" i="17"/>
  <c r="AR15" i="17"/>
  <c r="O17" i="24"/>
  <c r="AT72" i="17"/>
  <c r="S75" i="24"/>
  <c r="T75" i="24" s="1"/>
  <c r="AR38" i="17"/>
  <c r="O40" i="24"/>
  <c r="S69" i="24"/>
  <c r="T69" i="24" s="1"/>
  <c r="AT66" i="17"/>
  <c r="S46" i="24"/>
  <c r="T46" i="24" s="1"/>
  <c r="S110" i="24"/>
  <c r="T110" i="24" s="1"/>
  <c r="AT104" i="17"/>
  <c r="W104" i="24" s="1"/>
  <c r="X104" i="24" s="1"/>
  <c r="Y104" i="24" s="1"/>
  <c r="AT97" i="17"/>
  <c r="AT10" i="17"/>
  <c r="S12" i="24"/>
  <c r="T12" i="24" s="1"/>
  <c r="S64" i="24"/>
  <c r="AR22" i="17"/>
  <c r="O25" i="24"/>
  <c r="S87" i="24"/>
  <c r="T87" i="24" s="1"/>
  <c r="U87" i="24" s="1"/>
  <c r="AR17" i="17"/>
  <c r="AR8" i="25" s="1"/>
  <c r="O19" i="24"/>
  <c r="AR16" i="17"/>
  <c r="AR6" i="25" s="1"/>
  <c r="AT6" i="25" s="1"/>
  <c r="O18" i="24"/>
  <c r="AR7" i="17"/>
  <c r="O8" i="24"/>
  <c r="AT27" i="17"/>
  <c r="S101" i="24"/>
  <c r="T101" i="24" s="1"/>
  <c r="AT135" i="17"/>
  <c r="S126" i="24"/>
  <c r="T126" i="24" s="1"/>
  <c r="AT39" i="17"/>
  <c r="AT63" i="17"/>
  <c r="S66" i="24"/>
  <c r="T66" i="24" s="1"/>
  <c r="S90" i="24"/>
  <c r="T90" i="24" s="1"/>
  <c r="AT84" i="17"/>
  <c r="S94" i="24"/>
  <c r="T94" i="24" s="1"/>
  <c r="AR29" i="17"/>
  <c r="O31" i="24"/>
  <c r="AT77" i="17"/>
  <c r="AR34" i="17"/>
  <c r="O36" i="24"/>
  <c r="S35" i="24"/>
  <c r="T35" i="24" s="1"/>
  <c r="AT87" i="17"/>
  <c r="S93" i="24"/>
  <c r="T93" i="24" s="1"/>
  <c r="AT9" i="25" l="1"/>
  <c r="AT44" i="17"/>
  <c r="J109" i="24"/>
  <c r="I44" i="24"/>
  <c r="F109" i="24"/>
  <c r="F44" i="24"/>
  <c r="AR18" i="25"/>
  <c r="AV18" i="25" s="1"/>
  <c r="F101" i="24"/>
  <c r="AR7" i="25"/>
  <c r="AZ7" i="25" s="1"/>
  <c r="AR17" i="25"/>
  <c r="AT17" i="25" s="1"/>
  <c r="AR12" i="25"/>
  <c r="AW12" i="25" s="1"/>
  <c r="F140" i="24"/>
  <c r="S116" i="24"/>
  <c r="T116" i="24" s="1"/>
  <c r="AT20" i="25"/>
  <c r="AF24" i="25"/>
  <c r="AR15" i="25"/>
  <c r="AS15" i="25" s="1"/>
  <c r="AZ18" i="25"/>
  <c r="AY18" i="25"/>
  <c r="BA18" i="25"/>
  <c r="AW18" i="25"/>
  <c r="AX18" i="25"/>
  <c r="BA20" i="25"/>
  <c r="AY20" i="25"/>
  <c r="AW20" i="25"/>
  <c r="AV20" i="25"/>
  <c r="AZ20" i="25"/>
  <c r="AX20" i="25"/>
  <c r="AU20" i="25"/>
  <c r="AS20" i="25"/>
  <c r="AZ9" i="25"/>
  <c r="AX9" i="25"/>
  <c r="BA9" i="25"/>
  <c r="AV9" i="25"/>
  <c r="AY9" i="25"/>
  <c r="AW9" i="25"/>
  <c r="AU9" i="25"/>
  <c r="AS9" i="25"/>
  <c r="AY23" i="25"/>
  <c r="AX23" i="25"/>
  <c r="BA23" i="25"/>
  <c r="AW23" i="25"/>
  <c r="AZ23" i="25"/>
  <c r="AV23" i="25"/>
  <c r="AU23" i="25"/>
  <c r="AT48" i="17"/>
  <c r="AR14" i="25"/>
  <c r="AX6" i="25"/>
  <c r="BA6" i="25"/>
  <c r="AW6" i="25"/>
  <c r="AZ6" i="25"/>
  <c r="AV6" i="25"/>
  <c r="AY6" i="25"/>
  <c r="AU6" i="25"/>
  <c r="AS6" i="25"/>
  <c r="AS23" i="25"/>
  <c r="AT8" i="25"/>
  <c r="AW11" i="25"/>
  <c r="AZ11" i="25"/>
  <c r="AY11" i="25"/>
  <c r="AV11" i="25"/>
  <c r="AX11" i="25"/>
  <c r="BA11" i="25"/>
  <c r="AU11" i="25"/>
  <c r="AZ12" i="25"/>
  <c r="AR16" i="25"/>
  <c r="AR13" i="25"/>
  <c r="AT19" i="25"/>
  <c r="AT23" i="25"/>
  <c r="AV8" i="25"/>
  <c r="AY8" i="25"/>
  <c r="AW8" i="25"/>
  <c r="AX8" i="25"/>
  <c r="BA8" i="25"/>
  <c r="AZ8" i="25"/>
  <c r="AU8" i="25"/>
  <c r="AS8" i="25"/>
  <c r="AX7" i="25"/>
  <c r="AW7" i="25"/>
  <c r="BA7" i="25"/>
  <c r="AR21" i="25"/>
  <c r="AT18" i="25"/>
  <c r="AT11" i="25"/>
  <c r="AS18" i="25"/>
  <c r="AW19" i="25"/>
  <c r="AZ19" i="25"/>
  <c r="AV19" i="25"/>
  <c r="AY19" i="25"/>
  <c r="AX19" i="25"/>
  <c r="BA19" i="25"/>
  <c r="AU19" i="25"/>
  <c r="AS19" i="25"/>
  <c r="AS11" i="25"/>
  <c r="F78" i="24"/>
  <c r="E78" i="24"/>
  <c r="E116" i="24"/>
  <c r="G78" i="24"/>
  <c r="AT120" i="17"/>
  <c r="H78" i="24"/>
  <c r="K78" i="24"/>
  <c r="AT78" i="17"/>
  <c r="W78" i="24" s="1"/>
  <c r="X78" i="24" s="1"/>
  <c r="Y78" i="24" s="1"/>
  <c r="J78" i="24"/>
  <c r="S78" i="24"/>
  <c r="T78" i="24" s="1"/>
  <c r="U78" i="24" s="1"/>
  <c r="I78" i="24"/>
  <c r="S48" i="24"/>
  <c r="T48" i="24" s="1"/>
  <c r="U48" i="24" s="1"/>
  <c r="E91" i="24"/>
  <c r="S91" i="24"/>
  <c r="T91" i="24" s="1"/>
  <c r="G91" i="24"/>
  <c r="H91" i="24"/>
  <c r="K91" i="24"/>
  <c r="I91" i="24"/>
  <c r="AT91" i="17"/>
  <c r="W91" i="24" s="1"/>
  <c r="X91" i="24" s="1"/>
  <c r="Y91" i="24" s="1"/>
  <c r="F48" i="24"/>
  <c r="M120" i="24"/>
  <c r="M78" i="24"/>
  <c r="K44" i="24"/>
  <c r="J44" i="24"/>
  <c r="M44" i="24"/>
  <c r="E44" i="24"/>
  <c r="L44" i="24"/>
  <c r="G44" i="24"/>
  <c r="H44" i="24"/>
  <c r="F15" i="24"/>
  <c r="K20" i="24"/>
  <c r="L83" i="24"/>
  <c r="M53" i="24"/>
  <c r="I9" i="24"/>
  <c r="E101" i="24"/>
  <c r="I140" i="24"/>
  <c r="E41" i="24"/>
  <c r="H61" i="24"/>
  <c r="J135" i="24"/>
  <c r="J49" i="24"/>
  <c r="S34" i="24"/>
  <c r="T34" i="24" s="1"/>
  <c r="U34" i="24" s="1"/>
  <c r="E54" i="24"/>
  <c r="J45" i="24"/>
  <c r="G11" i="24"/>
  <c r="F13" i="24"/>
  <c r="E67" i="24"/>
  <c r="F113" i="24"/>
  <c r="L82" i="24"/>
  <c r="L103" i="24"/>
  <c r="F50" i="24"/>
  <c r="K28" i="24"/>
  <c r="I14" i="24"/>
  <c r="M132" i="24"/>
  <c r="J38" i="24"/>
  <c r="J76" i="24"/>
  <c r="E56" i="24"/>
  <c r="E122" i="24"/>
  <c r="L128" i="24"/>
  <c r="M30" i="24"/>
  <c r="M68" i="24"/>
  <c r="M81" i="24"/>
  <c r="AT138" i="17"/>
  <c r="E7" i="24"/>
  <c r="F123" i="24"/>
  <c r="H137" i="24"/>
  <c r="E58" i="24"/>
  <c r="AT51" i="17"/>
  <c r="K47" i="24"/>
  <c r="L60" i="24"/>
  <c r="I48" i="24"/>
  <c r="L91" i="24"/>
  <c r="J29" i="24"/>
  <c r="I52" i="24"/>
  <c r="G80" i="24"/>
  <c r="L32" i="24"/>
  <c r="S57" i="24"/>
  <c r="T57" i="24" s="1"/>
  <c r="U57" i="24" s="1"/>
  <c r="F116" i="24"/>
  <c r="J125" i="24"/>
  <c r="AT125" i="17"/>
  <c r="W125" i="24" s="1"/>
  <c r="X125" i="24" s="1"/>
  <c r="Y125" i="24" s="1"/>
  <c r="E50" i="24"/>
  <c r="S50" i="24"/>
  <c r="T50" i="24" s="1"/>
  <c r="S28" i="24"/>
  <c r="T28" i="24" s="1"/>
  <c r="U28" i="24" s="1"/>
  <c r="G50" i="24"/>
  <c r="AT50" i="17"/>
  <c r="W50" i="24" s="1"/>
  <c r="X50" i="24" s="1"/>
  <c r="Y50" i="24" s="1"/>
  <c r="H50" i="24"/>
  <c r="J50" i="24"/>
  <c r="F28" i="24"/>
  <c r="I50" i="24"/>
  <c r="E28" i="24"/>
  <c r="K50" i="24"/>
  <c r="H28" i="24"/>
  <c r="I28" i="24"/>
  <c r="E13" i="24"/>
  <c r="S13" i="24"/>
  <c r="T13" i="24" s="1"/>
  <c r="U13" i="24" s="1"/>
  <c r="G13" i="24"/>
  <c r="H13" i="24"/>
  <c r="J13" i="24"/>
  <c r="AT13" i="17"/>
  <c r="W13" i="24" s="1"/>
  <c r="X13" i="24" s="1"/>
  <c r="Y13" i="24" s="1"/>
  <c r="I13" i="24"/>
  <c r="K13" i="24"/>
  <c r="M138" i="24"/>
  <c r="L138" i="24"/>
  <c r="H125" i="24"/>
  <c r="E132" i="24"/>
  <c r="S125" i="24"/>
  <c r="T125" i="24" s="1"/>
  <c r="U125" i="24" s="1"/>
  <c r="E103" i="24"/>
  <c r="G103" i="24"/>
  <c r="M33" i="24"/>
  <c r="H103" i="24"/>
  <c r="L33" i="24"/>
  <c r="AT82" i="17"/>
  <c r="AT103" i="17"/>
  <c r="W103" i="24" s="1"/>
  <c r="X103" i="24" s="1"/>
  <c r="Y103" i="24" s="1"/>
  <c r="F103" i="24"/>
  <c r="G82" i="24"/>
  <c r="S103" i="24"/>
  <c r="T103" i="24" s="1"/>
  <c r="U103" i="24" s="1"/>
  <c r="AT33" i="17"/>
  <c r="K125" i="24"/>
  <c r="I125" i="24"/>
  <c r="F125" i="24"/>
  <c r="E125" i="24"/>
  <c r="G125" i="24"/>
  <c r="M125" i="24"/>
  <c r="AT32" i="17"/>
  <c r="W32" i="24" s="1"/>
  <c r="X32" i="24" s="1"/>
  <c r="Y32" i="24" s="1"/>
  <c r="G116" i="24"/>
  <c r="H116" i="24"/>
  <c r="I116" i="24"/>
  <c r="G32" i="24"/>
  <c r="J116" i="24"/>
  <c r="S32" i="24"/>
  <c r="T32" i="24" s="1"/>
  <c r="U32" i="24" s="1"/>
  <c r="M91" i="24"/>
  <c r="M119" i="24"/>
  <c r="AT128" i="17"/>
  <c r="J91" i="24"/>
  <c r="G109" i="24"/>
  <c r="H109" i="24"/>
  <c r="K109" i="24"/>
  <c r="I109" i="24"/>
  <c r="AT60" i="17"/>
  <c r="AT122" i="17"/>
  <c r="F122" i="24"/>
  <c r="S122" i="24"/>
  <c r="T122" i="24" s="1"/>
  <c r="U122" i="24" s="1"/>
  <c r="I81" i="24"/>
  <c r="J81" i="24"/>
  <c r="L81" i="24"/>
  <c r="K81" i="24"/>
  <c r="AT61" i="17"/>
  <c r="AT81" i="17"/>
  <c r="G68" i="24"/>
  <c r="S81" i="24"/>
  <c r="T81" i="24" s="1"/>
  <c r="U81" i="24" s="1"/>
  <c r="E81" i="24"/>
  <c r="G81" i="24"/>
  <c r="AT30" i="17"/>
  <c r="F81" i="24"/>
  <c r="H81" i="24"/>
  <c r="AT95" i="17"/>
  <c r="W95" i="24" s="1"/>
  <c r="X95" i="24" s="1"/>
  <c r="Y95" i="24" s="1"/>
  <c r="J14" i="24"/>
  <c r="G132" i="24"/>
  <c r="K132" i="24"/>
  <c r="S132" i="24"/>
  <c r="T132" i="24" s="1"/>
  <c r="U132" i="24" s="1"/>
  <c r="J132" i="24"/>
  <c r="H132" i="24"/>
  <c r="I132" i="24"/>
  <c r="AT132" i="17"/>
  <c r="W132" i="24" s="1"/>
  <c r="X132" i="24" s="1"/>
  <c r="Y132" i="24" s="1"/>
  <c r="L132" i="24"/>
  <c r="G101" i="24"/>
  <c r="H101" i="24"/>
  <c r="J101" i="24"/>
  <c r="K140" i="24"/>
  <c r="S95" i="24"/>
  <c r="T95" i="24" s="1"/>
  <c r="U95" i="24" s="1"/>
  <c r="J140" i="24"/>
  <c r="G28" i="24"/>
  <c r="M116" i="24"/>
  <c r="L116" i="24"/>
  <c r="K101" i="24"/>
  <c r="L119" i="24"/>
  <c r="K57" i="24"/>
  <c r="M140" i="24"/>
  <c r="I101" i="24"/>
  <c r="E140" i="24"/>
  <c r="M101" i="24"/>
  <c r="L57" i="24"/>
  <c r="L140" i="24"/>
  <c r="K122" i="24"/>
  <c r="G140" i="24"/>
  <c r="L101" i="24"/>
  <c r="H140" i="24"/>
  <c r="S45" i="24"/>
  <c r="T45" i="24" s="1"/>
  <c r="U45" i="24" s="1"/>
  <c r="S11" i="24"/>
  <c r="T11" i="24" s="1"/>
  <c r="U11" i="24" s="1"/>
  <c r="J48" i="24"/>
  <c r="E48" i="24"/>
  <c r="E109" i="24"/>
  <c r="G48" i="24"/>
  <c r="M48" i="24"/>
  <c r="H48" i="24"/>
  <c r="M60" i="24"/>
  <c r="L48" i="24"/>
  <c r="M109" i="24"/>
  <c r="K48" i="24"/>
  <c r="L109" i="24"/>
  <c r="F132" i="24"/>
  <c r="S14" i="24"/>
  <c r="T14" i="24" s="1"/>
  <c r="U14" i="24" s="1"/>
  <c r="F14" i="24"/>
  <c r="K14" i="24"/>
  <c r="I128" i="24"/>
  <c r="E68" i="24"/>
  <c r="L30" i="24"/>
  <c r="L68" i="24"/>
  <c r="E95" i="24"/>
  <c r="H68" i="24"/>
  <c r="AT68" i="17"/>
  <c r="E128" i="24"/>
  <c r="G95" i="24"/>
  <c r="J68" i="24"/>
  <c r="F128" i="24"/>
  <c r="E14" i="24"/>
  <c r="G128" i="24"/>
  <c r="H95" i="24"/>
  <c r="K68" i="24"/>
  <c r="G14" i="24"/>
  <c r="H128" i="24"/>
  <c r="J95" i="24"/>
  <c r="I68" i="24"/>
  <c r="F68" i="24"/>
  <c r="H14" i="24"/>
  <c r="J128" i="24"/>
  <c r="K95" i="24"/>
  <c r="S128" i="24"/>
  <c r="T128" i="24" s="1"/>
  <c r="U128" i="24" s="1"/>
  <c r="S68" i="24"/>
  <c r="T68" i="24" s="1"/>
  <c r="U68" i="24" s="1"/>
  <c r="K128" i="24"/>
  <c r="I95" i="24"/>
  <c r="K113" i="24"/>
  <c r="AT47" i="17"/>
  <c r="F32" i="24"/>
  <c r="E32" i="24"/>
  <c r="H32" i="24"/>
  <c r="K32" i="24"/>
  <c r="I32" i="24"/>
  <c r="J32" i="24"/>
  <c r="I103" i="24"/>
  <c r="J103" i="24"/>
  <c r="F61" i="24"/>
  <c r="S61" i="24"/>
  <c r="T61" i="24" s="1"/>
  <c r="U61" i="24" s="1"/>
  <c r="G61" i="24"/>
  <c r="F135" i="24"/>
  <c r="S135" i="24"/>
  <c r="T135" i="24" s="1"/>
  <c r="U135" i="24" s="1"/>
  <c r="I135" i="24"/>
  <c r="F95" i="24"/>
  <c r="S123" i="24"/>
  <c r="T123" i="24" s="1"/>
  <c r="U123" i="24" s="1"/>
  <c r="AT56" i="17"/>
  <c r="AT113" i="17"/>
  <c r="E113" i="24"/>
  <c r="S113" i="24"/>
  <c r="T113" i="24" s="1"/>
  <c r="U113" i="24" s="1"/>
  <c r="S137" i="24"/>
  <c r="T137" i="24" s="1"/>
  <c r="U137" i="24" s="1"/>
  <c r="K123" i="24"/>
  <c r="K52" i="24"/>
  <c r="S54" i="24"/>
  <c r="T54" i="24" s="1"/>
  <c r="U54" i="24" s="1"/>
  <c r="H88" i="24"/>
  <c r="AT9" i="17"/>
  <c r="W9" i="24" s="1"/>
  <c r="X9" i="24" s="1"/>
  <c r="Y9" i="24" s="1"/>
  <c r="AT88" i="17"/>
  <c r="W88" i="24" s="1"/>
  <c r="X88" i="24" s="1"/>
  <c r="Y88" i="24" s="1"/>
  <c r="AT137" i="17"/>
  <c r="K137" i="24"/>
  <c r="J85" i="24"/>
  <c r="H80" i="24"/>
  <c r="AT53" i="17"/>
  <c r="AT11" i="17"/>
  <c r="W11" i="24" s="1"/>
  <c r="X11" i="24" s="1"/>
  <c r="Y11" i="24" s="1"/>
  <c r="E135" i="24"/>
  <c r="G135" i="24"/>
  <c r="H135" i="24"/>
  <c r="M135" i="24"/>
  <c r="K135" i="24"/>
  <c r="L135" i="24"/>
  <c r="M128" i="24"/>
  <c r="AT52" i="17"/>
  <c r="W52" i="24" s="1"/>
  <c r="X52" i="24" s="1"/>
  <c r="Y52" i="24" s="1"/>
  <c r="S88" i="24"/>
  <c r="T88" i="24" s="1"/>
  <c r="U88" i="24" s="1"/>
  <c r="AT85" i="17"/>
  <c r="W85" i="24" s="1"/>
  <c r="X85" i="24" s="1"/>
  <c r="Y85" i="24" s="1"/>
  <c r="I53" i="24"/>
  <c r="K85" i="24"/>
  <c r="J80" i="24"/>
  <c r="K88" i="24"/>
  <c r="I85" i="24"/>
  <c r="K80" i="24"/>
  <c r="I88" i="24"/>
  <c r="M88" i="24"/>
  <c r="I80" i="24"/>
  <c r="J88" i="24"/>
  <c r="L88" i="24"/>
  <c r="E52" i="24"/>
  <c r="G52" i="24"/>
  <c r="F83" i="24"/>
  <c r="S85" i="24"/>
  <c r="T85" i="24" s="1"/>
  <c r="U85" i="24" s="1"/>
  <c r="S80" i="24"/>
  <c r="T80" i="24" s="1"/>
  <c r="U80" i="24" s="1"/>
  <c r="H52" i="24"/>
  <c r="E85" i="24"/>
  <c r="J52" i="24"/>
  <c r="G85" i="24"/>
  <c r="F80" i="24"/>
  <c r="E80" i="24"/>
  <c r="E88" i="24"/>
  <c r="AT83" i="17"/>
  <c r="S52" i="24"/>
  <c r="T52" i="24" s="1"/>
  <c r="U52" i="24" s="1"/>
  <c r="H85" i="24"/>
  <c r="F88" i="24"/>
  <c r="G88" i="24"/>
  <c r="L9" i="24"/>
  <c r="J57" i="24"/>
  <c r="H57" i="24"/>
  <c r="I57" i="24"/>
  <c r="M57" i="24"/>
  <c r="G57" i="24"/>
  <c r="F57" i="24"/>
  <c r="E57" i="24"/>
  <c r="G9" i="24"/>
  <c r="G113" i="24"/>
  <c r="E123" i="24"/>
  <c r="H113" i="24"/>
  <c r="G123" i="24"/>
  <c r="J113" i="24"/>
  <c r="K103" i="24"/>
  <c r="H123" i="24"/>
  <c r="I113" i="24"/>
  <c r="J123" i="24"/>
  <c r="I123" i="24"/>
  <c r="M82" i="24"/>
  <c r="G122" i="24"/>
  <c r="H122" i="24"/>
  <c r="F85" i="24"/>
  <c r="J122" i="24"/>
  <c r="M103" i="24"/>
  <c r="I122" i="24"/>
  <c r="I137" i="24"/>
  <c r="J137" i="24"/>
  <c r="E137" i="24"/>
  <c r="G137" i="24"/>
  <c r="F137" i="24"/>
  <c r="L53" i="24"/>
  <c r="F9" i="24"/>
  <c r="I61" i="24"/>
  <c r="H9" i="24"/>
  <c r="S9" i="24"/>
  <c r="T9" i="24" s="1"/>
  <c r="U9" i="24" s="1"/>
  <c r="J61" i="24"/>
  <c r="M9" i="24"/>
  <c r="E9" i="24"/>
  <c r="H83" i="24"/>
  <c r="M83" i="24"/>
  <c r="M32" i="24"/>
  <c r="J9" i="24"/>
  <c r="K9" i="24"/>
  <c r="H11" i="24"/>
  <c r="K45" i="24"/>
  <c r="S41" i="24"/>
  <c r="T41" i="24" s="1"/>
  <c r="U41" i="24" s="1"/>
  <c r="K61" i="24"/>
  <c r="S49" i="24"/>
  <c r="T49" i="24" s="1"/>
  <c r="U49" i="24" s="1"/>
  <c r="E61" i="24"/>
  <c r="F67" i="24"/>
  <c r="F45" i="24"/>
  <c r="I45" i="24"/>
  <c r="J11" i="24"/>
  <c r="S29" i="24"/>
  <c r="T29" i="24" s="1"/>
  <c r="U29" i="24" s="1"/>
  <c r="F11" i="24"/>
  <c r="K11" i="24"/>
  <c r="I11" i="24"/>
  <c r="E45" i="24"/>
  <c r="G45" i="24"/>
  <c r="J7" i="24"/>
  <c r="H45" i="24"/>
  <c r="E11" i="24"/>
  <c r="I38" i="24"/>
  <c r="I20" i="24"/>
  <c r="S76" i="24"/>
  <c r="T76" i="24" s="1"/>
  <c r="U76" i="24" s="1"/>
  <c r="K76" i="24"/>
  <c r="K29" i="24"/>
  <c r="K7" i="24"/>
  <c r="I67" i="24"/>
  <c r="K34" i="24"/>
  <c r="H47" i="24"/>
  <c r="L45" i="24"/>
  <c r="M45" i="24"/>
  <c r="J12" i="24"/>
  <c r="L11" i="24"/>
  <c r="M11" i="24"/>
  <c r="L41" i="24"/>
  <c r="M41" i="24"/>
  <c r="L49" i="24"/>
  <c r="M49" i="24"/>
  <c r="K15" i="24"/>
  <c r="J67" i="24"/>
  <c r="K38" i="24"/>
  <c r="I49" i="24"/>
  <c r="J20" i="24"/>
  <c r="G41" i="24"/>
  <c r="J34" i="24"/>
  <c r="E129" i="24"/>
  <c r="L123" i="24"/>
  <c r="M123" i="24"/>
  <c r="L56" i="24"/>
  <c r="M56" i="24"/>
  <c r="K58" i="24"/>
  <c r="L55" i="24"/>
  <c r="M55" i="24"/>
  <c r="L113" i="24"/>
  <c r="M113" i="24"/>
  <c r="S7" i="24"/>
  <c r="T7" i="24" s="1"/>
  <c r="U7" i="24" s="1"/>
  <c r="L6" i="24"/>
  <c r="K6" i="24"/>
  <c r="M6" i="24"/>
  <c r="L13" i="24"/>
  <c r="M13" i="24"/>
  <c r="S38" i="24"/>
  <c r="T38" i="24" s="1"/>
  <c r="U38" i="24" s="1"/>
  <c r="F38" i="24"/>
  <c r="K67" i="24"/>
  <c r="H41" i="24"/>
  <c r="F55" i="24"/>
  <c r="L54" i="24"/>
  <c r="M54" i="24"/>
  <c r="L50" i="24"/>
  <c r="M50" i="24"/>
  <c r="AT28" i="17"/>
  <c r="W28" i="24" s="1"/>
  <c r="X28" i="24" s="1"/>
  <c r="Y28" i="24" s="1"/>
  <c r="L28" i="24"/>
  <c r="M28" i="24"/>
  <c r="L14" i="24"/>
  <c r="M14" i="24"/>
  <c r="L95" i="24"/>
  <c r="M95" i="24"/>
  <c r="L15" i="24"/>
  <c r="M15" i="24"/>
  <c r="H22" i="24"/>
  <c r="L20" i="24"/>
  <c r="M20" i="24"/>
  <c r="L76" i="24"/>
  <c r="M76" i="24"/>
  <c r="F41" i="24"/>
  <c r="J41" i="24"/>
  <c r="L122" i="24"/>
  <c r="M122" i="24"/>
  <c r="L34" i="24"/>
  <c r="M34" i="24"/>
  <c r="L29" i="24"/>
  <c r="M29" i="24"/>
  <c r="L7" i="24"/>
  <c r="M7" i="24"/>
  <c r="L16" i="24"/>
  <c r="M16" i="24"/>
  <c r="L38" i="24"/>
  <c r="M38" i="24"/>
  <c r="S20" i="24"/>
  <c r="T20" i="24" s="1"/>
  <c r="U20" i="24" s="1"/>
  <c r="S67" i="24"/>
  <c r="T67" i="24" s="1"/>
  <c r="U67" i="24" s="1"/>
  <c r="G7" i="24"/>
  <c r="E76" i="24"/>
  <c r="F34" i="24"/>
  <c r="F20" i="24"/>
  <c r="E29" i="24"/>
  <c r="E49" i="24"/>
  <c r="I41" i="24"/>
  <c r="E34" i="24"/>
  <c r="W124" i="24"/>
  <c r="X124" i="24" s="1"/>
  <c r="Y124" i="24" s="1"/>
  <c r="L137" i="24"/>
  <c r="M137" i="24"/>
  <c r="L58" i="24"/>
  <c r="M58" i="24"/>
  <c r="L51" i="24"/>
  <c r="M51" i="24"/>
  <c r="L47" i="24"/>
  <c r="M47" i="24"/>
  <c r="L22" i="24"/>
  <c r="M22" i="24"/>
  <c r="H7" i="24"/>
  <c r="G76" i="24"/>
  <c r="E38" i="24"/>
  <c r="G29" i="24"/>
  <c r="G49" i="24"/>
  <c r="E20" i="24"/>
  <c r="K41" i="24"/>
  <c r="G34" i="24"/>
  <c r="L52" i="24"/>
  <c r="M52" i="24"/>
  <c r="L80" i="24"/>
  <c r="M80" i="24"/>
  <c r="L79" i="24"/>
  <c r="M79" i="24"/>
  <c r="L85" i="24"/>
  <c r="M85" i="24"/>
  <c r="L17" i="24"/>
  <c r="M17" i="24"/>
  <c r="L23" i="24"/>
  <c r="M23" i="24"/>
  <c r="L67" i="24"/>
  <c r="M67" i="24"/>
  <c r="I7" i="24"/>
  <c r="H76" i="24"/>
  <c r="F49" i="24"/>
  <c r="H67" i="24"/>
  <c r="H38" i="24"/>
  <c r="H29" i="24"/>
  <c r="H49" i="24"/>
  <c r="G20" i="24"/>
  <c r="H34" i="24"/>
  <c r="F76" i="24"/>
  <c r="I76" i="24"/>
  <c r="G67" i="24"/>
  <c r="G38" i="24"/>
  <c r="I29" i="24"/>
  <c r="K49" i="24"/>
  <c r="H20" i="24"/>
  <c r="I34" i="24"/>
  <c r="L61" i="24"/>
  <c r="M61" i="24"/>
  <c r="G53" i="24"/>
  <c r="J58" i="24"/>
  <c r="H53" i="24"/>
  <c r="F58" i="24"/>
  <c r="I58" i="24"/>
  <c r="S53" i="24"/>
  <c r="T53" i="24" s="1"/>
  <c r="U53" i="24" s="1"/>
  <c r="K53" i="24"/>
  <c r="G55" i="24"/>
  <c r="J53" i="24"/>
  <c r="G58" i="24"/>
  <c r="S58" i="24"/>
  <c r="T58" i="24" s="1"/>
  <c r="U58" i="24" s="1"/>
  <c r="H58" i="24"/>
  <c r="E53" i="24"/>
  <c r="F53" i="24"/>
  <c r="G54" i="24"/>
  <c r="H54" i="24"/>
  <c r="K54" i="24"/>
  <c r="I54" i="24"/>
  <c r="J54" i="24"/>
  <c r="F7" i="24"/>
  <c r="F29" i="24"/>
  <c r="F52" i="24"/>
  <c r="S15" i="24"/>
  <c r="T15" i="24" s="1"/>
  <c r="U15" i="24" s="1"/>
  <c r="I15" i="24"/>
  <c r="J82" i="24"/>
  <c r="I83" i="24"/>
  <c r="AT14" i="17"/>
  <c r="S82" i="24"/>
  <c r="T82" i="24" s="1"/>
  <c r="U82" i="24" s="1"/>
  <c r="K82" i="24"/>
  <c r="K83" i="24"/>
  <c r="I82" i="24"/>
  <c r="J83" i="24"/>
  <c r="AT80" i="17"/>
  <c r="E15" i="24"/>
  <c r="S83" i="24"/>
  <c r="T83" i="24" s="1"/>
  <c r="U83" i="24" s="1"/>
  <c r="G15" i="24"/>
  <c r="H15" i="24"/>
  <c r="E82" i="24"/>
  <c r="E83" i="24"/>
  <c r="AT79" i="17"/>
  <c r="J15" i="24"/>
  <c r="H82" i="24"/>
  <c r="G83" i="24"/>
  <c r="F59" i="24"/>
  <c r="H129" i="24"/>
  <c r="E12" i="24"/>
  <c r="H12" i="24"/>
  <c r="K12" i="24"/>
  <c r="F54" i="24"/>
  <c r="I12" i="24"/>
  <c r="F12" i="24"/>
  <c r="E22" i="24"/>
  <c r="K22" i="24"/>
  <c r="E24" i="24"/>
  <c r="G22" i="24"/>
  <c r="J16" i="24"/>
  <c r="F16" i="24"/>
  <c r="I22" i="24"/>
  <c r="K16" i="24"/>
  <c r="S24" i="24"/>
  <c r="T24" i="24" s="1"/>
  <c r="U24" i="24" s="1"/>
  <c r="S16" i="24"/>
  <c r="T16" i="24" s="1"/>
  <c r="U16" i="24" s="1"/>
  <c r="J22" i="24"/>
  <c r="G24" i="24"/>
  <c r="F22" i="24"/>
  <c r="E16" i="24"/>
  <c r="H24" i="24"/>
  <c r="S22" i="24"/>
  <c r="T22" i="24" s="1"/>
  <c r="U22" i="24" s="1"/>
  <c r="G16" i="24"/>
  <c r="J24" i="24"/>
  <c r="H16" i="24"/>
  <c r="I24" i="24"/>
  <c r="F24" i="24"/>
  <c r="I16" i="24"/>
  <c r="K24" i="24"/>
  <c r="E55" i="24"/>
  <c r="F47" i="24"/>
  <c r="J47" i="24"/>
  <c r="S47" i="24"/>
  <c r="T47" i="24" s="1"/>
  <c r="U47" i="24" s="1"/>
  <c r="H55" i="24"/>
  <c r="I47" i="24"/>
  <c r="AT45" i="17"/>
  <c r="S55" i="24"/>
  <c r="T55" i="24" s="1"/>
  <c r="U55" i="24" s="1"/>
  <c r="I55" i="24"/>
  <c r="AT54" i="17"/>
  <c r="J55" i="24"/>
  <c r="K55" i="24"/>
  <c r="E47" i="24"/>
  <c r="G47" i="24"/>
  <c r="F82" i="24"/>
  <c r="K129" i="24"/>
  <c r="AT6" i="17"/>
  <c r="G129" i="24"/>
  <c r="AT123" i="17"/>
  <c r="W123" i="24" s="1"/>
  <c r="X123" i="24" s="1"/>
  <c r="Y123" i="24" s="1"/>
  <c r="F129" i="24"/>
  <c r="J129" i="24"/>
  <c r="I129" i="24"/>
  <c r="S120" i="24"/>
  <c r="T120" i="24" s="1"/>
  <c r="U120" i="24" s="1"/>
  <c r="E120" i="24"/>
  <c r="G120" i="24"/>
  <c r="F120" i="24"/>
  <c r="H120" i="24"/>
  <c r="K120" i="24"/>
  <c r="J120" i="24"/>
  <c r="I120" i="24"/>
  <c r="H30" i="24"/>
  <c r="S129" i="24"/>
  <c r="T129" i="24" s="1"/>
  <c r="U129" i="24" s="1"/>
  <c r="J60" i="24"/>
  <c r="G56" i="24"/>
  <c r="AT58" i="17"/>
  <c r="H56" i="24"/>
  <c r="E60" i="24"/>
  <c r="S60" i="24"/>
  <c r="T60" i="24" s="1"/>
  <c r="U60" i="24" s="1"/>
  <c r="F60" i="24"/>
  <c r="I56" i="24"/>
  <c r="G60" i="24"/>
  <c r="AT55" i="17"/>
  <c r="J56" i="24"/>
  <c r="H60" i="24"/>
  <c r="F56" i="24"/>
  <c r="S56" i="24"/>
  <c r="T56" i="24" s="1"/>
  <c r="U56" i="24" s="1"/>
  <c r="K56" i="24"/>
  <c r="I60" i="24"/>
  <c r="K60" i="24"/>
  <c r="G30" i="24"/>
  <c r="I30" i="24"/>
  <c r="J30" i="24"/>
  <c r="K30" i="24"/>
  <c r="S30" i="24"/>
  <c r="T30" i="24" s="1"/>
  <c r="U30" i="24" s="1"/>
  <c r="F30" i="24"/>
  <c r="E30" i="24"/>
  <c r="W129" i="24"/>
  <c r="X129" i="24" s="1"/>
  <c r="Y129" i="24" s="1"/>
  <c r="U109" i="24"/>
  <c r="U98" i="24"/>
  <c r="U46" i="24"/>
  <c r="U10" i="24"/>
  <c r="U97" i="24"/>
  <c r="U92" i="24"/>
  <c r="U91" i="24"/>
  <c r="U115" i="24"/>
  <c r="U73" i="24"/>
  <c r="U62" i="24"/>
  <c r="U136" i="24"/>
  <c r="U99" i="24"/>
  <c r="U131" i="24"/>
  <c r="U42" i="24"/>
  <c r="U59" i="24"/>
  <c r="U39" i="24"/>
  <c r="U27" i="24"/>
  <c r="U114" i="24"/>
  <c r="U107" i="24"/>
  <c r="U63" i="24"/>
  <c r="U101" i="24"/>
  <c r="U75" i="24"/>
  <c r="U77" i="24"/>
  <c r="U111" i="24"/>
  <c r="U118" i="24"/>
  <c r="U66" i="24"/>
  <c r="U116" i="24"/>
  <c r="U106" i="24"/>
  <c r="U134" i="24"/>
  <c r="U105" i="24"/>
  <c r="U108" i="24"/>
  <c r="U35" i="24"/>
  <c r="U100" i="24"/>
  <c r="U84" i="24"/>
  <c r="U37" i="24"/>
  <c r="U94" i="24"/>
  <c r="U12" i="24"/>
  <c r="U69" i="24"/>
  <c r="U21" i="24"/>
  <c r="U74" i="24"/>
  <c r="U72" i="24"/>
  <c r="U71" i="24"/>
  <c r="U130" i="24"/>
  <c r="U127" i="24"/>
  <c r="U93" i="24"/>
  <c r="U90" i="24"/>
  <c r="U102" i="24"/>
  <c r="U126" i="24"/>
  <c r="U117" i="24"/>
  <c r="U110" i="24"/>
  <c r="U65" i="24"/>
  <c r="U86" i="24"/>
  <c r="AE41" i="17"/>
  <c r="AE18" i="17"/>
  <c r="F19" i="24"/>
  <c r="F26" i="24"/>
  <c r="F70" i="24"/>
  <c r="F18" i="24"/>
  <c r="F17" i="24"/>
  <c r="F79" i="24"/>
  <c r="K8" i="24"/>
  <c r="I8" i="24"/>
  <c r="J8" i="24"/>
  <c r="H8" i="24"/>
  <c r="G8" i="24"/>
  <c r="E8" i="24"/>
  <c r="K25" i="24"/>
  <c r="J25" i="24"/>
  <c r="I25" i="24"/>
  <c r="G25" i="24"/>
  <c r="H25" i="24"/>
  <c r="E25" i="24"/>
  <c r="F8" i="24"/>
  <c r="J70" i="24"/>
  <c r="K70" i="24"/>
  <c r="I70" i="24"/>
  <c r="H70" i="24"/>
  <c r="G70" i="24"/>
  <c r="E70" i="24"/>
  <c r="K43" i="24"/>
  <c r="J43" i="24"/>
  <c r="I43" i="24"/>
  <c r="H43" i="24"/>
  <c r="G43" i="24"/>
  <c r="E43" i="24"/>
  <c r="K18" i="24"/>
  <c r="J18" i="24"/>
  <c r="I18" i="24"/>
  <c r="H18" i="24"/>
  <c r="G18" i="24"/>
  <c r="E18" i="24"/>
  <c r="J23" i="24"/>
  <c r="K23" i="24"/>
  <c r="I23" i="24"/>
  <c r="H23" i="24"/>
  <c r="G23" i="24"/>
  <c r="E23" i="24"/>
  <c r="G6" i="24"/>
  <c r="J6" i="24"/>
  <c r="I6" i="24"/>
  <c r="H6" i="24"/>
  <c r="E6" i="24"/>
  <c r="I79" i="24"/>
  <c r="K79" i="24"/>
  <c r="J79" i="24"/>
  <c r="H79" i="24"/>
  <c r="G79" i="24"/>
  <c r="E79" i="24"/>
  <c r="F23" i="24"/>
  <c r="F25" i="24"/>
  <c r="I26" i="24"/>
  <c r="K26" i="24"/>
  <c r="J26" i="24"/>
  <c r="H26" i="24"/>
  <c r="G26" i="24"/>
  <c r="E26" i="24"/>
  <c r="I36" i="24"/>
  <c r="K36" i="24"/>
  <c r="J36" i="24"/>
  <c r="H36" i="24"/>
  <c r="G36" i="24"/>
  <c r="E36" i="24"/>
  <c r="K19" i="24"/>
  <c r="I19" i="24"/>
  <c r="J19" i="24"/>
  <c r="G19" i="24"/>
  <c r="H19" i="24"/>
  <c r="E19" i="24"/>
  <c r="I40" i="24"/>
  <c r="J40" i="24"/>
  <c r="K40" i="24"/>
  <c r="H40" i="24"/>
  <c r="G40" i="24"/>
  <c r="E40" i="24"/>
  <c r="K17" i="24"/>
  <c r="I17" i="24"/>
  <c r="J17" i="24"/>
  <c r="H17" i="24"/>
  <c r="G17" i="24"/>
  <c r="E17" i="24"/>
  <c r="K51" i="24"/>
  <c r="I51" i="24"/>
  <c r="J51" i="24"/>
  <c r="H51" i="24"/>
  <c r="G51" i="24"/>
  <c r="E51" i="24"/>
  <c r="F51" i="24"/>
  <c r="F40" i="24"/>
  <c r="F36" i="24"/>
  <c r="AC6" i="24"/>
  <c r="F6" i="24"/>
  <c r="F43" i="24"/>
  <c r="P70" i="24"/>
  <c r="Q88" i="24"/>
  <c r="Q44" i="24"/>
  <c r="Q69" i="24"/>
  <c r="Q133" i="24"/>
  <c r="Q53" i="24"/>
  <c r="Q52" i="24"/>
  <c r="Q41" i="24"/>
  <c r="Q138" i="24"/>
  <c r="Q35" i="24"/>
  <c r="Q128" i="24"/>
  <c r="Q98" i="24"/>
  <c r="Q87" i="24"/>
  <c r="Q47" i="24"/>
  <c r="Q137" i="24"/>
  <c r="Q99" i="24"/>
  <c r="Q54" i="24"/>
  <c r="Q86" i="24"/>
  <c r="Q105" i="24"/>
  <c r="Q39" i="24"/>
  <c r="Q117" i="24"/>
  <c r="Q76" i="24"/>
  <c r="Q94" i="24"/>
  <c r="Q91" i="24"/>
  <c r="Q115" i="24"/>
  <c r="Q125" i="24"/>
  <c r="Q80" i="24"/>
  <c r="Q28" i="24"/>
  <c r="P31" i="24"/>
  <c r="P23" i="24"/>
  <c r="P8" i="24"/>
  <c r="P18" i="24"/>
  <c r="P17" i="24"/>
  <c r="Q33" i="24"/>
  <c r="Q59" i="24"/>
  <c r="Q49" i="24"/>
  <c r="Q71" i="24"/>
  <c r="Q118" i="24"/>
  <c r="Q55" i="24"/>
  <c r="Q27" i="24"/>
  <c r="Q140" i="24"/>
  <c r="Q95" i="24"/>
  <c r="Q21" i="24"/>
  <c r="Q62" i="24"/>
  <c r="Q16" i="24"/>
  <c r="Q46" i="24"/>
  <c r="Q103" i="24"/>
  <c r="Q112" i="24"/>
  <c r="Q14" i="24"/>
  <c r="Q56" i="24"/>
  <c r="Q75" i="24"/>
  <c r="Q121" i="24"/>
  <c r="Q65" i="24"/>
  <c r="Q74" i="24"/>
  <c r="Q61" i="24"/>
  <c r="Q38" i="24"/>
  <c r="Q89" i="24"/>
  <c r="Q131" i="24"/>
  <c r="Q24" i="24"/>
  <c r="Q139" i="24"/>
  <c r="Q114" i="24"/>
  <c r="Q136" i="24"/>
  <c r="Q73" i="24"/>
  <c r="P25" i="24"/>
  <c r="P19" i="24"/>
  <c r="P40" i="24"/>
  <c r="P26" i="24"/>
  <c r="P43" i="24"/>
  <c r="P51" i="24"/>
  <c r="P79" i="24"/>
  <c r="Q106" i="24"/>
  <c r="Q68" i="24"/>
  <c r="Q32" i="24"/>
  <c r="Q77" i="24"/>
  <c r="Q20" i="24"/>
  <c r="Q90" i="24"/>
  <c r="Q126" i="24"/>
  <c r="Q110" i="24"/>
  <c r="Q22" i="24"/>
  <c r="Q102" i="24"/>
  <c r="Q101" i="24"/>
  <c r="Q100" i="24"/>
  <c r="Q66" i="24"/>
  <c r="Q58" i="24"/>
  <c r="Q109" i="24"/>
  <c r="Q116" i="24"/>
  <c r="Q42" i="24"/>
  <c r="Q63" i="24"/>
  <c r="Q120" i="24"/>
  <c r="Q123" i="24"/>
  <c r="Q113" i="24"/>
  <c r="Q29" i="24"/>
  <c r="Q67" i="24"/>
  <c r="Q108" i="24"/>
  <c r="Q107" i="24"/>
  <c r="Q12" i="24"/>
  <c r="P36" i="24"/>
  <c r="Q84" i="24"/>
  <c r="Q37" i="24"/>
  <c r="Q34" i="24"/>
  <c r="Q97" i="24"/>
  <c r="Q11" i="24"/>
  <c r="Q93" i="24"/>
  <c r="Q72" i="24"/>
  <c r="Q48" i="24"/>
  <c r="Q45" i="24"/>
  <c r="Q60" i="24"/>
  <c r="Q15" i="24"/>
  <c r="Q81" i="24"/>
  <c r="Q83" i="24"/>
  <c r="Q124" i="24"/>
  <c r="Q64" i="24"/>
  <c r="Q13" i="24"/>
  <c r="Q10" i="24"/>
  <c r="Q132" i="24"/>
  <c r="Q92" i="24"/>
  <c r="Q82" i="24"/>
  <c r="Q85" i="24"/>
  <c r="Q78" i="24"/>
  <c r="Q50" i="24"/>
  <c r="Q130" i="24"/>
  <c r="Q122" i="24"/>
  <c r="Q135" i="24"/>
  <c r="Q127" i="24"/>
  <c r="Q134" i="24"/>
  <c r="Q111" i="24"/>
  <c r="AE23" i="17"/>
  <c r="AE38" i="17"/>
  <c r="AE15" i="17"/>
  <c r="AE49" i="17"/>
  <c r="AE7" i="17"/>
  <c r="AE20" i="17"/>
  <c r="AE29" i="17"/>
  <c r="AE34" i="17"/>
  <c r="AE16" i="17"/>
  <c r="AE6" i="25" s="1"/>
  <c r="AE22" i="17"/>
  <c r="AE17" i="17"/>
  <c r="W94" i="24"/>
  <c r="X94" i="24" s="1"/>
  <c r="Y94" i="24" s="1"/>
  <c r="S19" i="24"/>
  <c r="AT17" i="17"/>
  <c r="W100" i="24"/>
  <c r="X100" i="24" s="1"/>
  <c r="Y100" i="24" s="1"/>
  <c r="W72" i="24"/>
  <c r="X72" i="24" s="1"/>
  <c r="Y72" i="24" s="1"/>
  <c r="W39" i="24"/>
  <c r="X39" i="24" s="1"/>
  <c r="Y39" i="24" s="1"/>
  <c r="W140" i="24"/>
  <c r="X140" i="24" s="1"/>
  <c r="Y140" i="24" s="1"/>
  <c r="W62" i="24"/>
  <c r="X62" i="24" s="1"/>
  <c r="Y62" i="24" s="1"/>
  <c r="W86" i="24"/>
  <c r="X86" i="24" s="1"/>
  <c r="Y86" i="24" s="1"/>
  <c r="W102" i="24"/>
  <c r="X102" i="24" s="1"/>
  <c r="Y102" i="24" s="1"/>
  <c r="AE67" i="17"/>
  <c r="W115" i="24"/>
  <c r="X115" i="24" s="1"/>
  <c r="Y115" i="24" s="1"/>
  <c r="AE76" i="17"/>
  <c r="T64" i="24"/>
  <c r="W110" i="24"/>
  <c r="X110" i="24" s="1"/>
  <c r="Y110" i="24" s="1"/>
  <c r="W136" i="24"/>
  <c r="X136" i="24" s="1"/>
  <c r="Y136" i="24" s="1"/>
  <c r="W139" i="24"/>
  <c r="X139" i="24" s="1"/>
  <c r="Y139" i="24" s="1"/>
  <c r="AT29" i="17"/>
  <c r="W29" i="24" s="1"/>
  <c r="X29" i="24" s="1"/>
  <c r="Y29" i="24" s="1"/>
  <c r="W90" i="24"/>
  <c r="X90" i="24" s="1"/>
  <c r="Y90" i="24" s="1"/>
  <c r="S40" i="24"/>
  <c r="AT38" i="17"/>
  <c r="W38" i="24" s="1"/>
  <c r="X38" i="24" s="1"/>
  <c r="Y38" i="24" s="1"/>
  <c r="W114" i="24"/>
  <c r="X114" i="24" s="1"/>
  <c r="Y114" i="24" s="1"/>
  <c r="W84" i="24"/>
  <c r="X84" i="24" s="1"/>
  <c r="Y84" i="24" s="1"/>
  <c r="W89" i="24"/>
  <c r="X89" i="24" s="1"/>
  <c r="Y89" i="24" s="1"/>
  <c r="W116" i="24"/>
  <c r="X116" i="24" s="1"/>
  <c r="Y116" i="24" s="1"/>
  <c r="W42" i="24"/>
  <c r="X42" i="24" s="1"/>
  <c r="Y42" i="24" s="1"/>
  <c r="S6" i="24"/>
  <c r="W92" i="24"/>
  <c r="X92" i="24" s="1"/>
  <c r="Y92" i="24" s="1"/>
  <c r="W63" i="24"/>
  <c r="X63" i="24" s="1"/>
  <c r="Y63" i="24" s="1"/>
  <c r="W127" i="24"/>
  <c r="X127" i="24" s="1"/>
  <c r="Y127" i="24" s="1"/>
  <c r="S43" i="24"/>
  <c r="AT41" i="17"/>
  <c r="W41" i="24" s="1"/>
  <c r="X41" i="24" s="1"/>
  <c r="Y41" i="24" s="1"/>
  <c r="W35" i="24"/>
  <c r="X35" i="24" s="1"/>
  <c r="Y35" i="24" s="1"/>
  <c r="W44" i="24"/>
  <c r="X44" i="24" s="1"/>
  <c r="Y44" i="24" s="1"/>
  <c r="W107" i="24"/>
  <c r="X107" i="24" s="1"/>
  <c r="Y107" i="24" s="1"/>
  <c r="O141" i="24"/>
  <c r="P6" i="24"/>
  <c r="W66" i="24"/>
  <c r="X66" i="24" s="1"/>
  <c r="Y66" i="24" s="1"/>
  <c r="W126" i="24"/>
  <c r="X126" i="24" s="1"/>
  <c r="Y126" i="24" s="1"/>
  <c r="W135" i="24"/>
  <c r="X135" i="24" s="1"/>
  <c r="Y135" i="24" s="1"/>
  <c r="S25" i="24"/>
  <c r="AT22" i="17"/>
  <c r="W24" i="24" s="1"/>
  <c r="X24" i="24" s="1"/>
  <c r="Y24" i="24" s="1"/>
  <c r="S8" i="24"/>
  <c r="AT7" i="17"/>
  <c r="W87" i="24"/>
  <c r="X87" i="24" s="1"/>
  <c r="Y87" i="24" s="1"/>
  <c r="W69" i="24"/>
  <c r="X69" i="24" s="1"/>
  <c r="Y69" i="24" s="1"/>
  <c r="S17" i="24"/>
  <c r="AT15" i="17"/>
  <c r="BC9" i="25"/>
  <c r="T44" i="24"/>
  <c r="W106" i="24"/>
  <c r="X106" i="24" s="1"/>
  <c r="Y106" i="24" s="1"/>
  <c r="S51" i="24"/>
  <c r="AT49" i="17"/>
  <c r="W49" i="24" s="1"/>
  <c r="X49" i="24" s="1"/>
  <c r="Y49" i="24" s="1"/>
  <c r="W74" i="24"/>
  <c r="X74" i="24" s="1"/>
  <c r="Y74" i="24" s="1"/>
  <c r="W99" i="24"/>
  <c r="X99" i="24" s="1"/>
  <c r="Y99" i="24" s="1"/>
  <c r="W131" i="24"/>
  <c r="X131" i="24" s="1"/>
  <c r="Y131" i="24" s="1"/>
  <c r="W77" i="24"/>
  <c r="X77" i="24" s="1"/>
  <c r="Y77" i="24" s="1"/>
  <c r="W65" i="24"/>
  <c r="X65" i="24" s="1"/>
  <c r="Y65" i="24" s="1"/>
  <c r="W48" i="24"/>
  <c r="X48" i="24" s="1"/>
  <c r="Y48" i="24" s="1"/>
  <c r="W59" i="24"/>
  <c r="X59" i="24" s="1"/>
  <c r="Y59" i="24" s="1"/>
  <c r="W105" i="24"/>
  <c r="X105" i="24" s="1"/>
  <c r="Y105" i="24" s="1"/>
  <c r="W71" i="24"/>
  <c r="X71" i="24" s="1"/>
  <c r="Y71" i="24" s="1"/>
  <c r="W27" i="24"/>
  <c r="X27" i="24" s="1"/>
  <c r="Y27" i="24" s="1"/>
  <c r="W108" i="24"/>
  <c r="X108" i="24" s="1"/>
  <c r="Y108" i="24" s="1"/>
  <c r="W101" i="24"/>
  <c r="X101" i="24" s="1"/>
  <c r="Y101" i="24" s="1"/>
  <c r="W46" i="24"/>
  <c r="X46" i="24" s="1"/>
  <c r="Y46" i="24" s="1"/>
  <c r="W117" i="24"/>
  <c r="X117" i="24" s="1"/>
  <c r="Y117" i="24" s="1"/>
  <c r="AT20" i="17"/>
  <c r="S23" i="24"/>
  <c r="W37" i="24"/>
  <c r="X37" i="24" s="1"/>
  <c r="Y37" i="24" s="1"/>
  <c r="W10" i="24"/>
  <c r="X10" i="24" s="1"/>
  <c r="Y10" i="24" s="1"/>
  <c r="S26" i="24"/>
  <c r="AT23" i="17"/>
  <c r="W97" i="24"/>
  <c r="X97" i="24" s="1"/>
  <c r="Y97" i="24" s="1"/>
  <c r="AE28" i="17"/>
  <c r="AE90" i="17"/>
  <c r="AE117" i="17"/>
  <c r="AE53" i="17"/>
  <c r="AE112" i="17"/>
  <c r="AE134" i="17"/>
  <c r="AE6" i="17"/>
  <c r="AE138" i="17"/>
  <c r="AE114" i="17"/>
  <c r="AE98" i="17"/>
  <c r="AE123" i="17"/>
  <c r="AE128" i="17"/>
  <c r="AE19" i="17"/>
  <c r="AE121" i="17"/>
  <c r="AE111" i="17"/>
  <c r="AE54" i="17"/>
  <c r="AE61" i="17"/>
  <c r="AE89" i="17"/>
  <c r="AE132" i="17"/>
  <c r="AE14" i="17"/>
  <c r="AE55" i="17"/>
  <c r="AE37" i="17"/>
  <c r="AE105" i="17"/>
  <c r="AE64" i="17"/>
  <c r="AE99" i="17"/>
  <c r="AE116" i="17"/>
  <c r="AE110" i="17"/>
  <c r="AE107" i="17"/>
  <c r="AE75" i="17"/>
  <c r="AE87" i="17"/>
  <c r="AE45" i="17"/>
  <c r="AE35" i="17"/>
  <c r="AE120" i="17"/>
  <c r="AE8" i="17"/>
  <c r="AE78" i="17"/>
  <c r="AE85" i="17"/>
  <c r="AE113" i="17"/>
  <c r="AE95" i="17"/>
  <c r="AE72" i="17"/>
  <c r="AE66" i="17"/>
  <c r="AE136" i="17"/>
  <c r="AE115" i="17"/>
  <c r="AE70" i="17"/>
  <c r="AE109" i="17"/>
  <c r="AE62" i="17"/>
  <c r="AE58" i="17"/>
  <c r="AE50" i="17"/>
  <c r="AE10" i="17"/>
  <c r="AE79" i="17"/>
  <c r="AE31" i="17"/>
  <c r="AE84" i="17"/>
  <c r="AE97" i="17"/>
  <c r="AE11" i="17"/>
  <c r="AE56" i="17"/>
  <c r="AE104" i="17"/>
  <c r="AE42" i="17"/>
  <c r="AE9" i="25" s="1"/>
  <c r="AE44" i="17"/>
  <c r="AE30" i="17"/>
  <c r="AE52" i="17"/>
  <c r="AE21" i="17"/>
  <c r="AE127" i="17"/>
  <c r="AE137" i="17"/>
  <c r="AE48" i="17"/>
  <c r="AE14" i="25" s="1"/>
  <c r="AE126" i="17"/>
  <c r="AE83" i="17"/>
  <c r="AE81" i="17"/>
  <c r="AE86" i="17"/>
  <c r="AE59" i="17"/>
  <c r="AE119" i="17"/>
  <c r="AE131" i="17"/>
  <c r="AE129" i="17"/>
  <c r="AE13" i="17"/>
  <c r="AE101" i="17"/>
  <c r="AE133" i="17"/>
  <c r="AE25" i="17"/>
  <c r="AE32" i="17"/>
  <c r="AE9" i="17"/>
  <c r="AE94" i="17"/>
  <c r="AE82" i="17"/>
  <c r="AE74" i="17"/>
  <c r="AE130" i="17"/>
  <c r="AE91" i="17"/>
  <c r="AE47" i="17"/>
  <c r="AE100" i="17"/>
  <c r="AE71" i="17"/>
  <c r="AE60" i="17"/>
  <c r="AE140" i="17"/>
  <c r="AE93" i="17"/>
  <c r="AE43" i="17"/>
  <c r="AE103" i="17"/>
  <c r="AE125" i="17"/>
  <c r="AE135" i="17"/>
  <c r="AE88" i="17"/>
  <c r="AE27" i="17"/>
  <c r="AE80" i="17"/>
  <c r="AE102" i="17"/>
  <c r="AE108" i="17"/>
  <c r="AE40" i="17"/>
  <c r="AE69" i="17"/>
  <c r="AE139" i="17"/>
  <c r="AE96" i="17"/>
  <c r="AE12" i="17"/>
  <c r="AE46" i="17"/>
  <c r="AE122" i="17"/>
  <c r="AE26" i="17"/>
  <c r="AE92" i="17"/>
  <c r="AE77" i="17"/>
  <c r="AE118" i="17"/>
  <c r="AE51" i="17"/>
  <c r="AE73" i="17"/>
  <c r="AE65" i="17"/>
  <c r="AE68" i="17"/>
  <c r="AE36" i="17"/>
  <c r="AE106" i="17"/>
  <c r="AE124" i="17"/>
  <c r="AE24" i="17"/>
  <c r="AE33" i="17"/>
  <c r="AE63" i="17"/>
  <c r="AE39" i="17"/>
  <c r="AE57" i="17"/>
  <c r="W111" i="24"/>
  <c r="X111" i="24" s="1"/>
  <c r="Y111" i="24" s="1"/>
  <c r="W93" i="24"/>
  <c r="X93" i="24" s="1"/>
  <c r="Y93" i="24" s="1"/>
  <c r="W120" i="24"/>
  <c r="X120" i="24" s="1"/>
  <c r="Y120" i="24" s="1"/>
  <c r="W64" i="24"/>
  <c r="X64" i="24" s="1"/>
  <c r="Y64" i="24" s="1"/>
  <c r="W12" i="24"/>
  <c r="X12" i="24" s="1"/>
  <c r="Y12" i="24" s="1"/>
  <c r="W75" i="24"/>
  <c r="X75" i="24" s="1"/>
  <c r="Y75" i="24" s="1"/>
  <c r="W73" i="24"/>
  <c r="X73" i="24" s="1"/>
  <c r="Y73" i="24" s="1"/>
  <c r="W109" i="24"/>
  <c r="X109" i="24" s="1"/>
  <c r="Y109" i="24" s="1"/>
  <c r="W130" i="24"/>
  <c r="X130" i="24" s="1"/>
  <c r="Y130" i="24" s="1"/>
  <c r="W134" i="24"/>
  <c r="X134" i="24" s="1"/>
  <c r="Y134" i="24" s="1"/>
  <c r="W118" i="24"/>
  <c r="X118" i="24" s="1"/>
  <c r="Y118" i="24" s="1"/>
  <c r="S36" i="24"/>
  <c r="AT34" i="17"/>
  <c r="W34" i="24" s="1"/>
  <c r="X34" i="24" s="1"/>
  <c r="Y34" i="24" s="1"/>
  <c r="S18" i="24"/>
  <c r="AT16" i="17"/>
  <c r="W21" i="24"/>
  <c r="X21" i="24" s="1"/>
  <c r="Y21" i="24" s="1"/>
  <c r="S70" i="24"/>
  <c r="AT67" i="17"/>
  <c r="W67" i="24" s="1"/>
  <c r="X67" i="24" s="1"/>
  <c r="Y67" i="24" s="1"/>
  <c r="W98" i="24"/>
  <c r="X98" i="24" s="1"/>
  <c r="Y98" i="24" s="1"/>
  <c r="S79" i="24"/>
  <c r="AT76" i="17"/>
  <c r="W76" i="24" s="1"/>
  <c r="X76" i="24" s="1"/>
  <c r="Y76" i="24" s="1"/>
  <c r="BA12" i="25" l="1"/>
  <c r="AS12" i="25"/>
  <c r="AU12" i="25"/>
  <c r="AX12" i="25"/>
  <c r="AY12" i="25"/>
  <c r="AV12" i="25"/>
  <c r="AT12" i="25"/>
  <c r="AT15" i="25"/>
  <c r="AY7" i="25"/>
  <c r="AW15" i="25"/>
  <c r="AS7" i="25"/>
  <c r="AU7" i="25"/>
  <c r="AV7" i="25"/>
  <c r="AT7" i="25"/>
  <c r="AU15" i="25"/>
  <c r="AY15" i="25"/>
  <c r="AU18" i="25"/>
  <c r="AV15" i="25"/>
  <c r="AZ15" i="25"/>
  <c r="AY17" i="25"/>
  <c r="AX17" i="25"/>
  <c r="AV17" i="25"/>
  <c r="AZ17" i="25"/>
  <c r="AS17" i="25"/>
  <c r="AU17" i="25"/>
  <c r="AW17" i="25"/>
  <c r="BA17" i="25"/>
  <c r="BA15" i="25"/>
  <c r="AX15" i="25"/>
  <c r="AE11" i="25"/>
  <c r="AE18" i="25"/>
  <c r="AE13" i="25"/>
  <c r="AE23" i="25"/>
  <c r="AE17" i="25"/>
  <c r="AX13" i="25"/>
  <c r="BA13" i="25"/>
  <c r="AV13" i="25"/>
  <c r="AW13" i="25"/>
  <c r="AZ13" i="25"/>
  <c r="AY13" i="25"/>
  <c r="AU13" i="25"/>
  <c r="AS13" i="25"/>
  <c r="AE21" i="25"/>
  <c r="AE20" i="25"/>
  <c r="AE10" i="25"/>
  <c r="AE7" i="25"/>
  <c r="AV16" i="25"/>
  <c r="AY16" i="25"/>
  <c r="BA16" i="25"/>
  <c r="AX16" i="25"/>
  <c r="AW16" i="25"/>
  <c r="AZ16" i="25"/>
  <c r="AU16" i="25"/>
  <c r="AS16" i="25"/>
  <c r="AT16" i="25"/>
  <c r="AE16" i="25"/>
  <c r="AE19" i="25"/>
  <c r="AX21" i="25"/>
  <c r="AZ21" i="25"/>
  <c r="BA21" i="25"/>
  <c r="AV21" i="25"/>
  <c r="AW21" i="25"/>
  <c r="AY21" i="25"/>
  <c r="AU21" i="25"/>
  <c r="AS21" i="25"/>
  <c r="AT21" i="25"/>
  <c r="AT13" i="25"/>
  <c r="AE22" i="25"/>
  <c r="AE15" i="25"/>
  <c r="AE8" i="25"/>
  <c r="AE12" i="25"/>
  <c r="AX14" i="25"/>
  <c r="BA14" i="25"/>
  <c r="AW14" i="25"/>
  <c r="AV14" i="25"/>
  <c r="AY14" i="25"/>
  <c r="AZ14" i="25"/>
  <c r="AU14" i="25"/>
  <c r="AT14" i="25"/>
  <c r="AS14" i="25"/>
  <c r="W128" i="24"/>
  <c r="X128" i="24" s="1"/>
  <c r="Y128" i="24" s="1"/>
  <c r="W122" i="24"/>
  <c r="X122" i="24" s="1"/>
  <c r="Y122" i="24" s="1"/>
  <c r="BC14" i="25"/>
  <c r="W30" i="24"/>
  <c r="X30" i="24" s="1"/>
  <c r="Y30" i="24" s="1"/>
  <c r="W61" i="24"/>
  <c r="X61" i="24" s="1"/>
  <c r="Y61" i="24" s="1"/>
  <c r="W113" i="24"/>
  <c r="X113" i="24" s="1"/>
  <c r="Y113" i="24" s="1"/>
  <c r="W81" i="24"/>
  <c r="X81" i="24" s="1"/>
  <c r="Y81" i="24" s="1"/>
  <c r="W68" i="24"/>
  <c r="X68" i="24" s="1"/>
  <c r="Y68" i="24" s="1"/>
  <c r="W53" i="24"/>
  <c r="X53" i="24" s="1"/>
  <c r="Y53" i="24" s="1"/>
  <c r="BC20" i="25"/>
  <c r="W56" i="24"/>
  <c r="X56" i="24" s="1"/>
  <c r="Y56" i="24" s="1"/>
  <c r="W137" i="24"/>
  <c r="X137" i="24" s="1"/>
  <c r="Y137" i="24" s="1"/>
  <c r="W54" i="24"/>
  <c r="X54" i="24" s="1"/>
  <c r="Y54" i="24" s="1"/>
  <c r="W80" i="24"/>
  <c r="X80" i="24" s="1"/>
  <c r="Y80" i="24" s="1"/>
  <c r="W14" i="24"/>
  <c r="X14" i="24" s="1"/>
  <c r="Y14" i="24" s="1"/>
  <c r="W83" i="24"/>
  <c r="X83" i="24" s="1"/>
  <c r="Y83" i="24" s="1"/>
  <c r="W45" i="24"/>
  <c r="X45" i="24" s="1"/>
  <c r="Y45" i="24" s="1"/>
  <c r="W22" i="24"/>
  <c r="X22" i="24" s="1"/>
  <c r="Y22" i="24" s="1"/>
  <c r="W7" i="24"/>
  <c r="X7" i="24" s="1"/>
  <c r="Y7" i="24" s="1"/>
  <c r="W20" i="24"/>
  <c r="X20" i="24" s="1"/>
  <c r="Y20" i="24" s="1"/>
  <c r="W82" i="24"/>
  <c r="X82" i="24" s="1"/>
  <c r="Y82" i="24" s="1"/>
  <c r="W15" i="24"/>
  <c r="X15" i="24" s="1"/>
  <c r="Y15" i="24" s="1"/>
  <c r="W58" i="24"/>
  <c r="X58" i="24" s="1"/>
  <c r="Y58" i="24" s="1"/>
  <c r="W55" i="24"/>
  <c r="X55" i="24" s="1"/>
  <c r="Y55" i="24" s="1"/>
  <c r="W60" i="24"/>
  <c r="X60" i="24" s="1"/>
  <c r="Y60" i="24" s="1"/>
  <c r="W47" i="24"/>
  <c r="X47" i="24" s="1"/>
  <c r="Y47" i="24" s="1"/>
  <c r="W16" i="24"/>
  <c r="X16" i="24" s="1"/>
  <c r="Y16" i="24" s="1"/>
  <c r="Q51" i="24"/>
  <c r="Q19" i="24"/>
  <c r="Q18" i="24"/>
  <c r="Q43" i="24"/>
  <c r="Q25" i="24"/>
  <c r="Q8" i="24"/>
  <c r="Q36" i="24"/>
  <c r="Q26" i="24"/>
  <c r="Q23" i="24"/>
  <c r="Q79" i="24"/>
  <c r="Q40" i="24"/>
  <c r="Q17" i="24"/>
  <c r="Q31" i="24"/>
  <c r="Q70" i="24"/>
  <c r="W18" i="24"/>
  <c r="X18" i="24" s="1"/>
  <c r="Y18" i="24" s="1"/>
  <c r="W25" i="24"/>
  <c r="X25" i="24" s="1"/>
  <c r="Y25" i="24" s="1"/>
  <c r="BC12" i="25"/>
  <c r="T40" i="24"/>
  <c r="BD14" i="25"/>
  <c r="BE14" i="25" s="1"/>
  <c r="U50" i="24"/>
  <c r="W36" i="24"/>
  <c r="X36" i="24" s="1"/>
  <c r="Y36" i="24" s="1"/>
  <c r="W17" i="24"/>
  <c r="X17" i="24" s="1"/>
  <c r="Y17" i="24" s="1"/>
  <c r="T18" i="24"/>
  <c r="T79" i="24"/>
  <c r="BC23" i="25"/>
  <c r="BC17" i="25"/>
  <c r="T36" i="24"/>
  <c r="W23" i="24"/>
  <c r="X23" i="24" s="1"/>
  <c r="Y23" i="24" s="1"/>
  <c r="T17" i="24"/>
  <c r="BC6" i="25"/>
  <c r="T6" i="24"/>
  <c r="AE141" i="17"/>
  <c r="BC18" i="25"/>
  <c r="T25" i="24"/>
  <c r="W43" i="24"/>
  <c r="X43" i="24" s="1"/>
  <c r="Y43" i="24" s="1"/>
  <c r="W6" i="24"/>
  <c r="T19" i="24"/>
  <c r="BC21" i="25"/>
  <c r="W70" i="24"/>
  <c r="X70" i="24" s="1"/>
  <c r="Y70" i="24" s="1"/>
  <c r="W26" i="24"/>
  <c r="X26" i="24" s="1"/>
  <c r="Y26" i="24" s="1"/>
  <c r="W51" i="24"/>
  <c r="X51" i="24" s="1"/>
  <c r="Y51" i="24" s="1"/>
  <c r="W79" i="24"/>
  <c r="X79" i="24" s="1"/>
  <c r="Y79" i="24" s="1"/>
  <c r="T70" i="24"/>
  <c r="Q6" i="24"/>
  <c r="P141" i="24"/>
  <c r="T43" i="24"/>
  <c r="BC7" i="25"/>
  <c r="T26" i="24"/>
  <c r="BC13" i="25"/>
  <c r="BC16" i="25"/>
  <c r="T23" i="24"/>
  <c r="T51" i="24"/>
  <c r="BC11" i="25"/>
  <c r="W8" i="24"/>
  <c r="X8" i="24" s="1"/>
  <c r="Y8" i="24" s="1"/>
  <c r="BD20" i="25"/>
  <c r="BE20" i="25" s="1"/>
  <c r="U64" i="24"/>
  <c r="U44" i="24"/>
  <c r="BD9" i="25"/>
  <c r="BE9" i="25" s="1"/>
  <c r="T8" i="24"/>
  <c r="W40" i="24"/>
  <c r="X40" i="24" s="1"/>
  <c r="Y40" i="24" s="1"/>
  <c r="W19" i="24"/>
  <c r="X19" i="24" s="1"/>
  <c r="Y19" i="24" s="1"/>
  <c r="AE24" i="25" l="1"/>
  <c r="Q141" i="24"/>
  <c r="U51" i="24"/>
  <c r="BD11" i="25"/>
  <c r="BE11" i="25" s="1"/>
  <c r="X6" i="24"/>
  <c r="U6" i="24"/>
  <c r="U23" i="24"/>
  <c r="BD16" i="25"/>
  <c r="BE16" i="25" s="1"/>
  <c r="U25" i="24"/>
  <c r="BD18" i="25"/>
  <c r="BE18" i="25" s="1"/>
  <c r="BD23" i="25"/>
  <c r="BE23" i="25" s="1"/>
  <c r="U79" i="24"/>
  <c r="BD12" i="25"/>
  <c r="BE12" i="25" s="1"/>
  <c r="U40" i="24"/>
  <c r="U26" i="24"/>
  <c r="BD13" i="25"/>
  <c r="BE13" i="25" s="1"/>
  <c r="U18" i="24"/>
  <c r="U70" i="24"/>
  <c r="U17" i="24"/>
  <c r="BD6" i="25"/>
  <c r="BD21" i="25"/>
  <c r="BE21" i="25" s="1"/>
  <c r="U19" i="24"/>
  <c r="U8" i="24"/>
  <c r="U43" i="24"/>
  <c r="BD7" i="25"/>
  <c r="BE7" i="25" s="1"/>
  <c r="U36" i="24"/>
  <c r="BD17" i="25"/>
  <c r="BE17" i="25" s="1"/>
  <c r="BE6" i="25" l="1"/>
  <c r="Y6" i="24"/>
  <c r="AK141" i="17" l="1"/>
  <c r="AO133" i="17"/>
  <c r="AA133" i="24" s="1"/>
  <c r="AB133" i="24" s="1"/>
  <c r="AC133" i="24" s="1"/>
  <c r="AR112" i="17" l="1"/>
  <c r="AR22" i="25" s="1"/>
  <c r="AR31" i="17"/>
  <c r="AR10" i="25" s="1"/>
  <c r="AR133" i="17"/>
  <c r="AA138" i="24"/>
  <c r="AB138" i="24" s="1"/>
  <c r="AC138" i="24" s="1"/>
  <c r="F138" i="24"/>
  <c r="H138" i="24"/>
  <c r="AO112" i="17"/>
  <c r="AO22" i="25" s="1"/>
  <c r="G138" i="24"/>
  <c r="I138" i="24"/>
  <c r="J33" i="24"/>
  <c r="AO31" i="17"/>
  <c r="AN141" i="17"/>
  <c r="S138" i="24"/>
  <c r="BC15" i="25" s="1"/>
  <c r="H33" i="24"/>
  <c r="J138" i="24"/>
  <c r="E138" i="24"/>
  <c r="AT22" i="25" l="1"/>
  <c r="AA31" i="24"/>
  <c r="AB31" i="24" s="1"/>
  <c r="AC31" i="24" s="1"/>
  <c r="AO10" i="25"/>
  <c r="AT10" i="25" s="1"/>
  <c r="AZ10" i="25"/>
  <c r="AV10" i="25"/>
  <c r="AY10" i="25"/>
  <c r="AX10" i="25"/>
  <c r="BA10" i="25"/>
  <c r="AW10" i="25"/>
  <c r="AU10" i="25"/>
  <c r="AS10" i="25"/>
  <c r="AR24" i="25"/>
  <c r="AX22" i="25"/>
  <c r="AZ22" i="25"/>
  <c r="BA22" i="25"/>
  <c r="AW22" i="25"/>
  <c r="AV22" i="25"/>
  <c r="AY22" i="25"/>
  <c r="AU22" i="25"/>
  <c r="AS22" i="25"/>
  <c r="AT133" i="17"/>
  <c r="W133" i="24" s="1"/>
  <c r="X133" i="24" s="1"/>
  <c r="Y133" i="24" s="1"/>
  <c r="AT31" i="17"/>
  <c r="W31" i="24" s="1"/>
  <c r="X31" i="24" s="1"/>
  <c r="Y31" i="24" s="1"/>
  <c r="AA112" i="24"/>
  <c r="AB112" i="24" s="1"/>
  <c r="AC112" i="24" s="1"/>
  <c r="L133" i="24"/>
  <c r="M133" i="24"/>
  <c r="H133" i="24"/>
  <c r="G133" i="24"/>
  <c r="S133" i="24"/>
  <c r="T133" i="24" s="1"/>
  <c r="U133" i="24" s="1"/>
  <c r="E133" i="24"/>
  <c r="F133" i="24"/>
  <c r="J133" i="24"/>
  <c r="K133" i="24"/>
  <c r="I133" i="24"/>
  <c r="L31" i="24"/>
  <c r="M31" i="24"/>
  <c r="I31" i="24"/>
  <c r="J31" i="24"/>
  <c r="S31" i="24"/>
  <c r="T31" i="24" s="1"/>
  <c r="U31" i="24" s="1"/>
  <c r="K31" i="24"/>
  <c r="G31" i="24"/>
  <c r="F31" i="24"/>
  <c r="H31" i="24"/>
  <c r="E31" i="24"/>
  <c r="L112" i="24"/>
  <c r="M112" i="24"/>
  <c r="J112" i="24"/>
  <c r="I112" i="24"/>
  <c r="H112" i="24"/>
  <c r="G112" i="24"/>
  <c r="K112" i="24"/>
  <c r="F112" i="24"/>
  <c r="E112" i="24"/>
  <c r="S112" i="24"/>
  <c r="T112" i="24" s="1"/>
  <c r="U112" i="24" s="1"/>
  <c r="T138" i="24"/>
  <c r="U138" i="24" s="1"/>
  <c r="BC19" i="25"/>
  <c r="I119" i="24"/>
  <c r="G119" i="24"/>
  <c r="J119" i="24"/>
  <c r="AT112" i="17"/>
  <c r="AR141" i="17"/>
  <c r="H119" i="24"/>
  <c r="K119" i="24"/>
  <c r="E119" i="24"/>
  <c r="S33" i="24"/>
  <c r="S119" i="24"/>
  <c r="I33" i="24"/>
  <c r="K33" i="24"/>
  <c r="E33" i="24"/>
  <c r="G33" i="24"/>
  <c r="K138" i="24"/>
  <c r="W138" i="24"/>
  <c r="X138" i="24" s="1"/>
  <c r="Y138" i="24" s="1"/>
  <c r="AO141" i="17"/>
  <c r="F33" i="24"/>
  <c r="AA33" i="24"/>
  <c r="W33" i="24"/>
  <c r="F119" i="24"/>
  <c r="AA119" i="24"/>
  <c r="AB119" i="24" s="1"/>
  <c r="AC119" i="24" s="1"/>
  <c r="BA24" i="25" l="1"/>
  <c r="AZ24" i="25"/>
  <c r="AV24" i="25"/>
  <c r="AU24" i="25"/>
  <c r="AS24" i="25"/>
  <c r="AY24" i="25"/>
  <c r="F141" i="24"/>
  <c r="G141" i="24"/>
  <c r="E141" i="24"/>
  <c r="AX24" i="25"/>
  <c r="I141" i="24"/>
  <c r="J141" i="24"/>
  <c r="H141" i="24"/>
  <c r="AW24" i="25"/>
  <c r="BC22" i="25"/>
  <c r="W119" i="24"/>
  <c r="X119" i="24" s="1"/>
  <c r="Y119" i="24" s="1"/>
  <c r="W112" i="24"/>
  <c r="X112" i="24" s="1"/>
  <c r="Y112" i="24" s="1"/>
  <c r="L141" i="24"/>
  <c r="K141" i="24"/>
  <c r="M141" i="24"/>
  <c r="T33" i="24"/>
  <c r="U33" i="24" s="1"/>
  <c r="BC8" i="25"/>
  <c r="BD19" i="25"/>
  <c r="BE19" i="25" s="1"/>
  <c r="BD15" i="25"/>
  <c r="BE15" i="25" s="1"/>
  <c r="BC10" i="25"/>
  <c r="AT141" i="17"/>
  <c r="T119" i="24"/>
  <c r="U119" i="24" s="1"/>
  <c r="S141" i="24"/>
  <c r="AA141" i="24"/>
  <c r="AB33" i="24"/>
  <c r="X33" i="24"/>
  <c r="BD22" i="25" l="1"/>
  <c r="BE22" i="25" s="1"/>
  <c r="W141" i="24"/>
  <c r="T141" i="24"/>
  <c r="U141" i="24" s="1"/>
  <c r="BC24" i="25"/>
  <c r="BD10" i="25"/>
  <c r="BE10" i="25" s="1"/>
  <c r="BD8" i="25"/>
  <c r="BE8" i="25" s="1"/>
  <c r="X141" i="24"/>
  <c r="Y141" i="24" s="1"/>
  <c r="Y33" i="24"/>
  <c r="AC33" i="24"/>
  <c r="AB141" i="24"/>
  <c r="AC141" i="24" s="1"/>
  <c r="BD24" i="25" l="1"/>
  <c r="BE24" i="25" s="1"/>
  <c r="AO24" i="25" l="1"/>
  <c r="AT24" i="25" s="1"/>
</calcChain>
</file>

<file path=xl/sharedStrings.xml><?xml version="1.0" encoding="utf-8"?>
<sst xmlns="http://schemas.openxmlformats.org/spreadsheetml/2006/main" count="4288" uniqueCount="579">
  <si>
    <t>Koulutuksen järjestäjä</t>
  </si>
  <si>
    <t>Perustutkintojen määrä</t>
  </si>
  <si>
    <t>Ammatti- ja erikoisammattitutkintojen määrä</t>
  </si>
  <si>
    <t>Perustutkintojen tutkinnon osien määrä</t>
  </si>
  <si>
    <t>Ammatti- ja erikoisammattitutkintojen tutkinnon osien määrä</t>
  </si>
  <si>
    <t>Perustutkintojen kustannusryhmän ja pohjakoulutuksen mukaan painotetut pisteet</t>
  </si>
  <si>
    <t>Ammatti- ja erikoisammattitutkintojen kustannusryhmän ja pohjakoulutuksen mukaan painotetut pisteet</t>
  </si>
  <si>
    <t>Erityisen tuen mukaan painotetut tutkintojen pisteet</t>
  </si>
  <si>
    <t>Perustutkintojen osien kustannusryhmän mukaan painotetut osaamispisteet</t>
  </si>
  <si>
    <t>Ammatti- ja erikoisammattitutkintojen osien kustannusryhmän mukaan painotetut osaamispisteet</t>
  </si>
  <si>
    <t>Erityisen tuen mukaan painotetut tutkinnon osien osaamispisteet</t>
  </si>
  <si>
    <t>Tutkintojen ja tutkinnon osien painotetut pisteet yhteensä</t>
  </si>
  <si>
    <t/>
  </si>
  <si>
    <t>Yhteensä</t>
  </si>
  <si>
    <t>Aloittaneet</t>
  </si>
  <si>
    <t>Ahlmanin koulun Säätiö sr</t>
  </si>
  <si>
    <t>Aitoon Emäntäkoulu Oy</t>
  </si>
  <si>
    <t>Ammattiopisto Spesia Oy</t>
  </si>
  <si>
    <t>Ava-Instituutin kannatusyhdistys ry</t>
  </si>
  <si>
    <t>Axxell Utbildning Ab</t>
  </si>
  <si>
    <t>Cimson Koulutuspalvelut Oy</t>
  </si>
  <si>
    <t>Espoon seudun koulutuskuntayhtymä Omnia</t>
  </si>
  <si>
    <t>Etelä-Karjalan Koulutuskuntayhtymä</t>
  </si>
  <si>
    <t>Etelä-Savon Koulutus Oy</t>
  </si>
  <si>
    <t>Eurajoen kristillisen opiston kannatusyhdistys r.y.</t>
  </si>
  <si>
    <t>Folkhälsan Utbildning Ab</t>
  </si>
  <si>
    <t>Haapaveden Opiston kannatusyhdistys ry</t>
  </si>
  <si>
    <t>Harjun Oppimiskeskus Oy</t>
  </si>
  <si>
    <t>Helsingin kaupunki</t>
  </si>
  <si>
    <t>Helsingin Konservatorion Säätiö sr</t>
  </si>
  <si>
    <t>Helsinki Business College Oy</t>
  </si>
  <si>
    <t>Hevosopisto Oy</t>
  </si>
  <si>
    <t>Hyria koulutus Oy</t>
  </si>
  <si>
    <t>Hämeen ammatti-instituutti Oy</t>
  </si>
  <si>
    <t>Itä-Karjalan Kansanopistoseura ry</t>
  </si>
  <si>
    <t>Itä-Savon koulutuskuntayhtymä</t>
  </si>
  <si>
    <t>Itä-Suomen Liikuntaopisto Oy</t>
  </si>
  <si>
    <t>Joensuun kaupunki</t>
  </si>
  <si>
    <t>Jokilaaksojen koulutuskuntayhtymä</t>
  </si>
  <si>
    <t>Jollas-Opisto Oy</t>
  </si>
  <si>
    <t>Jyväskylän kristillisen opiston säätiö sr</t>
  </si>
  <si>
    <t>Jyväskylän Talouskouluyhdistys r.y.</t>
  </si>
  <si>
    <t>Järviseudun Koulutuskuntayhtymä</t>
  </si>
  <si>
    <t>Kajaanin kaupunki</t>
  </si>
  <si>
    <t>Kalajoen Kristillisen Opiston kannatusyhdistys ry</t>
  </si>
  <si>
    <t>Kanneljärven Kansanopiston kannatusyhdistys r.y.</t>
  </si>
  <si>
    <t>Kansan Sivistystyön Liitto KSL ry</t>
  </si>
  <si>
    <t>Karstulan Evankelisen Kansanopiston kannatusyhdistys ry</t>
  </si>
  <si>
    <t>Kellosepäntaidon Edistämissäätiö sr</t>
  </si>
  <si>
    <t>Kemi-Tornionlaakson koulutuskuntayhtymä Lappia</t>
  </si>
  <si>
    <t>Keski-Pohjanmaan Konservatorion Kannatusyhdistys Ry</t>
  </si>
  <si>
    <t>Keski-Pohjanmaan Koulutusyhtymä</t>
  </si>
  <si>
    <t>Keski-Uudenmaan koulutuskuntayhtymä</t>
  </si>
  <si>
    <t>Kiinteistöalan Koulutussäätiö sr</t>
  </si>
  <si>
    <t>Kiipulasäätiö sr</t>
  </si>
  <si>
    <t>Kirkkopalvelut ry</t>
  </si>
  <si>
    <t>Kiteen Evankelisen Kansanopiston kannatusyhdistys ry</t>
  </si>
  <si>
    <t>Korpisaaren Säätiö sr</t>
  </si>
  <si>
    <t>Kotkan-Haminan seudun koulutuskuntayhtymä</t>
  </si>
  <si>
    <t>Koulutuskeskus Salpaus -kuntayhtymä</t>
  </si>
  <si>
    <t>Koulutuskuntayhtymä Tavastia</t>
  </si>
  <si>
    <t>KSAK Oy</t>
  </si>
  <si>
    <t>Kuopion Konservatorion kannatusyhdistys r.y.</t>
  </si>
  <si>
    <t>Kuopion Talouskoulun kannatusyhdistys r.y.</t>
  </si>
  <si>
    <t>Kuortaneen Urheiluopistosäätiö sr</t>
  </si>
  <si>
    <t>Laajasalon opiston säätiö sr</t>
  </si>
  <si>
    <t>Lahden kansanopiston säätiö sr</t>
  </si>
  <si>
    <t>Lahden Konservatorio Oy</t>
  </si>
  <si>
    <t>Lounais-Hämeen koulutuskuntayhtymä</t>
  </si>
  <si>
    <t>Lounais-Suomen koulutuskuntayhtymä</t>
  </si>
  <si>
    <t>Luksia, Länsi-Uudenmaan koulutuskuntayhtymä</t>
  </si>
  <si>
    <t>Länsirannikon Koulutus Oy</t>
  </si>
  <si>
    <t>Maalariammattikoulun kannatusyhdistys r.y.</t>
  </si>
  <si>
    <t>Management Institute of Finland MIF Oy</t>
  </si>
  <si>
    <t>Marttayhdistysten liitto ry</t>
  </si>
  <si>
    <t>Optima samkommun</t>
  </si>
  <si>
    <t>Oulun kaupunki</t>
  </si>
  <si>
    <t>Paasikiviopistoyhdistys r.y.</t>
  </si>
  <si>
    <t>Palkansaajien koulutussäätiö sr</t>
  </si>
  <si>
    <t>Palloilu Säätiö sr</t>
  </si>
  <si>
    <t>Peimarin koulutuskuntayhtymä</t>
  </si>
  <si>
    <t>Perho Liiketalousopisto Oy</t>
  </si>
  <si>
    <t>Peräpohjolan Kansanopiston kannatusyhdistys ry</t>
  </si>
  <si>
    <t>Pohjois-Karjalan Koulutuskuntayhtymä</t>
  </si>
  <si>
    <t>Pohjois-Satakunnan Kansanopiston kannatusyhdistys r.y.</t>
  </si>
  <si>
    <t>Pohjois-Savon Kansanopistoseura r.y.</t>
  </si>
  <si>
    <t>Pohjois-Suomen Koulutuskeskussäätiö sr</t>
  </si>
  <si>
    <t>Pop &amp; Jazz Konservatorion Säätiö sr</t>
  </si>
  <si>
    <t>Portaanpää ry</t>
  </si>
  <si>
    <t>Raahen Porvari- ja Kauppakoulurahasto sr</t>
  </si>
  <si>
    <t>Raision Seudun Koulutuskuntayhtymä</t>
  </si>
  <si>
    <t>Rakennusteollisuus RT ry</t>
  </si>
  <si>
    <t>Raudaskylän Kristillinen Opisto r.y.</t>
  </si>
  <si>
    <t>Rovalan Setlementti ry</t>
  </si>
  <si>
    <t>Rovaniemen Koulutuskuntayhtymä</t>
  </si>
  <si>
    <t>Salon Seudun Koulutuskuntayhtymä</t>
  </si>
  <si>
    <t>SASKY koulutuskuntayhtymä</t>
  </si>
  <si>
    <t>Satakunnan koulutuskuntayhtymä</t>
  </si>
  <si>
    <t>Savon Koulutuskuntayhtymä</t>
  </si>
  <si>
    <t>Seinäjoen koulutuskuntayhtymä</t>
  </si>
  <si>
    <t>Suomen Diakoniaopisto - SDO Oy</t>
  </si>
  <si>
    <t>Suomen kansallisooppera ja -baletti sr</t>
  </si>
  <si>
    <t>Suomen Nuoriso-Opiston kannatusyhdistys ry</t>
  </si>
  <si>
    <t>Suomen Urheiluopiston Kannatusosakeyhtiö</t>
  </si>
  <si>
    <t>Suomen ympäristöopisto SYKLI Oy</t>
  </si>
  <si>
    <t>Suupohjan Koulutuskuntayhtymä</t>
  </si>
  <si>
    <t>Svenska Framtidsskolan i Helsingforsregionen Ab</t>
  </si>
  <si>
    <t>Svenska Österbottens förbund för Utbildning och Kultur</t>
  </si>
  <si>
    <t>Tampereen Aikuiskoulutussäätiö sr</t>
  </si>
  <si>
    <t>Tampereen kaupunki</t>
  </si>
  <si>
    <t>Tampereen Musiikkiopiston Säätiö sr</t>
  </si>
  <si>
    <t>Tanhuvaaran Säätiö sr</t>
  </si>
  <si>
    <t>Tohtori Matthias Ingmanin säätiö sr</t>
  </si>
  <si>
    <t>Traffica Oy</t>
  </si>
  <si>
    <t>Turun Aikuiskoulutussäätiö sr</t>
  </si>
  <si>
    <t>Turun Ammattiopistosäätiö sr</t>
  </si>
  <si>
    <t>Turun kaupunki</t>
  </si>
  <si>
    <t>Turun kristillisen opiston säätiö sr</t>
  </si>
  <si>
    <t>Työtehoseura ry</t>
  </si>
  <si>
    <t>Vaasan kaupunki</t>
  </si>
  <si>
    <t>Valkeakosken seudun koulutuskuntayhtymä</t>
  </si>
  <si>
    <t>Valkealan Kristillisen Kansanopiston kannatusyhdistys r.y.</t>
  </si>
  <si>
    <t>Vantaan kaupunki</t>
  </si>
  <si>
    <t>Varalan Säätiö sr</t>
  </si>
  <si>
    <t>Ylä-Savon koulutuskuntayhtymä</t>
  </si>
  <si>
    <t>Äänekosken Ammatillisen Koulutuksen kuntayhtymä</t>
  </si>
  <si>
    <t>Koko tutkinnon suorittaneet</t>
  </si>
  <si>
    <t>Tutkinnon osia suorittaneet</t>
  </si>
  <si>
    <t>Fysikaalinen hoitolaitos Arcus Lumio &amp; Pirttimaa</t>
  </si>
  <si>
    <t>KONE Hissit Oy</t>
  </si>
  <si>
    <t>Suomen Luterilainen Evankeliumiyhdistys ry</t>
  </si>
  <si>
    <t>TYA-oppilaitos Oy</t>
  </si>
  <si>
    <t>Kustannusryhmän mukaan painotetut perustutkinnon opiskelijavuodet</t>
  </si>
  <si>
    <t>Kustannusryhmän mukaan painotetut at- ja eat-tutkinnon opiskelijavuodet</t>
  </si>
  <si>
    <t>Kustannusryhmän mukaan painotetut opiskelijavalmiuksia tukevat opiskelijavuodet</t>
  </si>
  <si>
    <t>Kustannusryhmän mukaan painotetut muun koulutuksen opiskelijavuodet</t>
  </si>
  <si>
    <t>Erityistuen mukaan painotetut opiskelijavuodet</t>
  </si>
  <si>
    <t>Majoituksen mukaan painotetut opiskelijavuodet</t>
  </si>
  <si>
    <t>Henkilöstökoulutuksen mukaan painotetut opiskelijavuodet</t>
  </si>
  <si>
    <t>Työvoimakoulutuksen mukaan painotetut opiskelijavuodet</t>
  </si>
  <si>
    <t>Vankilakoulutuksen mukaan painotetut opiskelijavuodet</t>
  </si>
  <si>
    <t>Painotetut opiskelijavuodet yhteensä</t>
  </si>
  <si>
    <t>Profiilikerroin</t>
  </si>
  <si>
    <t>Haus Kehittämiskeskus Oy</t>
  </si>
  <si>
    <t>Kvarnen samkommun</t>
  </si>
  <si>
    <t>Meyer Turku Oy</t>
  </si>
  <si>
    <t>Suomen Ilmailuopisto Oy</t>
  </si>
  <si>
    <t>Ava-instituutin kannatusyhdistys ry</t>
  </si>
  <si>
    <t>Careeria Oy</t>
  </si>
  <si>
    <t>Kalajoen Kristillisen Opiston Kannatusyhdistys ry</t>
  </si>
  <si>
    <t>Suoritusrahoitus</t>
  </si>
  <si>
    <t>€</t>
  </si>
  <si>
    <t>Alv</t>
  </si>
  <si>
    <t>Strategiarahoitus</t>
  </si>
  <si>
    <t>Harkinnanvarainen perusrahoitus</t>
  </si>
  <si>
    <t>Laskennallinen rahoitus + alv</t>
  </si>
  <si>
    <t xml:space="preserve">Työllistyneet ja jatko-opiskelijat </t>
  </si>
  <si>
    <t>%-osuus 1</t>
  </si>
  <si>
    <t>Painotetut pisteet 2</t>
  </si>
  <si>
    <t>%-osuus 2</t>
  </si>
  <si>
    <t>Painotetut pisteet 3</t>
  </si>
  <si>
    <t>%-osuus 3</t>
  </si>
  <si>
    <t>1 Opiskelijavuodet</t>
  </si>
  <si>
    <t>2 Tutkinnot ja tutkinnon osat</t>
  </si>
  <si>
    <t xml:space="preserve">3 Työllistyneet ja jatko-opiskelijat </t>
  </si>
  <si>
    <t>4 Aloittaneet opiskelijapalaute</t>
  </si>
  <si>
    <t>Painotetut pisteet 4</t>
  </si>
  <si>
    <t>%-osuus 4</t>
  </si>
  <si>
    <t>%-osuus 6</t>
  </si>
  <si>
    <t>Painotetut opiskelija-vuodet</t>
  </si>
  <si>
    <t>Profiili-kerroin</t>
  </si>
  <si>
    <t>%-osuus 5</t>
  </si>
  <si>
    <t>Painotetut pisteet 5</t>
  </si>
  <si>
    <t>Uusimaa</t>
  </si>
  <si>
    <t>2918298-7</t>
  </si>
  <si>
    <t>Keski-Suomi</t>
  </si>
  <si>
    <t>0208589-6</t>
  </si>
  <si>
    <t>Pohjois-Savo</t>
  </si>
  <si>
    <t>0214765-5</t>
  </si>
  <si>
    <t>Pohjanmaa</t>
  </si>
  <si>
    <t>Pohjois-Pohjanmaa</t>
  </si>
  <si>
    <t>Kainuu</t>
  </si>
  <si>
    <t>Pirkanmaa</t>
  </si>
  <si>
    <t>0155689-5</t>
  </si>
  <si>
    <t>0124610-9</t>
  </si>
  <si>
    <t>Päijät-Häme</t>
  </si>
  <si>
    <t>Varsinais-Suomi</t>
  </si>
  <si>
    <t>Kymenlaakso</t>
  </si>
  <si>
    <t>0163408-0</t>
  </si>
  <si>
    <t>0206289-7</t>
  </si>
  <si>
    <t>0209602-6</t>
  </si>
  <si>
    <t>0202496-2</t>
  </si>
  <si>
    <t>0915313-4</t>
  </si>
  <si>
    <t>0204819-8</t>
  </si>
  <si>
    <t>0276652-8</t>
  </si>
  <si>
    <t>0142247-5</t>
  </si>
  <si>
    <t>0858476-8</t>
  </si>
  <si>
    <t>0172730-8</t>
  </si>
  <si>
    <t>1577184-4</t>
  </si>
  <si>
    <t>Etelä-Pohjanmaa</t>
  </si>
  <si>
    <t>Etelä-Savo</t>
  </si>
  <si>
    <t>0166930-4</t>
  </si>
  <si>
    <t>0206148-0</t>
  </si>
  <si>
    <t>0211675-2</t>
  </si>
  <si>
    <t>0155651-0</t>
  </si>
  <si>
    <t>0988182-8</t>
  </si>
  <si>
    <t>1648362-5</t>
  </si>
  <si>
    <t>0973712-1</t>
  </si>
  <si>
    <t>0208850-1</t>
  </si>
  <si>
    <t>0681365-1</t>
  </si>
  <si>
    <t>0202512-1</t>
  </si>
  <si>
    <t>0207230-7</t>
  </si>
  <si>
    <t>0242525-6</t>
  </si>
  <si>
    <t>0116936-9</t>
  </si>
  <si>
    <t>Satakunta</t>
  </si>
  <si>
    <t>1728925-0</t>
  </si>
  <si>
    <t>2756786-7</t>
  </si>
  <si>
    <t>1007629-5</t>
  </si>
  <si>
    <t>1852679-9</t>
  </si>
  <si>
    <t>0203929-1</t>
  </si>
  <si>
    <t>0204964-1</t>
  </si>
  <si>
    <t>0139545-4</t>
  </si>
  <si>
    <t>Lappi</t>
  </si>
  <si>
    <t>0973110-9</t>
  </si>
  <si>
    <t>0210668-5</t>
  </si>
  <si>
    <t>0195258-0</t>
  </si>
  <si>
    <t>0215303-5</t>
  </si>
  <si>
    <t>0204427-7</t>
  </si>
  <si>
    <t>0189373-6</t>
  </si>
  <si>
    <t>0210287-9</t>
  </si>
  <si>
    <t>0828475-7</t>
  </si>
  <si>
    <t>0214822-8</t>
  </si>
  <si>
    <t>0280690-5</t>
  </si>
  <si>
    <t>0207972-8</t>
  </si>
  <si>
    <t>0908429-8</t>
  </si>
  <si>
    <t>0193507-8</t>
  </si>
  <si>
    <t>2734201-9</t>
  </si>
  <si>
    <t>0823246-3</t>
  </si>
  <si>
    <t>0153158-3</t>
  </si>
  <si>
    <t>0882817-9</t>
  </si>
  <si>
    <t>0365121-2</t>
  </si>
  <si>
    <t>Pohjois-Karjala</t>
  </si>
  <si>
    <t>0212371-7</t>
  </si>
  <si>
    <t>0992445-3</t>
  </si>
  <si>
    <t>0187690-1</t>
  </si>
  <si>
    <t>0796234-1</t>
  </si>
  <si>
    <t>2460281-5</t>
  </si>
  <si>
    <t>0772017-4</t>
  </si>
  <si>
    <t>0187711-1</t>
  </si>
  <si>
    <t>0201689-0</t>
  </si>
  <si>
    <t>0222804-1</t>
  </si>
  <si>
    <t>0871305-6</t>
  </si>
  <si>
    <t>2245018-4</t>
  </si>
  <si>
    <t>0203167-9</t>
  </si>
  <si>
    <t>0204023-3</t>
  </si>
  <si>
    <t>Kanta-Häme</t>
  </si>
  <si>
    <t>0626288-8</t>
  </si>
  <si>
    <t>0149057-4</t>
  </si>
  <si>
    <t>0149666-9</t>
  </si>
  <si>
    <t>0209021-4</t>
  </si>
  <si>
    <t>0213834-5</t>
  </si>
  <si>
    <t>0180124-8</t>
  </si>
  <si>
    <t>0207872-5</t>
  </si>
  <si>
    <t>0207862-9</t>
  </si>
  <si>
    <t>0832600-5</t>
  </si>
  <si>
    <t>Keski-Pohjanmaa</t>
  </si>
  <si>
    <t>0208916-8</t>
  </si>
  <si>
    <t>1943518-6</t>
  </si>
  <si>
    <t>0205303-4</t>
  </si>
  <si>
    <t>0993644-6</t>
  </si>
  <si>
    <t>1958694-5</t>
  </si>
  <si>
    <t>0536496-2</t>
  </si>
  <si>
    <t>1904292-1</t>
  </si>
  <si>
    <t>0207572-7</t>
  </si>
  <si>
    <t>0215281-7</t>
  </si>
  <si>
    <t>0147520-0</t>
  </si>
  <si>
    <t>0774302-6</t>
  </si>
  <si>
    <t>2109309-0</t>
  </si>
  <si>
    <t>0101304-9</t>
  </si>
  <si>
    <t>0503417-0</t>
  </si>
  <si>
    <t>0208362-0</t>
  </si>
  <si>
    <t>0213502-1</t>
  </si>
  <si>
    <t>0213977-8</t>
  </si>
  <si>
    <t>0209892-9</t>
  </si>
  <si>
    <t>0214958-9</t>
  </si>
  <si>
    <t>1807931-9</t>
  </si>
  <si>
    <t>0208201-1</t>
  </si>
  <si>
    <t>1637771-8</t>
  </si>
  <si>
    <t>0210010-1</t>
  </si>
  <si>
    <t>0242746-2</t>
  </si>
  <si>
    <t>0942165-3</t>
  </si>
  <si>
    <t>1605076-6</t>
  </si>
  <si>
    <t>0167924-6</t>
  </si>
  <si>
    <t>0207390-8</t>
  </si>
  <si>
    <t>0207329-7</t>
  </si>
  <si>
    <t>0201375-3</t>
  </si>
  <si>
    <t>2627679-3</t>
  </si>
  <si>
    <t>2250205-2</t>
  </si>
  <si>
    <t>0200004-7</t>
  </si>
  <si>
    <t>0201252-3</t>
  </si>
  <si>
    <t>0934732-6</t>
  </si>
  <si>
    <t>2162576-3</t>
  </si>
  <si>
    <t>0201256-6</t>
  </si>
  <si>
    <t>1778388-1</t>
  </si>
  <si>
    <t>1055483-2</t>
  </si>
  <si>
    <t>0209770-7</t>
  </si>
  <si>
    <t>0734567-7</t>
  </si>
  <si>
    <t>0209492-8</t>
  </si>
  <si>
    <t>2334857-9</t>
  </si>
  <si>
    <t>0203717-3</t>
  </si>
  <si>
    <t>2249317-6</t>
  </si>
  <si>
    <t>Etelä-Karjala</t>
  </si>
  <si>
    <t>1027740-9</t>
  </si>
  <si>
    <t>0502454-6</t>
  </si>
  <si>
    <t>2189108-4</t>
  </si>
  <si>
    <t>2064886-7</t>
  </si>
  <si>
    <t>0211060-9</t>
  </si>
  <si>
    <t>2767840-1</t>
  </si>
  <si>
    <t>2811092-2</t>
  </si>
  <si>
    <t>0150951-1</t>
  </si>
  <si>
    <t>0155402-1</t>
  </si>
  <si>
    <t>Nimi</t>
  </si>
  <si>
    <t>Y-tunnus</t>
  </si>
  <si>
    <t>KOULUTUKSEN JÄRJESTÄJÄ</t>
  </si>
  <si>
    <t>kuntayhtymä</t>
  </si>
  <si>
    <t>yksityinen</t>
  </si>
  <si>
    <t>kunta</t>
  </si>
  <si>
    <t>Vaikuttavuusrahoitus</t>
  </si>
  <si>
    <t>5 Päättäneet  opiskelijapalaute</t>
  </si>
  <si>
    <t>Opiskelijapalaute</t>
  </si>
  <si>
    <t>Päättäneet</t>
  </si>
  <si>
    <t>Omistajatyyppi</t>
  </si>
  <si>
    <t>Maakunta</t>
  </si>
  <si>
    <t>Suoritus-rahoitus</t>
  </si>
  <si>
    <t>Vaikuttavuus-rahoitus yhteensä</t>
  </si>
  <si>
    <t>-josta työllistyneet ja jatko-opiskelijat</t>
  </si>
  <si>
    <t>-josta aloittaneet opiskelija-palaute</t>
  </si>
  <si>
    <t>-josta päättäneet opiskelija-palaute</t>
  </si>
  <si>
    <t>Perusrahoitus yht.</t>
  </si>
  <si>
    <t>Perus-rahoituksesta</t>
  </si>
  <si>
    <t>Vaikuttavuus-rahoituksesta</t>
  </si>
  <si>
    <t>Opiskelija-palaute-osuudesta</t>
  </si>
  <si>
    <t>Laskennalli-sesta</t>
  </si>
  <si>
    <t>Kaikesta 
(pl. alv)</t>
  </si>
  <si>
    <t>Summa</t>
  </si>
  <si>
    <t>Keskimääräinen profiilikerroin</t>
  </si>
  <si>
    <t>Kunta</t>
  </si>
  <si>
    <t>Yksityinen</t>
  </si>
  <si>
    <t>Järjestäjien kokonais-määrä</t>
  </si>
  <si>
    <t>Kunta-yhtymä</t>
  </si>
  <si>
    <t>Kaikki summat pl. alv sekä myöhemmin varainhoitovuonna jaettava osa</t>
  </si>
  <si>
    <t>Painottamattomat opiskelijavuodet yhteensä</t>
  </si>
  <si>
    <t>Painottamattomat opiskelijavuodet (pl. muu koulutus)</t>
  </si>
  <si>
    <t>Muun koulutuksen painottamattomat opiskelijavuodet</t>
  </si>
  <si>
    <t>Tutkintojen painotetut pisteet yhteensä</t>
  </si>
  <si>
    <t>Tutkinnon osien painotetut osaamispisteet yhteensä</t>
  </si>
  <si>
    <t>Varainhoitovuoden jakovara ja oikaisuvähennys (-)</t>
  </si>
  <si>
    <t>Kuopion Talouskoulun Kannatusyhdistys ry</t>
  </si>
  <si>
    <t>Perusrahoitus yhteensä</t>
  </si>
  <si>
    <t>Suoritusrahoitus yhteensä</t>
  </si>
  <si>
    <t>Vaikuttavuusrahoitus yhteensä</t>
  </si>
  <si>
    <t>Suoritusrahoitus, €</t>
  </si>
  <si>
    <t>Perus-, suoritus- ja vaikuttavuusrahoitus yhteensä, €</t>
  </si>
  <si>
    <t>Alv-korvaus, €</t>
  </si>
  <si>
    <t>Koko rahoitus + 
alv-korvaus, €</t>
  </si>
  <si>
    <t>Järjestämisluvan opisk.vuosien vähimmäismäärä</t>
  </si>
  <si>
    <t>Muutos, € 1</t>
  </si>
  <si>
    <t>Muutos, % 1</t>
  </si>
  <si>
    <t>Muutos, € 2</t>
  </si>
  <si>
    <t>Muutos, % 2</t>
  </si>
  <si>
    <t>Muutos, % 3</t>
  </si>
  <si>
    <t>Muutos, € 3</t>
  </si>
  <si>
    <t>Kieli</t>
  </si>
  <si>
    <t>suomenkielinen</t>
  </si>
  <si>
    <t>ruotsinkielinen</t>
  </si>
  <si>
    <t>kaksikielinen (s)</t>
  </si>
  <si>
    <t>Tutkintojen ja tutkinnon osien painotetut pisteet, järj. %-osuus</t>
  </si>
  <si>
    <t>3008326-5</t>
  </si>
  <si>
    <t>AEL-Amiedu Oy</t>
  </si>
  <si>
    <t>2962876-6</t>
  </si>
  <si>
    <t>Turun musiikinopetus Oy</t>
  </si>
  <si>
    <t>Fria Kristliga Folkhögskolföreningen FKF rf</t>
  </si>
  <si>
    <t xml:space="preserve"> Y-tunnus</t>
  </si>
  <si>
    <t>Painotetut
tavoitteelliset
opiskelijavuodet</t>
  </si>
  <si>
    <t>Perusrahoitus
yhteensä, €</t>
  </si>
  <si>
    <t>Tutkintojen
määrä</t>
  </si>
  <si>
    <t>Tutkintojen painotetut
pisteet</t>
  </si>
  <si>
    <t>Tutkinnon osien osaamispisteet</t>
  </si>
  <si>
    <t>Tutkinnon osien painotetut osaamispisteet</t>
  </si>
  <si>
    <t>Työllistyneet ja jatko-opintoihin siirtyneet</t>
  </si>
  <si>
    <t>Työllistyneet ja jatko-opintoihin siirtyneet, painotetut pisteet</t>
  </si>
  <si>
    <t>Työllistyneet ja jatko-opintoihin siirtyneet, €</t>
  </si>
  <si>
    <t>Opiskelunsa aloittaneiden palautteen pisteet</t>
  </si>
  <si>
    <t>Opiskelunsa aloittaneiden palautteen painotetut pisteet</t>
  </si>
  <si>
    <t>Opiskelunsa päättäneiden palautteen pisteet</t>
  </si>
  <si>
    <t>Opiskelunsa päättäneiden palautteen painotetut pisteet</t>
  </si>
  <si>
    <t>-josta työvoima-koulutus</t>
  </si>
  <si>
    <t>Raportti yhteensä</t>
  </si>
  <si>
    <t>Harkinnan-varainen
korotus, €</t>
  </si>
  <si>
    <t>Tavoitteellinen
opiskelija-vuosimäärä</t>
  </si>
  <si>
    <t>Suoritus-rahoitus
yhteensä, €</t>
  </si>
  <si>
    <t>Opiskelunsa päättäneiden opiskelija-palaute, €</t>
  </si>
  <si>
    <t>Vaikuttavuus-rahoitus
yhteensä, €</t>
  </si>
  <si>
    <t>Kyselyn kohteet (Rahoitus)</t>
  </si>
  <si>
    <t>Vastanneet (Rahoitus)</t>
  </si>
  <si>
    <t>Vastausosuus (Rahoitus)</t>
  </si>
  <si>
    <t>Korjauskerroin (Rahoitus)</t>
  </si>
  <si>
    <t>Keskiarvo (Rahoitus)</t>
  </si>
  <si>
    <t>Pisteet (Rahoitus)</t>
  </si>
  <si>
    <t>Painotetut pisteet (Rahoitus)</t>
  </si>
  <si>
    <t>Painotetut pisteet % (Rahoitus)</t>
  </si>
  <si>
    <t>Yhteensä Kyselyn kohteet (Rahoitus)</t>
  </si>
  <si>
    <t>Yhteensä Vastanneet (Rahoitus)</t>
  </si>
  <si>
    <t>Yhteensä Vastausosuus (Rahoitus)</t>
  </si>
  <si>
    <t>Yhteensä Keskiarvo (Rahoitus)</t>
  </si>
  <si>
    <t>Yhteensä Pisteet (Rahoitus)</t>
  </si>
  <si>
    <t>Suoriteperusteinen (opiskelijavuosiin perustuva) sekä harkinnanvarainen korotus, €</t>
  </si>
  <si>
    <t>LASKENNALLINEN RAHOITUS YHTEENSÄ + ALV</t>
  </si>
  <si>
    <t>ARVONLISÄVEROKORVAUS</t>
  </si>
  <si>
    <t>Kaikki summat pl. myöhemmin varainhoitovuonna jaettava osa</t>
  </si>
  <si>
    <t>Varsinaisella suoritepäätöksellä jaettava lask. rahoitus yhteensä</t>
  </si>
  <si>
    <t>Perusrahoitus</t>
  </si>
  <si>
    <t>Suorite-perusteinen perusrahoitus (pl. hark. kor.)</t>
  </si>
  <si>
    <t>Perusrahoitus yhteensä (ml. hark. kor.)</t>
  </si>
  <si>
    <t>Jaettava € 1</t>
  </si>
  <si>
    <t>Jaettava € 2</t>
  </si>
  <si>
    <t>Jaettava € 3</t>
  </si>
  <si>
    <t>Jaettava € 4</t>
  </si>
  <si>
    <t>Jaettava € 5</t>
  </si>
  <si>
    <t>Jaettava € 6</t>
  </si>
  <si>
    <t>Varsinaisella suoritepäätöksellä jaettava rahoitus (pl. alv)</t>
  </si>
  <si>
    <t>Varsinaisella suoritepäätöksellä jaettava suoriteperusteinen rahoitus (pl. alv.)</t>
  </si>
  <si>
    <t>PERUSRAHOITUKSEN HARKINNANVARAINEN KOROTUS</t>
  </si>
  <si>
    <t>Suoritepäätöksellä jaettavat opisk.vuodet (luvan ylittävä osuus)</t>
  </si>
  <si>
    <t>Suomen Yrittäjäopisto Oy</t>
  </si>
  <si>
    <t>Keski-Pohjanmaan Konservatorion Kannatusyhdistys ry</t>
  </si>
  <si>
    <t>Jakotaulu, varsinainen suoritepäätös</t>
  </si>
  <si>
    <t>Rastor-instituutti ry</t>
  </si>
  <si>
    <t>Kisakeskussäätiö sr</t>
  </si>
  <si>
    <t>Koulutuskuntayhtymä OSAO</t>
  </si>
  <si>
    <t>Työtehoseura ry, ruotsiksi Arbetseffektivitetsföreningen rf</t>
  </si>
  <si>
    <t>Jyväskylän koulutuskuntayhtymä Gradia</t>
  </si>
  <si>
    <t>Mercuria kauppaoppilaitos Oy</t>
  </si>
  <si>
    <t>Painotetut pisteet yhteensä</t>
  </si>
  <si>
    <t>Työllisten ja opiskelijoiden painotetut pisteet %-osuus järjestäjittäin</t>
  </si>
  <si>
    <t>Oppivelvollisuuden mukaan painotetut opiskelijavuodet</t>
  </si>
  <si>
    <t>Erityistuen hyväksytyt painotetut opiskelijavuodet</t>
  </si>
  <si>
    <t>Majoituksen hyväksytyt painotetut opiskelijavuodet</t>
  </si>
  <si>
    <t>Yhteensä Korjauskerroin (Rahoitus)</t>
  </si>
  <si>
    <t>Yhteensä Painotetut pisteet (Rahoitus)</t>
  </si>
  <si>
    <t>Yhteensä Painotetut pisteet % (Rahoitus)</t>
  </si>
  <si>
    <t>Perusrahoituksen muutos, €</t>
  </si>
  <si>
    <t>Suoritusrahoituksen muutos, €</t>
  </si>
  <si>
    <t>Suoritusrahoituksen muutos, %</t>
  </si>
  <si>
    <t>Perusrahoituksen muutos, %</t>
  </si>
  <si>
    <t>Vaikuttavuusrahoituksen muutos, €</t>
  </si>
  <si>
    <t>Vaikuttavuusrahoituksen muutos, %</t>
  </si>
  <si>
    <t>Tavoitteelliset opiskelija-vuodet</t>
  </si>
  <si>
    <t>Ammatillisen koulutuksen rahoitus + alv-kompensaatio</t>
  </si>
  <si>
    <t>Ammatillisen koulutuksen rahoitus</t>
  </si>
  <si>
    <t>Laskennallinen rahoitus</t>
  </si>
  <si>
    <t>Laskennallinen rahoitus pl. harkinnanvaraisena korotuksena myönnettävä määräaikainen lisämääräraha
(suoritus- ja vaikuttavuusrahoituksen ulkopuolinen osuus laskennallisesta rahoituksesta)</t>
  </si>
  <si>
    <t>Suoriteperusteinen perusrahoitus (ennen varainhoitovuoden jakovara- ja oikaisuvähennystä)</t>
  </si>
  <si>
    <t>Suoriteperusteinen perusrahoitus (jakovara- ja oikaisuvähennyksen jälkeen)</t>
  </si>
  <si>
    <t>SUMMALUKUJA MAAKUNNITTAIN KOULUTUKSEN JÄRJESTÄJIEN KOTIPAIKKAKUNNAN MUKAISESTI</t>
  </si>
  <si>
    <t>Arvonlisävero-korvaus, €</t>
  </si>
  <si>
    <t>Opiskelunsa aloittaneiden opiskelija-
palaute, €</t>
  </si>
  <si>
    <t>Laskennallinen rahoitus
yhteensä
(ei sis. alv), €</t>
  </si>
  <si>
    <t>Suomen Nuoriso-opiston Kannatusyhdistys ry</t>
  </si>
  <si>
    <t>Live-säätiö sr</t>
  </si>
  <si>
    <t>Koulutuskuntayhtymä Brahe</t>
  </si>
  <si>
    <t>Fintraffic Lennonvarmistus Oy</t>
  </si>
  <si>
    <t>Laskentaan hyväksytyt painotetut osaamispisteet</t>
  </si>
  <si>
    <t>3213129-1</t>
  </si>
  <si>
    <t>Kouvolan Ammattiopisto Oy</t>
  </si>
  <si>
    <t>https://vipunen.fi/fi-fi/_layouts/15/xlviewer.aspx?id=/fi-fi/Raportit/Koski%20opiskelijavuodet.xlsb</t>
  </si>
  <si>
    <t>https://vipunen.fi/fi-fi/_layouts/15/xlviewer.aspx?id=/fi-fi/Raportit/Koski%20tutkinnot%20ja%20tutkinnon%20osat%20painotetut.xlsb</t>
  </si>
  <si>
    <t>Tutkinnon suorittaneet</t>
  </si>
  <si>
    <t>Tutkinnon suorittaneet työllistyneet</t>
  </si>
  <si>
    <t>Tutkinnon suorittaneet jatko-opiskelijat</t>
  </si>
  <si>
    <t>Tutkinnon osia suorittaneet työllistyneet</t>
  </si>
  <si>
    <t>Tutkinnon osia suorittaneet jatko-opiskelijat</t>
  </si>
  <si>
    <t>Tutkinnon suorittaneet työllistyneet, painotetut pisteet</t>
  </si>
  <si>
    <t>Tutkinnon suorittaneet jatko-opiskelijat, painotetut pisteet</t>
  </si>
  <si>
    <t>Tutkinnon osia suorittaneet työllistyneet, painotetut pisteet</t>
  </si>
  <si>
    <t>Tutkinnon osia suorittaneet jatko-opiskelijat, painotetut pisteet</t>
  </si>
  <si>
    <t>https://vipunen.fi/fi-fi/_layouts/15/xlviewer.aspx?id=/fi-fi/Raportit/Rahoitusperusteraportti%20(ty%C3%B6llistyneet%20ja%20jatko-opiskelijat)%20uusi.xlsb</t>
  </si>
  <si>
    <t>https://vipunen.fi/fi-fi/_layouts/15/xlviewer.aspx?id=/fi-fi/Raportit/Ammatillinen%20koulutus%20-%20opiskelijapalaute%20-%20rahoitusmalli%20-%20vahvistetut%20-%20p%C3%A4%C3%A4tt%C3%B6kysely.xlsb</t>
  </si>
  <si>
    <t>3240571-5</t>
  </si>
  <si>
    <t>Ammattiopisto Luovi Oy</t>
  </si>
  <si>
    <t>3250102-9</t>
  </si>
  <si>
    <t>Kolmen kampuksen urheiluopisto Oy</t>
  </si>
  <si>
    <t>Kolmen kampuksen urheiluopisto oy</t>
  </si>
  <si>
    <t>Pohjois-Satakunnan kansanopiston kannatusyhdistys ry</t>
  </si>
  <si>
    <t>AVA-instituutin Kannatusyhdistys ry</t>
  </si>
  <si>
    <t>Haapaveden Opiston Kannatusyhdistys ry</t>
  </si>
  <si>
    <t>Kanneljärven kansanopiston kannatusyhdistys r.y.</t>
  </si>
  <si>
    <t>Karstulan Evankelisen Kansanopiston Kannatusyhdistys ry</t>
  </si>
  <si>
    <t>Kuopion konservatorion kannatusyhdistys r.y.</t>
  </si>
  <si>
    <t>Maalariammattikoulun Kannatusyhdistys r.y.</t>
  </si>
  <si>
    <t>Peräpohjolan Kansanopiston Kannatusyhdistys ry</t>
  </si>
  <si>
    <t>Valkealan Kristillisen Kansanopiston Kannatusyhdistys r.y.</t>
  </si>
  <si>
    <t>Pisteet % (Rahoitus)</t>
  </si>
  <si>
    <t>https://vipunen.fi/fi-fi/Raportit/Ammatillinen%20koulutus%20-%20rahoitusperusteet%20ja%20kustannukset%20-%20ty%C3%B6el%C3%A4m%C3%A4palaute%20-%20ty%C3%B6paikkakysely.xlsb?Web=1</t>
  </si>
  <si>
    <t>https://vipunen.fi/fi-fi/_layouts/15/xlviewer.aspx?id=/fi-fi/Raportit/Ammatillinen%20koulutus%20-%20rahoitusperusteet%20ja%20kustannukset%20-%20ty%C3%B6el%C3%A4m%C3%A4palaute%20-%20ty%C3%B6paikkaohjaajakysely.xlsb</t>
  </si>
  <si>
    <t>6 Työpaikkaohjaajakysely</t>
  </si>
  <si>
    <t>7 Työpaikkakysely</t>
  </si>
  <si>
    <t>8 Lask.rah.yht. pl. hark.</t>
  </si>
  <si>
    <t>Painotetut pisteet 6</t>
  </si>
  <si>
    <t>%-osuus 7</t>
  </si>
  <si>
    <t>Jaettava € 7</t>
  </si>
  <si>
    <t>%-osuus 8</t>
  </si>
  <si>
    <t>Jaettava € 8</t>
  </si>
  <si>
    <t>Työpaikkaohjaakysely</t>
  </si>
  <si>
    <t>Työpaikkakysely</t>
  </si>
  <si>
    <t>Työelämäpalaute</t>
  </si>
  <si>
    <t>Työllistymiseen ja jatko-opintoihin siirtymiseen, opiskelijapalautteiseen sekä työelämäpalautteeseen perustuva, €</t>
  </si>
  <si>
    <t>1 Erityisen kalliin koulutuksen järjestämisen turvaamiseksi</t>
  </si>
  <si>
    <t>2 Yksittäisen koulutuksen järjestämisen turvaamiseksi tilapäisestä tai yksilöidystä erityisen perustellusta syystä</t>
  </si>
  <si>
    <t>3 Kokonaistaloudellisen tilanteen perusteella</t>
  </si>
  <si>
    <t>4 Oppivelvollisuuden laajentamisen edellyttämän maksuttoman koulutuksen kustannusten kattamiseksi</t>
  </si>
  <si>
    <t>Rahoitus pl. hark. kor. 2023 ilman alv, €</t>
  </si>
  <si>
    <t>Vaikuttavuusrahoitus 2023, €</t>
  </si>
  <si>
    <t>Suoritusrahoitus 2023, €</t>
  </si>
  <si>
    <t>Perusrahoitus 2023, €</t>
  </si>
  <si>
    <t>Rahoitus ml. hark. kor. + alv 2023, €</t>
  </si>
  <si>
    <t>Rahoitus ml. hark. kor. 
2023 ilman alv, €</t>
  </si>
  <si>
    <t>-josta työpaikka-ohjaajakysely</t>
  </si>
  <si>
    <t>-josta työpaikka-kysely</t>
  </si>
  <si>
    <t>Ammatillisen koulutuksen vuoden 2023 varsinaisen suoritepäätöksen liiteraportti (liite 1)</t>
  </si>
  <si>
    <t>AMMATILLISEN KOULUTUKSEN VUODEN 2023 VARSINAISEN SUORITEPÄÄTÖKSEN LIITERAPORTTI</t>
  </si>
  <si>
    <t>Katokorjauskerroin (Rahoitus)</t>
  </si>
  <si>
    <t>Pisteet 7</t>
  </si>
  <si>
    <t>Työpaikka-ohjaaja-kyselyn pisteet</t>
  </si>
  <si>
    <t>Työpaikka-ohjaajakyselyn painotetut pisteet</t>
  </si>
  <si>
    <t>Työpaikka-kyselyn pisteet</t>
  </si>
  <si>
    <t>Työpaikka-kysely, €</t>
  </si>
  <si>
    <t>Perusrahoitus
tavoitteellisten
opiskelijavuosien
perusteella, €</t>
  </si>
  <si>
    <t>Työpaikka-ohjaaja-
kysely, €</t>
  </si>
  <si>
    <t>6 Urheilijoiden ammatillisen koulutuksen tukeminen</t>
  </si>
  <si>
    <t>Kustannusryhmän mukaan painotetut VALMA&amp;TUVA&amp;TELMA opiskelijavuodet</t>
  </si>
  <si>
    <t>Raudaskylän Kristillinen Opisto ry</t>
  </si>
  <si>
    <t>https://vipunen.fi/fi-fi/_layouts/15/xlviewer.aspx?id=/fi-fi/Raportit/Ammatillinen%20koulutus%20-%20opiskelijapalaute%20-%20rahoitusmalli%20-%20vahvistetut%20-%20aloituskysely.xlsb</t>
  </si>
  <si>
    <t>Pohjois-Satakunnan kansanopiston kannatusyhdistys r.y.</t>
  </si>
  <si>
    <t>Kuopion Talouskoulun Kannatusyhdistys r.y.</t>
  </si>
  <si>
    <t>Rahoituksen muutos vuodesta 2023 vuoteen 2024 (pl. hark. kor.)</t>
  </si>
  <si>
    <t>Rahoituksen muutos vuodesta 2023 vuoteen 2024 (ml. hark. kor.)</t>
  </si>
  <si>
    <t>Rahoituksen muutos vuodesta 2023 vuoteen 2024 (ml. hark. kor.) + alv-korvaus</t>
  </si>
  <si>
    <t>Perusrahoituksen muutos vuodesta 2023 vuoteen 2024</t>
  </si>
  <si>
    <t>Suoritusrahoituksen muutos vuodesta 2023 vuoteen 2024</t>
  </si>
  <si>
    <t>Vaikuttavuusrahoituksen muutos vuodesta 2023 vuoteen 2024</t>
  </si>
  <si>
    <t>Vaikuttavuusrahoitus 2024, €</t>
  </si>
  <si>
    <t>Suoritusrahoitus 2024, €</t>
  </si>
  <si>
    <t>Perusrahoitus 2024, €</t>
  </si>
  <si>
    <t>Rahoitus ml. hark. kor. + alv 2024, €</t>
  </si>
  <si>
    <t>Rahoitus ml. hark. kor. 
2024 ilman alv, €</t>
  </si>
  <si>
    <t>Rahoitus pl. hark. kor. 2024 ilman alv, €</t>
  </si>
  <si>
    <t>Jakotaulun lukuja voi muokata keltaisella pohjalla olevien euromäärien ja rahoitusosuuksien kautta. Muut solut määräytyvät niiden perusteella.</t>
  </si>
  <si>
    <t>SUORITEPERUSTEINEN LASKENNALLINEN RAHOITUS</t>
  </si>
  <si>
    <t>LASKENNALLINEN RAHOITUS YHTEENSÄ</t>
  </si>
  <si>
    <t>5 Työpaikkaohjaajien koulutuksen lisääminen ja kehittäminen</t>
  </si>
  <si>
    <t>7 Oppisopimuskoulutuksen koulutuskorvauksen kokeilu</t>
  </si>
  <si>
    <t>8 Harkinnanvarainen korotus yhteensä</t>
  </si>
  <si>
    <t>VARSINAISELLA SUORITEPÄÄTÖKSELLÄ JAETTAVAN LASKENNALLISEN RAHOITUKSEN OSIEN SUHDE JÄRJESTÄJITTÄIN</t>
  </si>
  <si>
    <t>(huom. perusrahoituksen myöhemmin varainhoitovuoden aikana jaettavan osan puuttuminen laskee perusrahoituksen osuutta ja korostaa muita, siksi rahoitusosuudet ei summarivillä 70/20/10)</t>
  </si>
  <si>
    <t>VERTAILU VUODEN 2023 VARSINAISEN SUORITEPÄÄTÖKSEN RAHOITUKSEEN</t>
  </si>
  <si>
    <t>VERTAILU VUODEN 2023 VARSINAISEN SUORITEPÄÄTÖKSEN RAHOITUKSEEN
RAHOITUSOSUUKSITTAIN</t>
  </si>
  <si>
    <t>Huom. osa järjestäjistä toimii usean maakunnan alueella, joten jaottelu on vain suuntaa antava</t>
  </si>
  <si>
    <t>Harkinnanvarainen korotus 1, €</t>
  </si>
  <si>
    <t>Harkinnanvarainen korotus 2, €</t>
  </si>
  <si>
    <t>Harkinnanvarainen korotus 3, €</t>
  </si>
  <si>
    <t>Harkinnanvarainen korotus 4, €</t>
  </si>
  <si>
    <t>Harkinnanvarainen korotus 5, €</t>
  </si>
  <si>
    <t>Harkinnanvarainen korotus 6, €</t>
  </si>
  <si>
    <t>Harkinnanvarainen korotus 7, €</t>
  </si>
  <si>
    <t>Harkinnanvarainen korotus 8, €</t>
  </si>
  <si>
    <t>Muutos, €</t>
  </si>
  <si>
    <t>Muutos, %</t>
  </si>
  <si>
    <t>Mukana oikaisupäätökset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</si>
</sst>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\ %;\-0.00\ %;0.00\ %"/>
    <numFmt numFmtId="166" formatCode="0.0000"/>
    <numFmt numFmtId="167" formatCode="#,##0.0"/>
    <numFmt numFmtId="168" formatCode="0.00000"/>
    <numFmt numFmtId="169" formatCode="0.000\ %"/>
    <numFmt numFmtId="170" formatCode="#,##0.00000"/>
    <numFmt numFmtId="171" formatCode="#,##0\ &quot;€&quot;"/>
    <numFmt numFmtId="173" formatCode="0\ %;\-0\ %;0\ %"/>
    <numFmt numFmtId="175" formatCode="0.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Fill="1"/>
    <xf numFmtId="0" fontId="3" fillId="0" borderId="0" xfId="0" applyFont="1" applyBorder="1"/>
    <xf numFmtId="0" fontId="3" fillId="0" borderId="0" xfId="0" applyFont="1" applyFill="1" applyBorder="1"/>
    <xf numFmtId="0" fontId="4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vertical="top"/>
    </xf>
    <xf numFmtId="0" fontId="8" fillId="0" borderId="0" xfId="0" applyFont="1" applyFill="1" applyBorder="1"/>
    <xf numFmtId="168" fontId="3" fillId="0" borderId="0" xfId="0" applyNumberFormat="1" applyFont="1" applyBorder="1"/>
    <xf numFmtId="10" fontId="3" fillId="0" borderId="0" xfId="2" applyNumberFormat="1" applyFont="1" applyBorder="1"/>
    <xf numFmtId="3" fontId="3" fillId="0" borderId="0" xfId="0" applyNumberFormat="1" applyFont="1" applyBorder="1"/>
    <xf numFmtId="3" fontId="3" fillId="0" borderId="4" xfId="0" applyNumberFormat="1" applyFont="1" applyBorder="1"/>
    <xf numFmtId="10" fontId="3" fillId="0" borderId="4" xfId="2" applyNumberFormat="1" applyFont="1" applyBorder="1"/>
    <xf numFmtId="10" fontId="3" fillId="0" borderId="0" xfId="0" applyNumberFormat="1" applyFont="1" applyBorder="1"/>
    <xf numFmtId="0" fontId="3" fillId="3" borderId="0" xfId="0" applyFont="1" applyFill="1" applyBorder="1"/>
    <xf numFmtId="0" fontId="3" fillId="0" borderId="0" xfId="0" applyFont="1"/>
    <xf numFmtId="3" fontId="3" fillId="0" borderId="1" xfId="0" applyNumberFormat="1" applyFont="1" applyBorder="1"/>
    <xf numFmtId="0" fontId="3" fillId="11" borderId="0" xfId="0" applyFont="1" applyFill="1" applyBorder="1" applyAlignment="1">
      <alignment wrapText="1"/>
    </xf>
    <xf numFmtId="2" fontId="3" fillId="11" borderId="0" xfId="0" applyNumberFormat="1" applyFont="1" applyFill="1" applyBorder="1" applyAlignment="1">
      <alignment wrapText="1"/>
    </xf>
    <xf numFmtId="0" fontId="3" fillId="11" borderId="4" xfId="0" applyFont="1" applyFill="1" applyBorder="1" applyAlignment="1">
      <alignment horizontal="center" wrapText="1"/>
    </xf>
    <xf numFmtId="0" fontId="3" fillId="11" borderId="0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wrapText="1"/>
    </xf>
    <xf numFmtId="0" fontId="3" fillId="3" borderId="0" xfId="0" applyFont="1" applyFill="1" applyBorder="1" applyAlignment="1"/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0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" xfId="0" applyFont="1" applyFill="1" applyBorder="1"/>
    <xf numFmtId="0" fontId="7" fillId="5" borderId="4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3" fontId="3" fillId="0" borderId="0" xfId="0" applyNumberFormat="1" applyFont="1" applyFill="1" applyBorder="1"/>
    <xf numFmtId="3" fontId="3" fillId="0" borderId="5" xfId="0" applyNumberFormat="1" applyFont="1" applyBorder="1"/>
    <xf numFmtId="10" fontId="3" fillId="0" borderId="1" xfId="2" applyNumberFormat="1" applyFont="1" applyBorder="1"/>
    <xf numFmtId="0" fontId="10" fillId="13" borderId="14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2" borderId="0" xfId="0" quotePrefix="1" applyFont="1" applyFill="1" applyBorder="1" applyAlignment="1">
      <alignment wrapText="1"/>
    </xf>
    <xf numFmtId="0" fontId="3" fillId="2" borderId="1" xfId="0" quotePrefix="1" applyFont="1" applyFill="1" applyBorder="1" applyAlignment="1">
      <alignment wrapText="1"/>
    </xf>
    <xf numFmtId="0" fontId="3" fillId="2" borderId="5" xfId="0" applyFont="1" applyFill="1" applyBorder="1"/>
    <xf numFmtId="0" fontId="3" fillId="2" borderId="5" xfId="0" applyFont="1" applyFill="1" applyBorder="1" applyAlignment="1">
      <alignment wrapText="1"/>
    </xf>
    <xf numFmtId="10" fontId="3" fillId="0" borderId="5" xfId="2" applyNumberFormat="1" applyFont="1" applyBorder="1"/>
    <xf numFmtId="0" fontId="11" fillId="0" borderId="0" xfId="0" applyFont="1"/>
    <xf numFmtId="0" fontId="0" fillId="0" borderId="0" xfId="0" applyBorder="1"/>
    <xf numFmtId="0" fontId="0" fillId="0" borderId="6" xfId="0" applyBorder="1"/>
    <xf numFmtId="0" fontId="0" fillId="0" borderId="0" xfId="0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9" xfId="0" applyBorder="1"/>
    <xf numFmtId="169" fontId="11" fillId="0" borderId="0" xfId="2" applyNumberFormat="1" applyFont="1" applyBorder="1" applyAlignment="1"/>
    <xf numFmtId="169" fontId="0" fillId="0" borderId="4" xfId="2" applyNumberFormat="1" applyFont="1" applyFill="1" applyBorder="1"/>
    <xf numFmtId="169" fontId="0" fillId="0" borderId="0" xfId="2" applyNumberFormat="1" applyFont="1" applyBorder="1"/>
    <xf numFmtId="169" fontId="0" fillId="0" borderId="0" xfId="2" applyNumberFormat="1" applyFont="1" applyFill="1" applyBorder="1"/>
    <xf numFmtId="0" fontId="0" fillId="0" borderId="12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3" xfId="0" applyFont="1" applyFill="1" applyBorder="1"/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9" fontId="0" fillId="0" borderId="1" xfId="2" applyNumberFormat="1" applyFont="1" applyBorder="1"/>
    <xf numFmtId="0" fontId="11" fillId="0" borderId="4" xfId="0" applyFont="1" applyBorder="1" applyAlignment="1">
      <alignment horizontal="left"/>
    </xf>
    <xf numFmtId="169" fontId="0" fillId="0" borderId="12" xfId="2" applyNumberFormat="1" applyFont="1" applyBorder="1"/>
    <xf numFmtId="169" fontId="0" fillId="0" borderId="9" xfId="2" applyNumberFormat="1" applyFont="1" applyBorder="1"/>
    <xf numFmtId="169" fontId="0" fillId="0" borderId="11" xfId="2" applyNumberFormat="1" applyFont="1" applyBorder="1"/>
    <xf numFmtId="169" fontId="0" fillId="0" borderId="6" xfId="2" applyNumberFormat="1" applyFont="1" applyBorder="1"/>
    <xf numFmtId="169" fontId="0" fillId="0" borderId="4" xfId="2" applyNumberFormat="1" applyFont="1" applyBorder="1"/>
    <xf numFmtId="169" fontId="0" fillId="0" borderId="7" xfId="2" applyNumberFormat="1" applyFont="1" applyBorder="1"/>
    <xf numFmtId="0" fontId="5" fillId="3" borderId="0" xfId="0" applyFont="1" applyFill="1" applyBorder="1" applyAlignment="1">
      <alignment vertical="top" wrapText="1"/>
    </xf>
    <xf numFmtId="0" fontId="3" fillId="11" borderId="4" xfId="0" applyFont="1" applyFill="1" applyBorder="1" applyAlignment="1">
      <alignment wrapText="1"/>
    </xf>
    <xf numFmtId="3" fontId="0" fillId="0" borderId="0" xfId="0" applyNumberFormat="1" applyBorder="1"/>
    <xf numFmtId="0" fontId="0" fillId="0" borderId="4" xfId="0" applyBorder="1" applyAlignment="1">
      <alignment horizontal="left"/>
    </xf>
    <xf numFmtId="170" fontId="3" fillId="0" borderId="0" xfId="0" applyNumberFormat="1" applyFont="1" applyBorder="1"/>
    <xf numFmtId="167" fontId="3" fillId="0" borderId="0" xfId="0" applyNumberFormat="1" applyFont="1" applyBorder="1"/>
    <xf numFmtId="3" fontId="0" fillId="0" borderId="2" xfId="0" applyNumberFormat="1" applyBorder="1" applyAlignment="1">
      <alignment horizontal="center"/>
    </xf>
    <xf numFmtId="3" fontId="11" fillId="0" borderId="0" xfId="0" applyNumberFormat="1" applyFont="1" applyFill="1" applyBorder="1"/>
    <xf numFmtId="3" fontId="0" fillId="0" borderId="0" xfId="0" applyNumberFormat="1" applyFill="1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169" fontId="0" fillId="0" borderId="1" xfId="0" applyNumberFormat="1" applyBorder="1"/>
    <xf numFmtId="169" fontId="0" fillId="0" borderId="0" xfId="0" applyNumberFormat="1" applyBorder="1"/>
    <xf numFmtId="9" fontId="2" fillId="3" borderId="0" xfId="2" applyNumberFormat="1" applyFont="1" applyFill="1" applyBorder="1"/>
    <xf numFmtId="9" fontId="0" fillId="3" borderId="0" xfId="2" applyNumberFormat="1" applyFont="1" applyFill="1" applyBorder="1"/>
    <xf numFmtId="169" fontId="2" fillId="0" borderId="0" xfId="2" applyNumberFormat="1" applyFont="1" applyFill="1" applyBorder="1"/>
    <xf numFmtId="169" fontId="2" fillId="0" borderId="0" xfId="2" applyNumberFormat="1" applyFont="1" applyBorder="1"/>
    <xf numFmtId="3" fontId="0" fillId="3" borderId="0" xfId="0" applyNumberFormat="1" applyFont="1" applyFill="1" applyBorder="1"/>
    <xf numFmtId="3" fontId="0" fillId="3" borderId="9" xfId="0" applyNumberFormat="1" applyFont="1" applyFill="1" applyBorder="1"/>
    <xf numFmtId="0" fontId="4" fillId="0" borderId="0" xfId="0" applyFont="1" applyFill="1" applyBorder="1" applyAlignment="1">
      <alignment vertical="top"/>
    </xf>
    <xf numFmtId="0" fontId="3" fillId="0" borderId="0" xfId="0" applyFont="1" applyFill="1"/>
    <xf numFmtId="0" fontId="5" fillId="0" borderId="0" xfId="0" applyFont="1"/>
    <xf numFmtId="6" fontId="7" fillId="5" borderId="4" xfId="0" applyNumberFormat="1" applyFont="1" applyFill="1" applyBorder="1" applyAlignment="1">
      <alignment wrapText="1"/>
    </xf>
    <xf numFmtId="169" fontId="0" fillId="0" borderId="4" xfId="0" applyNumberFormat="1" applyBorder="1" applyAlignment="1"/>
    <xf numFmtId="169" fontId="0" fillId="0" borderId="0" xfId="0" applyNumberFormat="1" applyBorder="1" applyAlignment="1"/>
    <xf numFmtId="169" fontId="0" fillId="0" borderId="1" xfId="0" applyNumberFormat="1" applyBorder="1" applyAlignment="1"/>
    <xf numFmtId="3" fontId="0" fillId="0" borderId="9" xfId="0" applyNumberFormat="1" applyFont="1" applyFill="1" applyBorder="1"/>
    <xf numFmtId="0" fontId="8" fillId="0" borderId="0" xfId="0" applyNumberFormat="1" applyFont="1" applyFill="1" applyBorder="1"/>
    <xf numFmtId="0" fontId="7" fillId="5" borderId="5" xfId="0" applyFont="1" applyFill="1" applyBorder="1" applyAlignment="1">
      <alignment wrapText="1"/>
    </xf>
    <xf numFmtId="3" fontId="5" fillId="0" borderId="2" xfId="0" applyNumberFormat="1" applyFont="1" applyBorder="1"/>
    <xf numFmtId="3" fontId="5" fillId="0" borderId="3" xfId="0" applyNumberFormat="1" applyFont="1" applyBorder="1"/>
    <xf numFmtId="0" fontId="4" fillId="0" borderId="0" xfId="0" applyFont="1" applyFill="1" applyBorder="1"/>
    <xf numFmtId="0" fontId="7" fillId="7" borderId="5" xfId="0" applyFont="1" applyFill="1" applyBorder="1" applyAlignment="1">
      <alignment wrapText="1"/>
    </xf>
    <xf numFmtId="3" fontId="3" fillId="0" borderId="5" xfId="0" applyNumberFormat="1" applyFont="1" applyFill="1" applyBorder="1"/>
    <xf numFmtId="0" fontId="13" fillId="0" borderId="0" xfId="0" applyFont="1"/>
    <xf numFmtId="3" fontId="3" fillId="0" borderId="4" xfId="0" applyNumberFormat="1" applyFont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/>
    <xf numFmtId="0" fontId="5" fillId="0" borderId="0" xfId="0" applyFont="1" applyBorder="1"/>
    <xf numFmtId="0" fontId="3" fillId="14" borderId="1" xfId="0" applyFont="1" applyFill="1" applyBorder="1" applyAlignment="1">
      <alignment wrapText="1"/>
    </xf>
    <xf numFmtId="0" fontId="3" fillId="14" borderId="5" xfId="0" applyFont="1" applyFill="1" applyBorder="1" applyAlignment="1">
      <alignment wrapText="1"/>
    </xf>
    <xf numFmtId="0" fontId="12" fillId="0" borderId="0" xfId="0" applyFont="1"/>
    <xf numFmtId="169" fontId="0" fillId="0" borderId="6" xfId="2" applyNumberFormat="1" applyFont="1" applyFill="1" applyBorder="1"/>
    <xf numFmtId="0" fontId="3" fillId="3" borderId="0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wrapText="1"/>
    </xf>
    <xf numFmtId="4" fontId="0" fillId="0" borderId="0" xfId="0" applyNumberFormat="1"/>
    <xf numFmtId="3" fontId="0" fillId="0" borderId="0" xfId="0" applyNumberFormat="1"/>
    <xf numFmtId="0" fontId="5" fillId="15" borderId="1" xfId="0" applyFont="1" applyFill="1" applyBorder="1" applyAlignment="1">
      <alignment horizontal="left" vertical="center" wrapText="1"/>
    </xf>
    <xf numFmtId="0" fontId="6" fillId="12" borderId="0" xfId="0" applyFont="1" applyFill="1" applyBorder="1" applyAlignment="1">
      <alignment vertical="center"/>
    </xf>
    <xf numFmtId="0" fontId="6" fillId="1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10" fontId="3" fillId="0" borderId="10" xfId="2" applyNumberFormat="1" applyFont="1" applyBorder="1"/>
    <xf numFmtId="3" fontId="0" fillId="0" borderId="6" xfId="0" applyNumberFormat="1" applyFont="1" applyFill="1" applyBorder="1"/>
    <xf numFmtId="0" fontId="14" fillId="0" borderId="0" xfId="0" applyFont="1" applyFill="1" applyAlignment="1">
      <alignment horizontal="left"/>
    </xf>
    <xf numFmtId="4" fontId="14" fillId="0" borderId="0" xfId="0" applyNumberFormat="1" applyFont="1" applyFill="1" applyAlignment="1">
      <alignment horizontal="right"/>
    </xf>
    <xf numFmtId="0" fontId="10" fillId="13" borderId="15" xfId="0" applyFont="1" applyFill="1" applyBorder="1" applyAlignment="1">
      <alignment horizontal="center" vertical="center" wrapText="1"/>
    </xf>
    <xf numFmtId="0" fontId="15" fillId="0" borderId="0" xfId="0" applyFont="1"/>
    <xf numFmtId="170" fontId="5" fillId="0" borderId="2" xfId="0" applyNumberFormat="1" applyFont="1" applyBorder="1"/>
    <xf numFmtId="167" fontId="5" fillId="0" borderId="2" xfId="0" applyNumberFormat="1" applyFont="1" applyBorder="1"/>
    <xf numFmtId="0" fontId="16" fillId="0" borderId="2" xfId="0" applyFont="1" applyFill="1" applyBorder="1"/>
    <xf numFmtId="0" fontId="16" fillId="0" borderId="3" xfId="0" applyFont="1" applyFill="1" applyBorder="1"/>
    <xf numFmtId="0" fontId="5" fillId="0" borderId="2" xfId="0" applyFont="1" applyBorder="1"/>
    <xf numFmtId="167" fontId="3" fillId="0" borderId="4" xfId="0" applyNumberFormat="1" applyFont="1" applyBorder="1"/>
    <xf numFmtId="167" fontId="3" fillId="0" borderId="0" xfId="1" applyNumberFormat="1" applyFont="1" applyBorder="1"/>
    <xf numFmtId="12" fontId="11" fillId="0" borderId="0" xfId="0" applyNumberFormat="1" applyFont="1"/>
    <xf numFmtId="9" fontId="11" fillId="0" borderId="0" xfId="2" applyFont="1"/>
    <xf numFmtId="0" fontId="9" fillId="0" borderId="0" xfId="0" applyFont="1" applyAlignment="1">
      <alignment horizontal="left" vertical="center" wrapText="1"/>
    </xf>
    <xf numFmtId="0" fontId="0" fillId="0" borderId="0" xfId="0"/>
    <xf numFmtId="10" fontId="5" fillId="0" borderId="2" xfId="0" applyNumberFormat="1" applyFont="1" applyBorder="1"/>
    <xf numFmtId="10" fontId="5" fillId="0" borderId="8" xfId="0" applyNumberFormat="1" applyFont="1" applyBorder="1"/>
    <xf numFmtId="3" fontId="5" fillId="0" borderId="8" xfId="0" applyNumberFormat="1" applyFont="1" applyBorder="1"/>
    <xf numFmtId="3" fontId="5" fillId="0" borderId="13" xfId="0" applyNumberFormat="1" applyFont="1" applyBorder="1"/>
    <xf numFmtId="6" fontId="7" fillId="11" borderId="4" xfId="0" applyNumberFormat="1" applyFont="1" applyFill="1" applyBorder="1" applyAlignment="1">
      <alignment wrapText="1"/>
    </xf>
    <xf numFmtId="0" fontId="7" fillId="11" borderId="4" xfId="0" applyFont="1" applyFill="1" applyBorder="1" applyAlignment="1">
      <alignment wrapText="1"/>
    </xf>
    <xf numFmtId="0" fontId="7" fillId="11" borderId="1" xfId="0" applyFont="1" applyFill="1" applyBorder="1" applyAlignment="1">
      <alignment wrapText="1"/>
    </xf>
    <xf numFmtId="10" fontId="5" fillId="0" borderId="3" xfId="0" applyNumberFormat="1" applyFont="1" applyBorder="1"/>
    <xf numFmtId="3" fontId="0" fillId="3" borderId="0" xfId="0" applyNumberFormat="1" applyFill="1" applyBorder="1"/>
    <xf numFmtId="0" fontId="17" fillId="0" borderId="0" xfId="0" applyFont="1" applyFill="1" applyBorder="1"/>
    <xf numFmtId="3" fontId="9" fillId="0" borderId="0" xfId="0" applyNumberFormat="1" applyFont="1" applyAlignment="1">
      <alignment horizontal="right" vertical="center" indent="3"/>
    </xf>
    <xf numFmtId="3" fontId="10" fillId="13" borderId="14" xfId="0" applyNumberFormat="1" applyFont="1" applyFill="1" applyBorder="1" applyAlignment="1">
      <alignment horizontal="right" vertical="center" indent="3"/>
    </xf>
    <xf numFmtId="0" fontId="6" fillId="12" borderId="0" xfId="0" applyFont="1" applyFill="1" applyBorder="1" applyAlignment="1">
      <alignment horizontal="left" vertical="center"/>
    </xf>
    <xf numFmtId="0" fontId="8" fillId="0" borderId="0" xfId="0" applyFont="1" applyFill="1"/>
    <xf numFmtId="165" fontId="9" fillId="0" borderId="0" xfId="0" applyNumberFormat="1" applyFont="1" applyAlignment="1">
      <alignment horizontal="right" vertical="center" indent="3"/>
    </xf>
    <xf numFmtId="165" fontId="10" fillId="13" borderId="14" xfId="0" applyNumberFormat="1" applyFont="1" applyFill="1" applyBorder="1" applyAlignment="1">
      <alignment horizontal="right" vertical="center" indent="3"/>
    </xf>
    <xf numFmtId="173" fontId="9" fillId="0" borderId="0" xfId="0" applyNumberFormat="1" applyFont="1" applyAlignment="1">
      <alignment horizontal="right" vertical="center" indent="3"/>
    </xf>
    <xf numFmtId="173" fontId="10" fillId="13" borderId="14" xfId="0" applyNumberFormat="1" applyFont="1" applyFill="1" applyBorder="1" applyAlignment="1">
      <alignment horizontal="right" vertical="center" indent="3"/>
    </xf>
    <xf numFmtId="0" fontId="4" fillId="0" borderId="0" xfId="0" quotePrefix="1" applyFont="1" applyBorder="1"/>
    <xf numFmtId="0" fontId="15" fillId="0" borderId="4" xfId="0" applyFont="1" applyBorder="1" applyAlignment="1">
      <alignment horizontal="left"/>
    </xf>
    <xf numFmtId="167" fontId="3" fillId="0" borderId="0" xfId="0" applyNumberFormat="1" applyFont="1" applyFill="1" applyBorder="1"/>
    <xf numFmtId="169" fontId="0" fillId="0" borderId="0" xfId="0" applyNumberFormat="1"/>
    <xf numFmtId="10" fontId="0" fillId="0" borderId="0" xfId="2" applyNumberFormat="1" applyFont="1"/>
    <xf numFmtId="0" fontId="5" fillId="4" borderId="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0" fontId="3" fillId="0" borderId="6" xfId="0" quotePrefix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9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0" fontId="17" fillId="0" borderId="0" xfId="0" applyFont="1" applyFill="1"/>
    <xf numFmtId="175" fontId="10" fillId="13" borderId="14" xfId="0" applyNumberFormat="1" applyFont="1" applyFill="1" applyBorder="1" applyAlignment="1">
      <alignment horizontal="right" vertical="center" indent="3"/>
    </xf>
    <xf numFmtId="175" fontId="9" fillId="0" borderId="0" xfId="0" applyNumberFormat="1" applyFont="1" applyAlignment="1">
      <alignment horizontal="right" vertical="center" indent="3"/>
    </xf>
    <xf numFmtId="0" fontId="3" fillId="11" borderId="1" xfId="0" applyFont="1" applyFill="1" applyBorder="1" applyAlignment="1">
      <alignment wrapText="1"/>
    </xf>
    <xf numFmtId="3" fontId="3" fillId="0" borderId="4" xfId="0" applyNumberFormat="1" applyFont="1" applyFill="1" applyBorder="1"/>
    <xf numFmtId="10" fontId="3" fillId="0" borderId="4" xfId="2" applyNumberFormat="1" applyFont="1" applyFill="1" applyBorder="1"/>
    <xf numFmtId="10" fontId="3" fillId="0" borderId="1" xfId="2" applyNumberFormat="1" applyFont="1" applyFill="1" applyBorder="1"/>
    <xf numFmtId="10" fontId="3" fillId="0" borderId="1" xfId="0" applyNumberFormat="1" applyFont="1" applyFill="1" applyBorder="1"/>
    <xf numFmtId="10" fontId="3" fillId="0" borderId="0" xfId="2" applyNumberFormat="1" applyFont="1" applyFill="1" applyBorder="1"/>
    <xf numFmtId="3" fontId="3" fillId="0" borderId="0" xfId="2" applyNumberFormat="1" applyFont="1" applyFill="1" applyBorder="1"/>
    <xf numFmtId="3" fontId="3" fillId="0" borderId="5" xfId="2" applyNumberFormat="1" applyFont="1" applyFill="1" applyBorder="1"/>
    <xf numFmtId="3" fontId="3" fillId="0" borderId="4" xfId="2" applyNumberFormat="1" applyFont="1" applyFill="1" applyBorder="1"/>
    <xf numFmtId="10" fontId="3" fillId="0" borderId="6" xfId="2" applyNumberFormat="1" applyFont="1" applyFill="1" applyBorder="1"/>
    <xf numFmtId="0" fontId="0" fillId="0" borderId="0" xfId="0" applyBorder="1" applyAlignment="1">
      <alignment horizontal="left"/>
    </xf>
    <xf numFmtId="0" fontId="0" fillId="0" borderId="7" xfId="0" applyBorder="1"/>
    <xf numFmtId="3" fontId="0" fillId="3" borderId="7" xfId="0" applyNumberFormat="1" applyFont="1" applyFill="1" applyBorder="1"/>
    <xf numFmtId="3" fontId="0" fillId="0" borderId="10" xfId="0" applyNumberFormat="1" applyFont="1" applyFill="1" applyBorder="1"/>
    <xf numFmtId="169" fontId="0" fillId="0" borderId="10" xfId="2" applyNumberFormat="1" applyFont="1" applyBorder="1"/>
    <xf numFmtId="13" fontId="13" fillId="3" borderId="0" xfId="2" applyNumberFormat="1" applyFont="1" applyFill="1" applyBorder="1" applyAlignment="1">
      <alignment horizontal="right"/>
    </xf>
    <xf numFmtId="169" fontId="13" fillId="0" borderId="1" xfId="2" applyNumberFormat="1" applyFont="1" applyBorder="1"/>
    <xf numFmtId="169" fontId="13" fillId="0" borderId="0" xfId="2" applyNumberFormat="1" applyFont="1" applyBorder="1"/>
    <xf numFmtId="13" fontId="13" fillId="3" borderId="1" xfId="2" applyNumberFormat="1" applyFont="1" applyFill="1" applyBorder="1"/>
    <xf numFmtId="12" fontId="13" fillId="0" borderId="1" xfId="2" applyNumberFormat="1" applyFont="1" applyFill="1" applyBorder="1"/>
    <xf numFmtId="13" fontId="13" fillId="0" borderId="0" xfId="2" applyNumberFormat="1" applyFont="1" applyFill="1" applyBorder="1" applyAlignment="1">
      <alignment horizontal="right"/>
    </xf>
    <xf numFmtId="0" fontId="19" fillId="13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 indent="3"/>
    </xf>
    <xf numFmtId="166" fontId="19" fillId="0" borderId="0" xfId="0" applyNumberFormat="1" applyFont="1" applyAlignment="1">
      <alignment horizontal="right" vertical="center" indent="3"/>
    </xf>
    <xf numFmtId="0" fontId="20" fillId="0" borderId="0" xfId="0" applyFont="1" applyAlignment="1">
      <alignment horizontal="left" vertical="center" wrapText="1" indent="1"/>
    </xf>
    <xf numFmtId="4" fontId="20" fillId="0" borderId="0" xfId="0" applyNumberFormat="1" applyFont="1" applyAlignment="1">
      <alignment horizontal="right" vertical="center" indent="3"/>
    </xf>
    <xf numFmtId="166" fontId="20" fillId="0" borderId="0" xfId="0" applyNumberFormat="1" applyFont="1" applyAlignment="1">
      <alignment horizontal="right" vertical="center" indent="3"/>
    </xf>
    <xf numFmtId="0" fontId="19" fillId="13" borderId="14" xfId="0" applyFont="1" applyFill="1" applyBorder="1" applyAlignment="1">
      <alignment horizontal="left" vertical="center" wrapText="1"/>
    </xf>
    <xf numFmtId="4" fontId="19" fillId="13" borderId="14" xfId="0" applyNumberFormat="1" applyFont="1" applyFill="1" applyBorder="1" applyAlignment="1">
      <alignment horizontal="right" vertical="center" indent="3"/>
    </xf>
    <xf numFmtId="166" fontId="19" fillId="13" borderId="14" xfId="0" applyNumberFormat="1" applyFont="1" applyFill="1" applyBorder="1" applyAlignment="1">
      <alignment horizontal="right" vertical="center" indent="3"/>
    </xf>
    <xf numFmtId="3" fontId="19" fillId="0" borderId="0" xfId="0" applyNumberFormat="1" applyFont="1" applyAlignment="1">
      <alignment horizontal="right" vertical="center" indent="3"/>
    </xf>
    <xf numFmtId="165" fontId="19" fillId="0" borderId="0" xfId="0" applyNumberFormat="1" applyFont="1" applyAlignment="1">
      <alignment horizontal="right" vertical="center" indent="3"/>
    </xf>
    <xf numFmtId="3" fontId="20" fillId="0" borderId="0" xfId="0" applyNumberFormat="1" applyFont="1" applyAlignment="1">
      <alignment horizontal="right" vertical="center" indent="3"/>
    </xf>
    <xf numFmtId="165" fontId="20" fillId="0" borderId="0" xfId="0" applyNumberFormat="1" applyFont="1" applyAlignment="1">
      <alignment horizontal="right" vertical="center" indent="3"/>
    </xf>
    <xf numFmtId="3" fontId="19" fillId="13" borderId="14" xfId="0" applyNumberFormat="1" applyFont="1" applyFill="1" applyBorder="1" applyAlignment="1">
      <alignment horizontal="right" vertical="center" indent="3"/>
    </xf>
    <xf numFmtId="165" fontId="19" fillId="13" borderId="14" xfId="0" applyNumberFormat="1" applyFont="1" applyFill="1" applyBorder="1" applyAlignment="1">
      <alignment horizontal="right" vertical="center" indent="3"/>
    </xf>
    <xf numFmtId="0" fontId="19" fillId="13" borderId="15" xfId="0" applyFont="1" applyFill="1" applyBorder="1" applyAlignment="1">
      <alignment horizontal="left" vertical="center" wrapText="1"/>
    </xf>
    <xf numFmtId="0" fontId="19" fillId="13" borderId="15" xfId="0" applyFont="1" applyFill="1" applyBorder="1" applyAlignment="1">
      <alignment horizontal="center" vertical="center" wrapText="1"/>
    </xf>
    <xf numFmtId="0" fontId="19" fillId="13" borderId="0" xfId="0" applyFont="1" applyFill="1" applyBorder="1" applyAlignment="1">
      <alignment horizontal="left" vertical="center" wrapText="1"/>
    </xf>
    <xf numFmtId="0" fontId="19" fillId="13" borderId="16" xfId="0" applyFont="1" applyFill="1" applyBorder="1" applyAlignment="1">
      <alignment horizontal="center" vertical="center" wrapText="1"/>
    </xf>
    <xf numFmtId="173" fontId="19" fillId="0" borderId="0" xfId="0" applyNumberFormat="1" applyFont="1" applyAlignment="1">
      <alignment horizontal="right" vertical="center" indent="3"/>
    </xf>
    <xf numFmtId="2" fontId="19" fillId="0" borderId="0" xfId="0" applyNumberFormat="1" applyFont="1" applyAlignment="1">
      <alignment horizontal="right" vertical="center" indent="3"/>
    </xf>
    <xf numFmtId="173" fontId="20" fillId="0" borderId="0" xfId="0" applyNumberFormat="1" applyFont="1" applyAlignment="1">
      <alignment horizontal="right" vertical="center" indent="3"/>
    </xf>
    <xf numFmtId="2" fontId="20" fillId="0" borderId="0" xfId="0" applyNumberFormat="1" applyFont="1" applyAlignment="1">
      <alignment horizontal="right" vertical="center" indent="3"/>
    </xf>
    <xf numFmtId="173" fontId="19" fillId="13" borderId="14" xfId="0" applyNumberFormat="1" applyFont="1" applyFill="1" applyBorder="1" applyAlignment="1">
      <alignment horizontal="right" vertical="center" indent="3"/>
    </xf>
    <xf numFmtId="2" fontId="19" fillId="13" borderId="14" xfId="0" applyNumberFormat="1" applyFont="1" applyFill="1" applyBorder="1" applyAlignment="1">
      <alignment horizontal="right" vertical="center" indent="3"/>
    </xf>
    <xf numFmtId="0" fontId="19" fillId="0" borderId="0" xfId="0" applyNumberFormat="1" applyFont="1" applyAlignment="1">
      <alignment horizontal="right" vertical="center" indent="3"/>
    </xf>
    <xf numFmtId="0" fontId="20" fillId="0" borderId="0" xfId="0" applyNumberFormat="1" applyFont="1" applyAlignment="1">
      <alignment horizontal="right" vertical="center" indent="3"/>
    </xf>
    <xf numFmtId="0" fontId="20" fillId="0" borderId="0" xfId="0" applyFont="1" applyAlignment="1">
      <alignment horizontal="left" vertical="center" wrapText="1"/>
    </xf>
    <xf numFmtId="175" fontId="20" fillId="0" borderId="0" xfId="0" applyNumberFormat="1" applyFont="1" applyAlignment="1">
      <alignment horizontal="right" vertical="center" indent="3"/>
    </xf>
    <xf numFmtId="175" fontId="19" fillId="13" borderId="14" xfId="0" applyNumberFormat="1" applyFont="1" applyFill="1" applyBorder="1" applyAlignment="1">
      <alignment horizontal="right" vertical="center" indent="3"/>
    </xf>
    <xf numFmtId="3" fontId="9" fillId="0" borderId="0" xfId="0" applyNumberFormat="1" applyFont="1" applyAlignment="1">
      <alignment horizontal="left" vertical="center" indent="1"/>
    </xf>
    <xf numFmtId="3" fontId="5" fillId="0" borderId="8" xfId="0" applyNumberFormat="1" applyFont="1" applyBorder="1" applyAlignment="1">
      <alignment horizontal="right"/>
    </xf>
    <xf numFmtId="3" fontId="5" fillId="0" borderId="2" xfId="0" applyNumberFormat="1" applyFont="1" applyFill="1" applyBorder="1"/>
    <xf numFmtId="167" fontId="5" fillId="0" borderId="8" xfId="0" applyNumberFormat="1" applyFont="1" applyBorder="1"/>
    <xf numFmtId="3" fontId="5" fillId="0" borderId="3" xfId="0" applyNumberFormat="1" applyFont="1" applyFill="1" applyBorder="1"/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3" fillId="14" borderId="5" xfId="0" applyFont="1" applyFill="1" applyBorder="1" applyAlignment="1">
      <alignment horizontal="center" vertical="top" wrapText="1"/>
    </xf>
    <xf numFmtId="0" fontId="6" fillId="10" borderId="4" xfId="0" applyFont="1" applyFill="1" applyBorder="1" applyAlignment="1">
      <alignment horizontal="left" vertical="center" wrapText="1"/>
    </xf>
    <xf numFmtId="0" fontId="6" fillId="10" borderId="0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7" fillId="7" borderId="4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 wrapText="1"/>
    </xf>
    <xf numFmtId="0" fontId="3" fillId="11" borderId="12" xfId="0" applyFont="1" applyFill="1" applyBorder="1" applyAlignment="1">
      <alignment horizontal="center" vertical="top" wrapText="1"/>
    </xf>
    <xf numFmtId="0" fontId="3" fillId="11" borderId="9" xfId="0" applyFont="1" applyFill="1" applyBorder="1" applyAlignment="1">
      <alignment horizontal="center" vertical="top" wrapText="1"/>
    </xf>
    <xf numFmtId="0" fontId="3" fillId="11" borderId="11" xfId="0" applyFont="1" applyFill="1" applyBorder="1" applyAlignment="1">
      <alignment horizontal="center" vertical="top" wrapText="1"/>
    </xf>
    <xf numFmtId="171" fontId="5" fillId="9" borderId="0" xfId="3" applyNumberFormat="1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 vertical="top"/>
    </xf>
    <xf numFmtId="0" fontId="3" fillId="11" borderId="9" xfId="0" applyFont="1" applyFill="1" applyBorder="1" applyAlignment="1">
      <alignment horizontal="center" vertical="top"/>
    </xf>
    <xf numFmtId="0" fontId="3" fillId="11" borderId="11" xfId="0" applyFont="1" applyFill="1" applyBorder="1" applyAlignment="1">
      <alignment horizontal="center" vertical="top"/>
    </xf>
    <xf numFmtId="171" fontId="5" fillId="9" borderId="0" xfId="0" applyNumberFormat="1" applyFont="1" applyFill="1" applyBorder="1" applyAlignment="1">
      <alignment horizontal="center"/>
    </xf>
    <xf numFmtId="0" fontId="5" fillId="9" borderId="4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left" vertical="center" wrapText="1"/>
    </xf>
    <xf numFmtId="0" fontId="3" fillId="11" borderId="7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171" fontId="5" fillId="9" borderId="1" xfId="0" applyNumberFormat="1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center" wrapText="1"/>
    </xf>
    <xf numFmtId="0" fontId="3" fillId="11" borderId="6" xfId="0" applyFont="1" applyFill="1" applyBorder="1" applyAlignment="1">
      <alignment horizont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0" xfId="0" applyFont="1" applyFill="1" applyBorder="1" applyAlignment="1">
      <alignment horizontal="left" vertical="center"/>
    </xf>
    <xf numFmtId="0" fontId="7" fillId="11" borderId="4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left" vertical="center" wrapText="1"/>
    </xf>
    <xf numFmtId="0" fontId="6" fillId="12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3" fillId="11" borderId="10" xfId="0" applyFont="1" applyFill="1" applyBorder="1" applyAlignment="1">
      <alignment horizontal="center" wrapText="1"/>
    </xf>
    <xf numFmtId="0" fontId="19" fillId="13" borderId="0" xfId="0" applyFont="1" applyFill="1" applyBorder="1" applyAlignment="1">
      <alignment horizontal="center" vertical="center" wrapText="1"/>
    </xf>
    <xf numFmtId="0" fontId="10" fillId="13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left" vertical="center"/>
    </xf>
    <xf numFmtId="0" fontId="18" fillId="0" borderId="0" xfId="0" applyFont="1"/>
    <xf numFmtId="0" fontId="7" fillId="0" borderId="0" xfId="0" applyFont="1" applyBorder="1"/>
    <xf numFmtId="0" fontId="7" fillId="8" borderId="5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0" fontId="5" fillId="4" borderId="4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10" fontId="3" fillId="0" borderId="6" xfId="2" applyNumberFormat="1" applyFont="1" applyBorder="1"/>
    <xf numFmtId="0" fontId="5" fillId="15" borderId="5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vertical="center" wrapText="1"/>
    </xf>
    <xf numFmtId="0" fontId="5" fillId="9" borderId="0" xfId="0" applyFont="1" applyFill="1" applyBorder="1" applyAlignment="1">
      <alignment vertical="center" wrapText="1"/>
    </xf>
    <xf numFmtId="171" fontId="5" fillId="9" borderId="0" xfId="0" applyNumberFormat="1" applyFont="1" applyFill="1" applyBorder="1" applyAlignment="1"/>
    <xf numFmtId="171" fontId="5" fillId="9" borderId="0" xfId="3" applyNumberFormat="1" applyFont="1" applyFill="1" applyBorder="1" applyAlignment="1"/>
    <xf numFmtId="171" fontId="5" fillId="9" borderId="1" xfId="0" applyNumberFormat="1" applyFont="1" applyFill="1" applyBorder="1" applyAlignment="1"/>
    <xf numFmtId="0" fontId="6" fillId="6" borderId="0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10" borderId="4" xfId="0" applyFont="1" applyFill="1" applyBorder="1" applyAlignment="1">
      <alignment vertical="center" wrapText="1"/>
    </xf>
    <xf numFmtId="0" fontId="6" fillId="10" borderId="0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12" borderId="4" xfId="0" applyFont="1" applyFill="1" applyBorder="1" applyAlignment="1">
      <alignment vertical="center" wrapText="1"/>
    </xf>
    <xf numFmtId="0" fontId="6" fillId="12" borderId="0" xfId="0" applyFont="1" applyFill="1" applyBorder="1" applyAlignment="1">
      <alignment vertical="center"/>
    </xf>
    <xf numFmtId="0" fontId="6" fillId="12" borderId="1" xfId="0" applyFont="1" applyFill="1" applyBorder="1" applyAlignment="1">
      <alignment vertical="center"/>
    </xf>
    <xf numFmtId="0" fontId="1" fillId="0" borderId="0" xfId="0" applyFont="1" applyFill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4" xfId="0" applyFont="1" applyFill="1" applyBorder="1"/>
    <xf numFmtId="170" fontId="3" fillId="0" borderId="0" xfId="0" applyNumberFormat="1" applyFont="1" applyFill="1" applyBorder="1"/>
    <xf numFmtId="0" fontId="5" fillId="0" borderId="8" xfId="0" applyFont="1" applyFill="1" applyBorder="1"/>
    <xf numFmtId="0" fontId="5" fillId="0" borderId="2" xfId="0" applyFont="1" applyFill="1" applyBorder="1"/>
    <xf numFmtId="170" fontId="5" fillId="0" borderId="2" xfId="0" applyNumberFormat="1" applyFont="1" applyFill="1" applyBorder="1"/>
    <xf numFmtId="167" fontId="5" fillId="0" borderId="2" xfId="0" applyNumberFormat="1" applyFont="1" applyFill="1" applyBorder="1"/>
    <xf numFmtId="3" fontId="5" fillId="0" borderId="0" xfId="0" applyNumberFormat="1" applyFont="1" applyFill="1" applyBorder="1"/>
    <xf numFmtId="167" fontId="3" fillId="0" borderId="0" xfId="0" applyNumberFormat="1" applyFont="1" applyFill="1"/>
  </cellXfs>
  <cellStyles count="4">
    <cellStyle name="Normaali" xfId="0" builtinId="0"/>
    <cellStyle name="Pilkku" xfId="1" builtinId="3"/>
    <cellStyle name="Prosenttia" xfId="2" builtinId="5"/>
    <cellStyle name="Valuutta" xfId="3" builtinId="4"/>
  </cellStyles>
  <dxfs count="29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#,##0.000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#,##0.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70" formatCode="#,##0.0000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>
          <bgColor rgb="FFFFC7CE"/>
        </patternFill>
      </fill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sz val="10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numFmt numFmtId="14" formatCode="0.00\ 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font>
        <b/>
      </font>
    </dxf>
    <dxf>
      <fill>
        <patternFill patternType="none">
          <fgColor indexed="64"/>
          <bgColor auto="1"/>
        </patternFill>
      </fill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/>
        <bottom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>
        <left style="thin">
          <color indexed="64"/>
        </left>
        <right/>
        <top/>
        <bottom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 outline="0">
        <left/>
        <right style="thin">
          <color indexed="64"/>
        </right>
        <top/>
        <bottom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  <border diagonalUp="0" diagonalDown="0">
        <left style="thin">
          <color indexed="64"/>
        </left>
        <right/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  <border diagonalUp="0" diagonalDown="0">
        <left style="thin">
          <color auto="1"/>
        </left>
        <right/>
        <top/>
        <bottom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outline="0">
        <right style="thin">
          <color indexed="64"/>
        </right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outline="0">
        <right style="thin">
          <color indexed="64"/>
        </right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8" formatCode="0.0000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</dxf>
    <dxf>
      <font>
        <strike val="0"/>
        <outline val="0"/>
        <shadow val="0"/>
        <u val="none"/>
        <vertAlign val="baseline"/>
        <sz val="10"/>
      </font>
      <alignment vertical="bottom" textRotation="0" indent="0" justifyLastLine="0" shrinkToFit="0" readingOrder="0"/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  <name val="Arial"/>
        <scheme val="none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font>
        <b/>
        <i val="0"/>
      </font>
    </dxf>
    <dxf>
      <border>
        <top style="thin">
          <color rgb="FFE8F2E2"/>
        </top>
        <bottom style="thin">
          <color rgb="FFE8F2E2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</dxfs>
  <tableStyles count="3" defaultTableStyle="TableStyleMedium2" defaultPivotStyle="PivotStyleLight16">
    <tableStyle name="PivotStyleLight1 2" table="0" count="0"/>
    <tableStyle name="PivotStyleLight7 2" table="0" count="6">
      <tableStyleElement type="headerRow" dxfId="298"/>
      <tableStyleElement type="totalRow" dxfId="297"/>
      <tableStyleElement type="firstRowStripe" dxfId="296"/>
      <tableStyleElement type="firstRowSubheading" dxfId="295"/>
      <tableStyleElement type="pageFieldLabels" dxfId="294"/>
      <tableStyleElement type="pageFieldValues" dxfId="293"/>
    </tableStyle>
    <tableStyle name="SlicerStyleLight6 2" pivot="0" table="0" count="2">
      <tableStyleElement type="wholeTable" dxfId="292"/>
      <tableStyleElement type="headerRow" dxfId="291"/>
    </tableStyle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6978649" cy="4053546"/>
    <xdr:sp macro="" textlink="">
      <xdr:nvSpPr>
        <xdr:cNvPr id="3" name="Tekstiruutu 2"/>
        <xdr:cNvSpPr txBox="1"/>
      </xdr:nvSpPr>
      <xdr:spPr>
        <a:xfrm>
          <a:off x="609600" y="190500"/>
          <a:ext cx="6978649" cy="4053546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i-FI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10.1.2024	Rahoituksen simulointimalli ammatillisen koulutuksen järjestäjille</a:t>
          </a:r>
        </a:p>
        <a:p>
          <a:endParaRPr lang="fi-FI">
            <a:solidFill>
              <a:sysClr val="windowText" lastClr="000000"/>
            </a:solidFill>
            <a:effectLst/>
          </a:endParaRPr>
        </a:p>
        <a:p>
          <a:r>
            <a:rPr lang="fi-FI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OHJEET</a:t>
          </a:r>
          <a:endParaRPr lang="fi-FI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fi-FI">
            <a:solidFill>
              <a:sysClr val="windowText" lastClr="000000"/>
            </a:solidFill>
            <a:effectLst/>
          </a:endParaRPr>
        </a:p>
        <a:p>
          <a:r>
            <a:rPr lang="fi-FI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Simulointimalli on varsinaisen suoritepäätöksen laatimiseen tarkoitettu työkalu, joka on tässä suppeampana versiona koulutuksen järjestäjien omaa rahoituksen ennakointia varten hyödynnettäväksi. Mallin tässä versiossa on vuoden 2024 varsinaisen suoritepäätöksen (19.12.2023, VN/28722/2023) mukaiset luvut.</a:t>
          </a:r>
        </a:p>
        <a:p>
          <a:endParaRPr lang="fi-FI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Välilehdellä 1.1</a:t>
          </a:r>
          <a:r>
            <a:rPr lang="fi-FI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on laskettu talousarvion mukaisen ammatillisen koulutuksen määrärahan jakautuminen eri rahoitusosuuksiin. Lukuja muuttamalla pystyy simuloimaan rahoitusta eri suuruisella määrärahalla tai rahoitusosuuksien eri suuruisilla osuuksilla.</a:t>
          </a:r>
        </a:p>
        <a:p>
          <a:endParaRPr lang="fi-FI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Välilehdellä 1.2 on laskettu rahoitus koulutuksen järjestäjittäin. </a:t>
          </a:r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Lukuja muuttamalla pystyy simuloimaan rahoitusta erilaisilla t</a:t>
          </a:r>
          <a:r>
            <a:rPr lang="fi-FI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avoitteellisten opiskelijavuosien, harkinnanvaraisten korotusten ja rahoituksen perusteena olevien suoritteiden määrillä.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Välilehdellä 1.3 on vertailtu koulutuksen järjestäjittäin rahoitusosuuksien suuruuksia sekä rahoituksen muutosta edeltävän vuoden varsinaiseen suoritepäätökseen nähden. Välilehdellä 1.4 on vastaava vertailu maakunnittain koulutuksen järjestäjien kotipaikan maakuntien mukaan.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Välilehdille 2.1 - 2.7 on koottu rahoitusperusteraporteilta (https://vipunen.fi/fi-fi/ammatillinen/Sivut/Rahoitusperuste--ja-kustannustiedot.aspx) suoritetiedot välilehden 1.2 laskentaa varten.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118576/Work%20Folders/Tiedostot%20Johannes/Kopio%20SIIRTOTIEDOSTO_OKM5AMOS_SUORITEP&#196;&#196;T&#214;SLASKENTAMALLI_2019_PAAKAYTTAJA_ver_1-0_12122018lopullin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silehti"/>
      <sheetName val="Ohjaus-Laskentataulu"/>
      <sheetName val="Jakotaulu"/>
      <sheetName val="Fuusiot"/>
      <sheetName val="Roolikartta"/>
      <sheetName val="Koski_opv"/>
      <sheetName val="Rajapinta_lukuarvot"/>
      <sheetName val="R-aineistot"/>
      <sheetName val="(Sarakkeet)"/>
    </sheetNames>
    <sheetDataSet>
      <sheetData sheetId="0"/>
      <sheetData sheetId="1"/>
      <sheetData sheetId="2"/>
      <sheetData sheetId="3">
        <row r="1">
          <cell r="C1">
            <v>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1" name="Ohj.lask." displayName="Ohj.lask." ref="A5:AT141" totalsRowCount="1" headerRowDxfId="290" dataDxfId="289" totalsRowDxfId="288" totalsRowBorderDxfId="287">
  <autoFilter ref="A5:AT140"/>
  <sortState ref="A6:BB143">
    <sortCondition ref="B5:B154"/>
  </sortState>
  <tableColumns count="46">
    <tableColumn id="62" name="Y-tunnus" totalsRowLabel="Yhteensä" dataDxfId="286" totalsRowDxfId="85"/>
    <tableColumn id="1" name="Nimi" totalsRowFunction="custom" dataDxfId="201" totalsRowDxfId="84">
      <totalsRowFormula>COUNTIF(Ohj.lask.[Nimi],"?*")</totalsRowFormula>
    </tableColumn>
    <tableColumn id="73" name="Maakunta" dataDxfId="200" totalsRowDxfId="83"/>
    <tableColumn id="72" name="Omistajatyyppi" dataDxfId="199" totalsRowDxfId="82"/>
    <tableColumn id="43" name="Kieli" dataDxfId="198" totalsRowDxfId="81"/>
    <tableColumn id="2" name="Järjestämisluvan opisk.vuosien vähimmäismäärä" totalsRowFunction="custom" dataDxfId="197" totalsRowDxfId="80">
      <totalsRowFormula>SUM(Ohj.lask.[Järjestämisluvan opisk.vuosien vähimmäismäärä])</totalsRowFormula>
    </tableColumn>
    <tableColumn id="3" name="Suoritepäätöksellä jaettavat opisk.vuodet (luvan ylittävä osuus)" totalsRowFunction="custom" dataDxfId="285" totalsRowDxfId="79">
      <calculatedColumnFormula>Ohj.lask.[[#This Row],[Tavoitteelliset opiskelija-vuodet]]-Ohj.lask.[[#This Row],[Järjestämisluvan opisk.vuosien vähimmäismäärä]]</calculatedColumnFormula>
      <totalsRowFormula>SUM(Ohj.lask.[Suoritepäätöksellä jaettavat opisk.vuodet (luvan ylittävä osuus)])</totalsRowFormula>
    </tableColumn>
    <tableColumn id="4" name="Tavoitteelliset opiskelija-vuodet" totalsRowFunction="custom" dataDxfId="284" totalsRowDxfId="78">
      <totalsRowFormula>SUM(Ohj.lask.[Tavoitteelliset opiskelija-vuodet])</totalsRowFormula>
    </tableColumn>
    <tableColumn id="5" name="Profiili-kerroin" dataDxfId="283" totalsRowDxfId="77">
      <calculatedColumnFormula>IFERROR(VLOOKUP($A6,'2.1 Toteut. op.vuodet'!$A:$T,COLUMN('2.1 Toteut. op.vuodet'!S:S),FALSE),0)</calculatedColumnFormula>
    </tableColumn>
    <tableColumn id="6" name="Painotetut opiskelija-vuodet" totalsRowFunction="custom" dataDxfId="282" totalsRowDxfId="76">
      <calculatedColumnFormula>IFERROR(ROUND(H6*I6,1),0)</calculatedColumnFormula>
      <totalsRowFormula>SUM(Ohj.lask.[Painotetut opiskelija-vuodet])</totalsRowFormula>
    </tableColumn>
    <tableColumn id="7" name="%-osuus 1" totalsRowFunction="custom" dataDxfId="281" totalsRowDxfId="75">
      <calculatedColumnFormula>IFERROR(Ohj.lask.[[#This Row],[Painotetut opiskelija-vuodet]]/Ohj.lask.[[#Totals],[Painotetut opiskelija-vuodet]],0)</calculatedColumnFormula>
      <totalsRowFormula>SUM(Ohj.lask.[%-osuus 1])</totalsRowFormula>
    </tableColumn>
    <tableColumn id="8" name="Jaettava € 1" totalsRowFunction="custom" dataDxfId="280" totalsRowDxfId="74">
      <calculatedColumnFormula>ROUND(IFERROR('1.1 Jakotaulu'!L$12*Ohj.lask.[[#This Row],[%-osuus 1]],0),0)</calculatedColumnFormula>
      <totalsRowFormula>SUM(Ohj.lask.[Jaettava € 1])</totalsRowFormula>
    </tableColumn>
    <tableColumn id="9" name="Painotetut pisteet 2" totalsRowFunction="custom" dataDxfId="279" totalsRowDxfId="73">
      <calculatedColumnFormula>IFERROR(ROUND(VLOOKUP($A6,'2.2 Tutk. ja osien pain. pist.'!$A:$Q,COLUMN('2.2 Tutk. ja osien pain. pist.'!O:O),FALSE),1),0)</calculatedColumnFormula>
      <totalsRowFormula>SUM(Ohj.lask.[Painotetut pisteet 2])</totalsRowFormula>
    </tableColumn>
    <tableColumn id="10" name="%-osuus 2" totalsRowFunction="custom" dataDxfId="278" totalsRowDxfId="72" dataCellStyle="Prosenttia">
      <calculatedColumnFormula>IFERROR(Ohj.lask.[[#This Row],[Painotetut pisteet 2]]/Ohj.lask.[[#Totals],[Painotetut pisteet 2]],0)</calculatedColumnFormula>
      <totalsRowFormula>SUM(Ohj.lask.[%-osuus 2])</totalsRowFormula>
    </tableColumn>
    <tableColumn id="11" name="Jaettava € 2" totalsRowFunction="custom" dataDxfId="277" totalsRowDxfId="71">
      <calculatedColumnFormula>ROUND(IFERROR('1.1 Jakotaulu'!K$13*Ohj.lask.[[#This Row],[%-osuus 2]],0),0)</calculatedColumnFormula>
      <totalsRowFormula>SUM(Ohj.lask.[Jaettava € 2])</totalsRowFormula>
    </tableColumn>
    <tableColumn id="12" name="Painotetut pisteet 3" totalsRowFunction="custom" dataDxfId="276" totalsRowDxfId="70" dataCellStyle="Pilkku">
      <calculatedColumnFormula>IFERROR(ROUND(VLOOKUP($A6,'2.3 Työll. ja jatko-opisk.'!$A:$Z,COLUMN('2.3 Työll. ja jatko-opisk.'!L:L),FALSE),1),0)</calculatedColumnFormula>
      <totalsRowFormula>SUM(Ohj.lask.[Painotetut pisteet 3])</totalsRowFormula>
    </tableColumn>
    <tableColumn id="13" name="%-osuus 3" totalsRowFunction="custom" dataDxfId="275" totalsRowDxfId="69">
      <calculatedColumnFormula>IFERROR(Ohj.lask.[[#This Row],[Painotetut pisteet 3]]/Ohj.lask.[[#Totals],[Painotetut pisteet 3]],0)</calculatedColumnFormula>
      <totalsRowFormula>SUM(Ohj.lask.[%-osuus 3])</totalsRowFormula>
    </tableColumn>
    <tableColumn id="14" name="Jaettava € 3" totalsRowFunction="custom" dataDxfId="274" totalsRowDxfId="68">
      <calculatedColumnFormula>ROUND(IFERROR('1.1 Jakotaulu'!L$15*Ohj.lask.[[#This Row],[%-osuus 3]],0),0)</calculatedColumnFormula>
      <totalsRowFormula>SUM(Ohj.lask.[Jaettava € 3])</totalsRowFormula>
    </tableColumn>
    <tableColumn id="15" name="Painotetut pisteet 4" totalsRowFunction="custom" dataDxfId="273" totalsRowDxfId="67">
      <calculatedColumnFormula>IFERROR(ROUND(VLOOKUP($A6,'2.4 Aloittaneet palaute'!$A:$I,COLUMN('2.4 Aloittaneet palaute'!H:H),FALSE),1),0)</calculatedColumnFormula>
      <totalsRowFormula>SUM(Ohj.lask.[Painotetut pisteet 4])</totalsRowFormula>
    </tableColumn>
    <tableColumn id="16" name="%-osuus 4" totalsRowFunction="custom" dataDxfId="272" totalsRowDxfId="66">
      <calculatedColumnFormula>IFERROR(Ohj.lask.[[#This Row],[Painotetut pisteet 4]]/Ohj.lask.[[#Totals],[Painotetut pisteet 4]],0)</calculatedColumnFormula>
      <totalsRowFormula>SUM(Ohj.lask.[%-osuus 4])</totalsRowFormula>
    </tableColumn>
    <tableColumn id="17" name="Jaettava € 4" totalsRowFunction="custom" dataDxfId="271" totalsRowDxfId="65">
      <calculatedColumnFormula>ROUND(IFERROR('1.1 Jakotaulu'!M$17*Ohj.lask.[[#This Row],[%-osuus 4]],0),0)</calculatedColumnFormula>
      <totalsRowFormula>SUM(Ohj.lask.[Jaettava € 4])</totalsRowFormula>
    </tableColumn>
    <tableColumn id="18" name="Painotetut pisteet 5" totalsRowFunction="custom" dataDxfId="270" totalsRowDxfId="64">
      <calculatedColumnFormula>IFERROR(ROUND(VLOOKUP($A6,'2.5 Päättäneet palaute'!$A:$Z,COLUMN('2.5 Päättäneet palaute'!X:X),FALSE),1),0)</calculatedColumnFormula>
      <totalsRowFormula>SUM(Ohj.lask.[Painotetut pisteet 5])</totalsRowFormula>
    </tableColumn>
    <tableColumn id="19" name="%-osuus 5" totalsRowFunction="custom" dataDxfId="269" totalsRowDxfId="63">
      <calculatedColumnFormula>IFERROR(Ohj.lask.[[#This Row],[Painotetut pisteet 5]]/Ohj.lask.[[#Totals],[Painotetut pisteet 5]],0)</calculatedColumnFormula>
      <totalsRowFormula>SUM(Ohj.lask.[%-osuus 5])</totalsRowFormula>
    </tableColumn>
    <tableColumn id="20" name="Jaettava € 5" totalsRowFunction="custom" dataDxfId="268" totalsRowDxfId="62">
      <calculatedColumnFormula>ROUND(IFERROR('1.1 Jakotaulu'!M$18*Ohj.lask.[[#This Row],[%-osuus 5]],0),0)</calculatedColumnFormula>
      <totalsRowFormula>SUM(Ohj.lask.[Jaettava € 5])</totalsRowFormula>
    </tableColumn>
    <tableColumn id="55" name="Painotetut pisteet 6" totalsRowFunction="custom" dataDxfId="267" totalsRowDxfId="61">
      <calculatedColumnFormula>IFERROR(ROUND(VLOOKUP($A6,'2.6 Työpaikkaohjaajakysely'!B:J,COLUMN('2.6 Työpaikkaohjaajakysely'!H:H),FALSE),1),0)</calculatedColumnFormula>
      <totalsRowFormula>SUM(Ohj.lask.[Painotetut pisteet 6])</totalsRowFormula>
    </tableColumn>
    <tableColumn id="54" name="%-osuus 6" totalsRowFunction="custom" dataDxfId="266" totalsRowDxfId="60" dataCellStyle="Prosenttia">
      <calculatedColumnFormula>IFERROR(Ohj.lask.[[#This Row],[Painotetut pisteet 6]]/Ohj.lask.[[#Totals],[Painotetut pisteet 6]],0)</calculatedColumnFormula>
      <totalsRowFormula>SUM(Ohj.lask.[%-osuus 6])</totalsRowFormula>
    </tableColumn>
    <tableColumn id="53" name="Jaettava € 6" totalsRowFunction="custom" dataDxfId="265" totalsRowDxfId="59">
      <calculatedColumnFormula>ROUND(IFERROR('1.1 Jakotaulu'!M$20*Ohj.lask.[[#This Row],[%-osuus 6]],0),0)</calculatedColumnFormula>
      <totalsRowFormula>SUM(Ohj.lask.[Jaettava € 6])</totalsRowFormula>
    </tableColumn>
    <tableColumn id="52" name="Pisteet 7" totalsRowFunction="custom" dataDxfId="264" totalsRowDxfId="58">
      <calculatedColumnFormula>IFERROR(ROUND(VLOOKUP($A6,'2.7 Työpaikkakysely'!B:H,COLUMN('2.7 Työpaikkakysely'!F:F),FALSE),1),0)</calculatedColumnFormula>
      <totalsRowFormula>SUM(Ohj.lask.[Pisteet 7])</totalsRowFormula>
    </tableColumn>
    <tableColumn id="51" name="%-osuus 7" totalsRowFunction="custom" dataDxfId="263" totalsRowDxfId="57" dataCellStyle="Prosenttia">
      <calculatedColumnFormula>IFERROR(Ohj.lask.[[#This Row],[Pisteet 7]]/Ohj.lask.[[#Totals],[Pisteet 7]],0)</calculatedColumnFormula>
      <totalsRowFormula>SUM(Ohj.lask.[%-osuus 7])</totalsRowFormula>
    </tableColumn>
    <tableColumn id="50" name="Jaettava € 7" totalsRowFunction="custom" dataDxfId="262" totalsRowDxfId="56">
      <calculatedColumnFormula>ROUND(IFERROR('1.1 Jakotaulu'!M$21*Ohj.lask.[[#This Row],[%-osuus 7]],0),0)</calculatedColumnFormula>
      <totalsRowFormula>SUM(Ohj.lask.[Jaettava € 7])</totalsRowFormula>
    </tableColumn>
    <tableColumn id="21" name="%-osuus 8" totalsRowFunction="custom" dataDxfId="261" totalsRowDxfId="55" dataCellStyle="Prosenttia">
      <calculatedColumnFormula>IFERROR(Ohj.lask.[[#This Row],[Jaettava € 8]]/Ohj.lask.[[#Totals],[Jaettava € 8]],"")</calculatedColumnFormula>
      <totalsRowFormula>SUM(Ohj.lask.[%-osuus 8])</totalsRowFormula>
    </tableColumn>
    <tableColumn id="22" name="Jaettava € 8" totalsRowFunction="custom" dataDxfId="260" totalsRowDxfId="54">
      <calculatedColumnFormula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calculatedColumnFormula>
      <totalsRowFormula>SUM(Ohj.lask.[Jaettava € 8])</totalsRowFormula>
    </tableColumn>
    <tableColumn id="25" name="Harkinnanvarainen korotus 1, €" totalsRowFunction="custom" dataDxfId="196" totalsRowDxfId="53">
      <totalsRowFormula>SUM(Ohj.lask.[Harkinnanvarainen korotus 1, €])</totalsRowFormula>
    </tableColumn>
    <tableColumn id="29" name="Harkinnanvarainen korotus 2, €" totalsRowFunction="custom" dataDxfId="195" totalsRowDxfId="52">
      <totalsRowFormula>SUM(Ohj.lask.[Harkinnanvarainen korotus 2, €])</totalsRowFormula>
    </tableColumn>
    <tableColumn id="44" name="Harkinnanvarainen korotus 3, €" totalsRowFunction="custom" dataDxfId="194" totalsRowDxfId="51">
      <totalsRowFormula>SUM(Ohj.lask.[Harkinnanvarainen korotus 3, €])</totalsRowFormula>
    </tableColumn>
    <tableColumn id="31" name="Harkinnanvarainen korotus 4, €" totalsRowFunction="custom" dataDxfId="193" totalsRowDxfId="50">
      <totalsRowFormula>SUM(Ohj.lask.[Harkinnanvarainen korotus 4, €])</totalsRowFormula>
    </tableColumn>
    <tableColumn id="27" name="Harkinnanvarainen korotus 5, €" totalsRowFunction="custom" dataDxfId="192" totalsRowDxfId="49">
      <totalsRowFormula>SUM(Ohj.lask.[Harkinnanvarainen korotus 5, €])</totalsRowFormula>
    </tableColumn>
    <tableColumn id="47" name="Harkinnanvarainen korotus 6, €" totalsRowFunction="custom" dataDxfId="259" totalsRowDxfId="48">
      <totalsRowFormula>SUM(Ohj.lask.[Harkinnanvarainen korotus 6, €])</totalsRowFormula>
    </tableColumn>
    <tableColumn id="49" name="Harkinnanvarainen korotus 7, €" totalsRowFunction="custom" dataDxfId="258" totalsRowDxfId="47">
      <totalsRowFormula>SUM(Ohj.lask.[Harkinnanvarainen korotus 7, €])</totalsRowFormula>
    </tableColumn>
    <tableColumn id="33" name="Harkinnanvarainen korotus 8, €" totalsRowFunction="custom" dataDxfId="257" totalsRowDxfId="46">
      <calculatedColumnFormula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calculatedColumnFormula>
      <totalsRowFormula>SUM(Ohj.lask.[Harkinnanvarainen korotus 8, €])</totalsRowFormula>
    </tableColumn>
    <tableColumn id="38" name="Suoriteperusteinen (opiskelijavuosiin perustuva) sekä harkinnanvarainen korotus, €" totalsRowFunction="custom" dataDxfId="256" totalsRowDxfId="45">
      <calculatedColumnFormula>Ohj.lask.[[#This Row],[Jaettava € 1]]+Ohj.lask.[[#This Row],[Harkinnanvarainen korotus 8, €]]</calculatedColumnFormula>
      <totalsRowFormula>SUM(Ohj.lask.[Suoriteperusteinen (opiskelijavuosiin perustuva) sekä harkinnanvarainen korotus, €])</totalsRowFormula>
    </tableColumn>
    <tableColumn id="34" name="Suoritusrahoitus, €" totalsRowFunction="custom" dataDxfId="255" totalsRowDxfId="44">
      <calculatedColumnFormula>Ohj.lask.[[#This Row],[Jaettava € 2]]</calculatedColumnFormula>
      <totalsRowFormula>SUM(Ohj.lask.[Suoritusrahoitus, €])</totalsRowFormula>
    </tableColumn>
    <tableColumn id="23" name="Työllistymiseen ja jatko-opintoihin siirtymiseen, opiskelijapalautteiseen sekä työelämäpalautteeseen perustuva, €" totalsRowFunction="custom" dataDxfId="254" totalsRowDxfId="43">
      <calculatedColumnFormula>Ohj.lask.[[#This Row],[Jaettava € 3]]+Ohj.lask.[[#This Row],[Jaettava € 4]]+Ohj.lask.[[#This Row],[Jaettava € 5]]+Ohj.lask.[[#This Row],[Jaettava € 6]]+Ohj.lask.[[#This Row],[Jaettava € 7]]</calculatedColumnFormula>
      <totalsRowFormula>SUM(Ohj.lask.[Työllistymiseen ja jatko-opintoihin siirtymiseen, opiskelijapalautteiseen sekä työelämäpalautteeseen perustuva, €])</totalsRowFormula>
    </tableColumn>
    <tableColumn id="39" name="Perus-, suoritus- ja vaikuttavuusrahoitus yhteensä, €" totalsRowFunction="custom" dataDxfId="253" totalsRowDxfId="42">
      <calculatedColumnFormula>Ohj.lask.[[#This Row],[Jaettava € 8]]+Ohj.lask.[[#This Row],[Harkinnanvarainen korotus 8, €]]</calculatedColumnFormula>
      <totalsRowFormula>SUM(Ohj.lask.[Perus-, suoritus- ja vaikuttavuusrahoitus yhteensä, €])</totalsRowFormula>
    </tableColumn>
    <tableColumn id="35" name="Alv-korvaus, €" totalsRowFunction="custom" dataDxfId="86" totalsRowDxfId="41">
      <totalsRowFormula>SUM(Ohj.lask.[Alv-korvaus, €])</totalsRowFormula>
    </tableColumn>
    <tableColumn id="42" name="Koko rahoitus + _x000a_alv-korvaus, €" totalsRowFunction="custom" dataDxfId="252" totalsRowDxfId="40">
      <calculatedColumnFormula>Ohj.lask.[[#This Row],[Perus-, suoritus- ja vaikuttavuusrahoitus yhteensä, €]]+Ohj.lask.[[#This Row],[Alv-korvaus, €]]</calculatedColumnFormula>
      <totalsRowFormula>SUM(Ohj.lask.[Koko rahoitus + 
alv-korvaus, €])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Vertailu" displayName="Vertailu" ref="A5:AK141" totalsRowCount="1" dataDxfId="251" totalsRowDxfId="250" totalsRowBorderDxfId="249">
  <autoFilter ref="A5:AK140"/>
  <sortState ref="A6:AN140">
    <sortCondition ref="B5:B140"/>
  </sortState>
  <tableColumns count="37">
    <tableColumn id="1" name="Y-tunnus" totalsRowLabel="Yhteensä" dataDxfId="248" totalsRowDxfId="36"/>
    <tableColumn id="2" name="Nimi" totalsRowFunction="custom" dataDxfId="39" totalsRowDxfId="35">
      <totalsRowFormula>COUNTIF(Vertailu[Nimi],"?*")</totalsRowFormula>
    </tableColumn>
    <tableColumn id="3" name="Maakunta" dataDxfId="38" totalsRowDxfId="34"/>
    <tableColumn id="4" name="Omistajatyyppi" dataDxfId="37" totalsRowDxfId="33"/>
    <tableColumn id="5" name="Suorite-perusteinen perusrahoitus (pl. hark. kor.)" totalsRowFunction="custom" dataDxfId="247" totalsRowDxfId="32" dataCellStyle="Prosenttia">
      <calculatedColumnFormula>IFERROR(VLOOKUP(Vertailu[[#This Row],[Y-tunnus]],'1.2 Ohjaus-laskentataulu'!A:AT,COLUMN('1.2 Ohjaus-laskentataulu'!L:L),FALSE)/VLOOKUP(Vertailu[[#This Row],[Y-tunnus]],'1.2 Ohjaus-laskentataulu'!A:AT,COLUMN('1.2 Ohjaus-laskentataulu'!AR:AR),FALSE),0)</calculatedColumnFormula>
      <totalsRowFormula>Ohj.lask.[[#Totals],[Jaettava € 1]]/Ohj.lask.[[#Totals],[Perus-, suoritus- ja vaikuttavuusrahoitus yhteensä, €]]</totalsRowFormula>
    </tableColumn>
    <tableColumn id="38" name="Perusrahoitus yhteensä (ml. hark. kor.)" totalsRowFunction="custom" dataDxfId="246" totalsRowDxfId="31" dataCellStyle="Prosenttia">
      <calculatedColumnFormula>IFERROR(VLOOKUP(Vertailu[[#This Row],[Y-tunnus]],'1.2 Ohjaus-laskentataulu'!A:AT,COLUMN('1.2 Ohjaus-laskentataulu'!AO:AO),FALSE)/VLOOKUP(Vertailu[[#This Row],[Y-tunnus]],'1.2 Ohjaus-laskentataulu'!A:AT,COLUMN('1.2 Ohjaus-laskentataulu'!AR:AR),FALSE),0)</calculatedColumnFormula>
      <totalsRowFormula>Ohj.lask.[[#Totals],[Suoriteperusteinen (opiskelijavuosiin perustuva) sekä harkinnanvarainen korotus, €]]/Ohj.lask.[[#Totals],[Perus-, suoritus- ja vaikuttavuusrahoitus yhteensä, €]]</totalsRowFormula>
    </tableColumn>
    <tableColumn id="6" name="Suoritus-rahoitus" totalsRowFunction="custom" dataDxfId="245" totalsRowDxfId="30">
      <calculatedColumnFormula>IFERROR(VLOOKUP(Vertailu[[#This Row],[Y-tunnus]],'1.2 Ohjaus-laskentataulu'!A:AT,COLUMN('1.2 Ohjaus-laskentataulu'!AP:AP),FALSE)/VLOOKUP(Vertailu[[#This Row],[Y-tunnus]],'1.2 Ohjaus-laskentataulu'!A:AT,COLUMN('1.2 Ohjaus-laskentataulu'!AR:AR),FALSE),0)</calculatedColumnFormula>
      <totalsRowFormula>Ohj.lask.[[#Totals],[Suoritusrahoitus, €]]/Ohj.lask.[[#Totals],[Perus-, suoritus- ja vaikuttavuusrahoitus yhteensä, €]]</totalsRowFormula>
    </tableColumn>
    <tableColumn id="7" name="Vaikuttavuus-rahoitus yhteensä" totalsRowFunction="custom" dataDxfId="244" totalsRowDxfId="29" dataCellStyle="Prosenttia">
      <calculatedColumnFormula>IFERROR(VLOOKUP(Vertailu[[#This Row],[Y-tunnus]],'1.2 Ohjaus-laskentataulu'!A:AT,COLUMN('1.2 Ohjaus-laskentataulu'!AQ:AQ),FALSE)/VLOOKUP(Vertailu[[#This Row],[Y-tunnus]],'1.2 Ohjaus-laskentataulu'!A:AT,COLUMN('1.2 Ohjaus-laskentataulu'!AR:AR),FALSE),0)</calculatedColumnFormula>
      <totalsRowFormula>Ohj.lask.[[#Totals],[Työllistymiseen ja jatko-opintoihin siirtymiseen, opiskelijapalautteiseen sekä työelämäpalautteeseen perustuva, €]]/Ohj.lask.[[#Totals],[Perus-, suoritus- ja vaikuttavuusrahoitus yhteensä, €]]</totalsRowFormula>
    </tableColumn>
    <tableColumn id="8" name="-josta työllistyneet ja jatko-opiskelijat" totalsRowFunction="custom" dataDxfId="243" totalsRowDxfId="28" dataCellStyle="Prosenttia">
      <calculatedColumnFormula>IFERROR(VLOOKUP(Vertailu[[#This Row],[Y-tunnus]],'1.2 Ohjaus-laskentataulu'!A:AT,COLUMN('1.2 Ohjaus-laskentataulu'!R:R),FALSE)/VLOOKUP(Vertailu[[#This Row],[Y-tunnus]],'1.2 Ohjaus-laskentataulu'!A:AT,COLUMN('1.2 Ohjaus-laskentataulu'!AR:AR),FALSE),0)</calculatedColumnFormula>
      <totalsRowFormula>Ohj.lask.[[#Totals],[Jaettava € 3]]/Ohj.lask.[[#Totals],[Perus-, suoritus- ja vaikuttavuusrahoitus yhteensä, €]]</totalsRowFormula>
    </tableColumn>
    <tableColumn id="9" name="-josta aloittaneet opiskelija-palaute" totalsRowFunction="custom" dataDxfId="242" totalsRowDxfId="27" dataCellStyle="Prosenttia">
      <calculatedColumnFormula>IFERROR(VLOOKUP(Vertailu[[#This Row],[Y-tunnus]],'1.2 Ohjaus-laskentataulu'!A:AT,COLUMN('1.2 Ohjaus-laskentataulu'!U:U),FALSE)/VLOOKUP(Vertailu[[#This Row],[Y-tunnus]],'1.2 Ohjaus-laskentataulu'!A:AT,COLUMN('1.2 Ohjaus-laskentataulu'!AR:AR),FALSE),0)</calculatedColumnFormula>
      <totalsRowFormula>Ohj.lask.[[#Totals],[Jaettava € 4]]/Ohj.lask.[[#Totals],[Perus-, suoritus- ja vaikuttavuusrahoitus yhteensä, €]]</totalsRowFormula>
    </tableColumn>
    <tableColumn id="10" name="-josta päättäneet opiskelija-palaute" totalsRowFunction="custom" dataDxfId="241" totalsRowDxfId="26" dataCellStyle="Prosenttia">
      <calculatedColumnFormula>IFERROR(VLOOKUP(Vertailu[[#This Row],[Y-tunnus]],'1.2 Ohjaus-laskentataulu'!A:AT,COLUMN('1.2 Ohjaus-laskentataulu'!X:X),FALSE)/VLOOKUP(Vertailu[[#This Row],[Y-tunnus]],'1.2 Ohjaus-laskentataulu'!A:AT,COLUMN('1.2 Ohjaus-laskentataulu'!AR:AR),FALSE),0)</calculatedColumnFormula>
      <totalsRowFormula>Ohj.lask.[[#Totals],[Jaettava € 5]]/Ohj.lask.[[#Totals],[Perus-, suoritus- ja vaikuttavuusrahoitus yhteensä, €]]</totalsRowFormula>
    </tableColumn>
    <tableColumn id="55" name="-josta työpaikka-ohjaajakysely" totalsRowFunction="custom" dataDxfId="240" totalsRowDxfId="25" dataCellStyle="Prosenttia">
      <calculatedColumnFormula>IFERROR(VLOOKUP(Vertailu[[#This Row],[Y-tunnus]],'1.2 Ohjaus-laskentataulu'!A:AT,COLUMN('1.2 Ohjaus-laskentataulu'!AA:AA),FALSE)/VLOOKUP(Vertailu[[#This Row],[Y-tunnus]],'1.2 Ohjaus-laskentataulu'!A:AT,COLUMN('1.2 Ohjaus-laskentataulu'!AR:AR),FALSE),0)</calculatedColumnFormula>
      <totalsRowFormula>Ohj.lask.[[#Totals],[Jaettava € 6]]/Ohj.lask.[[#Totals],[Perus-, suoritus- ja vaikuttavuusrahoitus yhteensä, €]]</totalsRowFormula>
    </tableColumn>
    <tableColumn id="54" name="-josta työpaikka-kysely" totalsRowFunction="custom" dataDxfId="239" totalsRowDxfId="24" dataCellStyle="Prosenttia">
      <calculatedColumnFormula>IFERROR(VLOOKUP(Vertailu[[#This Row],[Y-tunnus]],'1.2 Ohjaus-laskentataulu'!A:AT,COLUMN('1.2 Ohjaus-laskentataulu'!AD:AD),FALSE)/VLOOKUP(Vertailu[[#This Row],[Y-tunnus]],'1.2 Ohjaus-laskentataulu'!A:AT,COLUMN('1.2 Ohjaus-laskentataulu'!AR:AR),FALSE),0)</calculatedColumnFormula>
      <totalsRowFormula>Ohj.lask.[[#Totals],[Jaettava € 7]]/Ohj.lask.[[#Totals],[Perus-, suoritus- ja vaikuttavuusrahoitus yhteensä, €]]</totalsRowFormula>
    </tableColumn>
    <tableColumn id="12" name="Rahoitus pl. hark. kor. 2023 ilman alv, €" totalsRowFunction="sum" dataDxfId="238" totalsRowDxfId="23">
      <calculatedColumnFormula>IFERROR(VLOOKUP(Vertailu[[#This Row],[Y-tunnus]],#REF!,COLUMN(#REF!),FALSE)-VLOOKUP(Vertailu[[#This Row],[Y-tunnus]],#REF!,COLUMN(#REF!),FALSE),0)</calculatedColumnFormula>
    </tableColumn>
    <tableColumn id="16" name="Rahoitus pl. hark. kor. 2024 ilman alv, €" totalsRowFunction="sum" dataDxfId="237" totalsRowDxfId="22">
      <calculatedColumnFormula>IFERROR(VLOOKUP(Vertailu[[#This Row],[Y-tunnus]],'1.2 Ohjaus-laskentataulu'!A:AT,COLUMN('1.2 Ohjaus-laskentataulu'!AF:AF),FALSE),0)</calculatedColumnFormula>
    </tableColumn>
    <tableColumn id="14" name="Muutos, € 1" totalsRowFunction="sum" dataDxfId="236" totalsRowDxfId="21">
      <calculatedColumnFormula>IFERROR(Vertailu[[#This Row],[Rahoitus pl. hark. kor. 2024 ilman alv, €]]-Vertailu[[#This Row],[Rahoitus pl. hark. kor. 2023 ilman alv, €]],0)</calculatedColumnFormula>
    </tableColumn>
    <tableColumn id="15" name="Muutos, % 1" totalsRowFunction="custom" dataDxfId="235" totalsRowDxfId="20" dataCellStyle="Prosenttia">
      <calculatedColumnFormula>IFERROR(Vertailu[[#This Row],[Muutos, € 1]]/Vertailu[[#This Row],[Rahoitus pl. hark. kor. 2023 ilman alv, €]],0)</calculatedColumnFormula>
      <totalsRowFormula>IFERROR(Vertailu[[#Totals],[Muutos, € 1]]/Vertailu[[#Totals],[Rahoitus pl. hark. kor. 2023 ilman alv, €]],0)</totalsRowFormula>
    </tableColumn>
    <tableColumn id="37" name="Rahoitus ml. hark. kor. _x000a_2023 ilman alv, €" totalsRowFunction="sum" dataDxfId="234" totalsRowDxfId="19" dataCellStyle="Prosenttia">
      <calculatedColumnFormula>IFERROR(VLOOKUP(Vertailu[[#This Row],[Y-tunnus]],#REF!,COLUMN(#REF!),FALSE),0)</calculatedColumnFormula>
    </tableColumn>
    <tableColumn id="23" name="Rahoitus ml. hark. kor. _x000a_2024 ilman alv, €" totalsRowFunction="sum" dataDxfId="233" totalsRowDxfId="18" dataCellStyle="Prosenttia">
      <calculatedColumnFormula>IFERROR(VLOOKUP(Vertailu[[#This Row],[Y-tunnus]],'1.2 Ohjaus-laskentataulu'!A:AT,COLUMN('1.2 Ohjaus-laskentataulu'!AR:AR),FALSE),0)</calculatedColumnFormula>
    </tableColumn>
    <tableColumn id="13" name="Muutos, € 2" totalsRowFunction="sum" dataDxfId="232" totalsRowDxfId="17" dataCellStyle="Prosenttia">
      <calculatedColumnFormula>IFERROR(Vertailu[[#This Row],[Rahoitus ml. hark. kor. 
2024 ilman alv, €]]-Vertailu[[#This Row],[Rahoitus ml. hark. kor. 
2023 ilman alv, €]],0)</calculatedColumnFormula>
    </tableColumn>
    <tableColumn id="11" name="Muutos, % 2" totalsRowFunction="custom" dataDxfId="231" totalsRowDxfId="16" dataCellStyle="Prosenttia">
      <calculatedColumnFormula>IFERROR(Vertailu[[#This Row],[Muutos, € 2]]/Vertailu[[#This Row],[Rahoitus ml. hark. kor. 
2023 ilman alv, €]],0)</calculatedColumnFormula>
      <totalsRowFormula>IFERROR(Vertailu[[#Totals],[Muutos, € 2]]/Vertailu[[#Totals],[Rahoitus ml. hark. kor. 
2023 ilman alv, €]],0)</totalsRowFormula>
    </tableColumn>
    <tableColumn id="30" name="Rahoitus ml. hark. kor. + alv 2023, €" totalsRowFunction="sum" dataDxfId="230" totalsRowDxfId="15" dataCellStyle="Prosenttia">
      <calculatedColumnFormula>IFERROR(VLOOKUP(Vertailu[[#This Row],[Y-tunnus]],#REF!,COLUMN(#REF!),FALSE)+VLOOKUP(Vertailu[[#This Row],[Y-tunnus]],#REF!,COLUMN(#REF!),FALSE),0)</calculatedColumnFormula>
    </tableColumn>
    <tableColumn id="45" name="Rahoitus ml. hark. kor. + alv 2024, €" totalsRowFunction="sum" dataDxfId="229" totalsRowDxfId="14" dataCellStyle="Prosenttia">
      <calculatedColumnFormula>IFERROR(VLOOKUP(Vertailu[[#This Row],[Y-tunnus]],'1.2 Ohjaus-laskentataulu'!A:AT,COLUMN('1.2 Ohjaus-laskentataulu'!AT:AT),FALSE),0)</calculatedColumnFormula>
    </tableColumn>
    <tableColumn id="44" name="Muutos, € 3" totalsRowFunction="sum" dataDxfId="228" totalsRowDxfId="13" dataCellStyle="Prosenttia">
      <calculatedColumnFormula>IFERROR(Vertailu[[#This Row],[Rahoitus ml. hark. kor. + alv 2024, €]]-Vertailu[[#This Row],[Rahoitus ml. hark. kor. + alv 2023, €]],0)</calculatedColumnFormula>
    </tableColumn>
    <tableColumn id="24" name="Muutos, % 3" totalsRowFunction="custom" dataDxfId="227" totalsRowDxfId="12" dataCellStyle="Prosenttia">
      <calculatedColumnFormula>IFERROR(Vertailu[[#This Row],[Muutos, € 3]]/Vertailu[[#This Row],[Rahoitus ml. hark. kor. + alv 2023, €]],0)</calculatedColumnFormula>
      <totalsRowFormula>IFERROR(Vertailu[[#Totals],[Muutos, € 3]]/Vertailu[[#Totals],[Rahoitus ml. hark. kor. + alv 2023, €]],0)</totalsRowFormula>
    </tableColumn>
    <tableColumn id="40" name="Perusrahoitus 2023, €" totalsRowFunction="sum" dataDxfId="226" totalsRowDxfId="11">
      <calculatedColumnFormula>IFERROR(VLOOKUP(Vertailu[[#This Row],[Y-tunnus]],#REF!,COLUMN(#REF!),FALSE),0)</calculatedColumnFormula>
    </tableColumn>
    <tableColumn id="41" name="Perusrahoitus 2024, €" totalsRowFunction="sum" dataDxfId="225" totalsRowDxfId="10">
      <calculatedColumnFormula>IFERROR(VLOOKUP(Vertailu[[#This Row],[Y-tunnus]],'1.2 Ohjaus-laskentataulu'!A:AT,COLUMN('1.2 Ohjaus-laskentataulu'!AO:AO),FALSE),0)</calculatedColumnFormula>
    </tableColumn>
    <tableColumn id="42" name="Perusrahoituksen muutos, €" totalsRowFunction="sum" dataDxfId="224" totalsRowDxfId="9">
      <calculatedColumnFormula>Vertailu[[#This Row],[Perusrahoitus 2024, €]]-Vertailu[[#This Row],[Perusrahoitus 2023, €]]</calculatedColumnFormula>
    </tableColumn>
    <tableColumn id="43" name="Perusrahoituksen muutos, %" totalsRowFunction="custom" dataDxfId="223" totalsRowDxfId="8" dataCellStyle="Prosenttia">
      <calculatedColumnFormula>IFERROR(Vertailu[[#This Row],[Perusrahoituksen muutos, €]]/Vertailu[[#This Row],[Perusrahoitus 2023, €]],0)</calculatedColumnFormula>
      <totalsRowFormula>IFERROR(Vertailu[[#Totals],[Perusrahoituksen muutos, €]]/Vertailu[[#Totals],[Perusrahoitus 2023, €]],0)</totalsRowFormula>
    </tableColumn>
    <tableColumn id="46" name="Suoritusrahoitus 2023, €" totalsRowFunction="sum" dataDxfId="222" totalsRowDxfId="7">
      <calculatedColumnFormula>IFERROR(VLOOKUP(Vertailu[[#This Row],[Y-tunnus]],#REF!,COLUMN(#REF!),FALSE),0)</calculatedColumnFormula>
    </tableColumn>
    <tableColumn id="47" name="Suoritusrahoitus 2024, €" totalsRowFunction="sum" dataDxfId="221" totalsRowDxfId="6">
      <calculatedColumnFormula>IFERROR(VLOOKUP(Vertailu[[#This Row],[Y-tunnus]],'1.2 Ohjaus-laskentataulu'!A:AT,COLUMN('1.2 Ohjaus-laskentataulu'!O:O),FALSE),0)</calculatedColumnFormula>
    </tableColumn>
    <tableColumn id="48" name="Suoritusrahoituksen muutos, €" totalsRowFunction="sum" dataDxfId="220" totalsRowDxfId="5">
      <calculatedColumnFormula>Vertailu[[#This Row],[Suoritusrahoitus 2024, €]]-Vertailu[[#This Row],[Suoritusrahoitus 2023, €]]</calculatedColumnFormula>
    </tableColumn>
    <tableColumn id="49" name="Suoritusrahoituksen muutos, %" totalsRowFunction="custom" dataDxfId="219" totalsRowDxfId="4" dataCellStyle="Prosenttia">
      <calculatedColumnFormula>IFERROR(Vertailu[[#This Row],[Suoritusrahoituksen muutos, €]]/Vertailu[[#This Row],[Suoritusrahoitus 2023, €]],0)</calculatedColumnFormula>
      <totalsRowFormula>IFERROR(Vertailu[[#Totals],[Suoritusrahoituksen muutos, €]]/Vertailu[[#Totals],[Suoritusrahoitus 2023, €]],0)</totalsRowFormula>
    </tableColumn>
    <tableColumn id="50" name="Vaikuttavuusrahoitus 2023, €" totalsRowFunction="sum" dataDxfId="218" totalsRowDxfId="3">
      <calculatedColumnFormula>IFERROR(VLOOKUP(Vertailu[[#This Row],[Y-tunnus]],#REF!,COLUMN(#REF!),FALSE),0)</calculatedColumnFormula>
    </tableColumn>
    <tableColumn id="51" name="Vaikuttavuusrahoitus 2024, €" totalsRowFunction="sum" dataDxfId="217" totalsRowDxfId="2">
      <calculatedColumnFormula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calculatedColumnFormula>
    </tableColumn>
    <tableColumn id="52" name="Vaikuttavuusrahoituksen muutos, €" totalsRowFunction="sum" dataDxfId="216" totalsRowDxfId="1">
      <calculatedColumnFormula>Vertailu[[#This Row],[Vaikuttavuusrahoitus 2024, €]]-Vertailu[[#This Row],[Vaikuttavuusrahoitus 2023, €]]</calculatedColumnFormula>
    </tableColumn>
    <tableColumn id="53" name="Vaikuttavuusrahoituksen muutos, %" totalsRowFunction="custom" dataDxfId="215" totalsRowDxfId="0" dataCellStyle="Prosenttia">
      <calculatedColumnFormula>IFERROR(Vertailu[[#This Row],[Vaikuttavuusrahoituksen muutos, €]]/Vertailu[[#This Row],[Vaikuttavuusrahoitus 2023, €]],0)</calculatedColumnFormula>
      <totalsRowFormula>IFERROR(Vertailu[[#Totals],[Vaikuttavuusrahoituksen muutos, €]]/Vertailu[[#Totals],[Vaikuttavuusrahoitus 2023, €]],0)</totalsRowFormula>
    </tableColumn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id="4" name="Maakunt." displayName="Maakunt." ref="A5:BE24" totalsRowCount="1" headerRowDxfId="214" dataDxfId="213" totalsRowDxfId="212">
  <autoFilter ref="A5:BE23"/>
  <tableColumns count="57">
    <tableColumn id="1" name="Maakunta" totalsRowLabel="Summa" dataDxfId="211" totalsRowDxfId="143"/>
    <tableColumn id="2" name="Järjestäjien kokonais-määrä" totalsRowFunction="sum" dataDxfId="210" totalsRowDxfId="142">
      <calculatedColumnFormula>COUNTIF(Ohj.lask.[Maakunta],Maakunt.[[#This Row],[Maakunta]])</calculatedColumnFormula>
    </tableColumn>
    <tableColumn id="50" name="Yksityinen" totalsRowFunction="sum" dataDxfId="209" totalsRowDxfId="141">
      <calculatedColumnFormula>COUNTIFS(Ohj.lask.[Maakunta],Maakunt.[[#This Row],[Maakunta]],Ohj.lask.[Omistajatyyppi],"=yksityinen")</calculatedColumnFormula>
    </tableColumn>
    <tableColumn id="3" name="Kunta" totalsRowFunction="sum" dataDxfId="208" totalsRowDxfId="140">
      <calculatedColumnFormula>COUNTIFS(Ohj.lask.[Maakunta],Maakunt.[[#This Row],[Maakunta]],Ohj.lask.[Omistajatyyppi],"=kunta")</calculatedColumnFormula>
    </tableColumn>
    <tableColumn id="4" name="Kunta-yhtymä" totalsRowFunction="sum" dataDxfId="207" totalsRowDxfId="139">
      <calculatedColumnFormula>COUNTIFS(Ohj.lask.[Maakunta],Maakunt.[[#This Row],[Maakunta]],Ohj.lask.[Omistajatyyppi],"=kuntayhtymä")</calculatedColumnFormula>
    </tableColumn>
    <tableColumn id="5" name="Järjestämisluvan opisk.vuosien vähimmäismäärä" totalsRowFunction="sum" dataDxfId="190" totalsRowDxfId="138">
      <calculatedColumnFormula>SUMIF(Ohj.lask.[Maakunta],Maakunt.[[#This Row],[Maakunta]],Ohj.lask.[Järjestämisluvan opisk.vuosien vähimmäismäärä])</calculatedColumnFormula>
    </tableColumn>
    <tableColumn id="6" name="Suoritepäätöksellä jaettavat opisk.vuodet (luvan ylittävä osuus)" totalsRowFunction="sum" dataDxfId="189" totalsRowDxfId="137">
      <calculatedColumnFormula>SUMIF(Ohj.lask.[Maakunta],Maakunt.[[#This Row],[Maakunta]],Ohj.lask.[Suoritepäätöksellä jaettavat opisk.vuodet (luvan ylittävä osuus)])</calculatedColumnFormula>
    </tableColumn>
    <tableColumn id="7" name="Tavoitteelliset opiskelija-vuodet" totalsRowFunction="sum" dataDxfId="188" totalsRowDxfId="136">
      <calculatedColumnFormula>SUMIF(Ohj.lask.[Maakunta],Maakunt.[[#This Row],[Maakunta]],Ohj.lask.[Tavoitteelliset opiskelija-vuodet])</calculatedColumnFormula>
    </tableColumn>
    <tableColumn id="8" name="Keskimääräinen profiilikerroin" totalsRowFunction="sum" dataDxfId="187" totalsRowDxfId="135">
      <calculatedColumnFormula>Maakunt.[[#This Row],[Painotetut opiskelija-vuodet]]/Maakunt.[[#This Row],[Tavoitteelliset opiskelija-vuodet]]</calculatedColumnFormula>
    </tableColumn>
    <tableColumn id="9" name="Painotetut opiskelija-vuodet" totalsRowFunction="sum" dataDxfId="186" totalsRowDxfId="134">
      <calculatedColumnFormula>SUMIF(Ohj.lask.[Maakunta],Maakunt.[[#This Row],[Maakunta]],Ohj.lask.[Painotetut opiskelija-vuodet])</calculatedColumnFormula>
    </tableColumn>
    <tableColumn id="10" name="%-osuus 1" totalsRowFunction="sum" dataDxfId="185" totalsRowDxfId="133" dataCellStyle="Prosenttia">
      <calculatedColumnFormula>SUMIF(Ohj.lask.[Maakunta],Maakunt.[[#This Row],[Maakunta]],Ohj.lask.[%-osuus 1])</calculatedColumnFormula>
    </tableColumn>
    <tableColumn id="11" name="Jaettava € 1" totalsRowFunction="sum" dataDxfId="184" totalsRowDxfId="132">
      <calculatedColumnFormula>SUMIF(Ohj.lask.[Maakunta],Maakunt.[[#This Row],[Maakunta]],Ohj.lask.[Jaettava € 1])</calculatedColumnFormula>
    </tableColumn>
    <tableColumn id="12" name="Painotetut pisteet 2" totalsRowFunction="sum" dataDxfId="183" totalsRowDxfId="131">
      <calculatedColumnFormula>SUMIF(Ohj.lask.[Maakunta],Maakunt.[[#This Row],[Maakunta]],Ohj.lask.[Painotetut pisteet 2])</calculatedColumnFormula>
    </tableColumn>
    <tableColumn id="13" name="%-osuus 2" totalsRowFunction="sum" dataDxfId="182" totalsRowDxfId="130" dataCellStyle="Prosenttia">
      <calculatedColumnFormula>SUMIF(Ohj.lask.[Maakunta],Maakunt.[[#This Row],[Maakunta]],Ohj.lask.[%-osuus 2])</calculatedColumnFormula>
    </tableColumn>
    <tableColumn id="14" name="Jaettava € 2" totalsRowFunction="sum" dataDxfId="181" totalsRowDxfId="129">
      <calculatedColumnFormula>SUMIF(Ohj.lask.[Maakunta],Maakunt.[[#This Row],[Maakunta]],Ohj.lask.[Jaettava € 2])</calculatedColumnFormula>
    </tableColumn>
    <tableColumn id="15" name="Painotetut pisteet 3" totalsRowFunction="sum" dataDxfId="180" totalsRowDxfId="128">
      <calculatedColumnFormula>SUMIF(Ohj.lask.[Maakunta],Maakunt.[[#This Row],[Maakunta]],Ohj.lask.[Painotetut pisteet 3])</calculatedColumnFormula>
    </tableColumn>
    <tableColumn id="16" name="%-osuus 3" totalsRowFunction="sum" dataDxfId="179" totalsRowDxfId="127" dataCellStyle="Prosenttia">
      <calculatedColumnFormula>SUMIF(Ohj.lask.[Maakunta],Maakunt.[[#This Row],[Maakunta]],Ohj.lask.[%-osuus 3])</calculatedColumnFormula>
    </tableColumn>
    <tableColumn id="17" name="Jaettava € 3" totalsRowFunction="sum" dataDxfId="178" totalsRowDxfId="126">
      <calculatedColumnFormula>SUMIF(Ohj.lask.[Maakunta],Maakunt.[[#This Row],[Maakunta]],Ohj.lask.[Jaettava € 3])</calculatedColumnFormula>
    </tableColumn>
    <tableColumn id="18" name="Painotetut pisteet 4" totalsRowFunction="sum" dataDxfId="177" totalsRowDxfId="125">
      <calculatedColumnFormula>SUMIF(Ohj.lask.[Maakunta],Maakunt.[[#This Row],[Maakunta]],Ohj.lask.[Painotetut pisteet 4])</calculatedColumnFormula>
    </tableColumn>
    <tableColumn id="19" name="%-osuus 4" totalsRowFunction="sum" dataDxfId="176" totalsRowDxfId="124" dataCellStyle="Prosenttia">
      <calculatedColumnFormula>SUMIF(Ohj.lask.[Maakunta],Maakunt.[[#This Row],[Maakunta]],Ohj.lask.[%-osuus 4])</calculatedColumnFormula>
    </tableColumn>
    <tableColumn id="20" name="Jaettava € 4" totalsRowFunction="sum" dataDxfId="175" totalsRowDxfId="123">
      <calculatedColumnFormula>SUMIF(Ohj.lask.[Maakunta],Maakunt.[[#This Row],[Maakunta]],Ohj.lask.[Jaettava € 4])</calculatedColumnFormula>
    </tableColumn>
    <tableColumn id="21" name="Painotetut pisteet 5" totalsRowFunction="sum" dataDxfId="174" totalsRowDxfId="122">
      <calculatedColumnFormula>SUMIF(Ohj.lask.[Maakunta],Maakunt.[[#This Row],[Maakunta]],Ohj.lask.[Painotetut pisteet 5])</calculatedColumnFormula>
    </tableColumn>
    <tableColumn id="22" name="%-osuus 5" totalsRowFunction="sum" dataDxfId="173" totalsRowDxfId="121" dataCellStyle="Prosenttia">
      <calculatedColumnFormula>SUMIF(Ohj.lask.[Maakunta],Maakunt.[[#This Row],[Maakunta]],Ohj.lask.[%-osuus 5])</calculatedColumnFormula>
    </tableColumn>
    <tableColumn id="23" name="Jaettava € 5" totalsRowFunction="sum" dataDxfId="172" totalsRowDxfId="120">
      <calculatedColumnFormula>SUMIF(Ohj.lask.[Maakunta],Maakunt.[[#This Row],[Maakunta]],Ohj.lask.[Jaettava € 5])</calculatedColumnFormula>
    </tableColumn>
    <tableColumn id="24" name="Painotetut pisteet 6" totalsRowFunction="sum" dataDxfId="171" totalsRowDxfId="119" dataCellStyle="Prosenttia">
      <calculatedColumnFormula>SUMIF(Ohj.lask.[Maakunta],Maakunt.[[#This Row],[Maakunta]],Ohj.lask.[Painotetut pisteet 6])</calculatedColumnFormula>
    </tableColumn>
    <tableColumn id="25" name="%-osuus 6" totalsRowFunction="sum" dataDxfId="170" totalsRowDxfId="118" dataCellStyle="Prosenttia">
      <calculatedColumnFormula>SUMIF(Ohj.lask.[Maakunta],Maakunt.[[#This Row],[Maakunta]],Ohj.lask.[%-osuus 6])</calculatedColumnFormula>
    </tableColumn>
    <tableColumn id="26" name="Jaettava € 6" totalsRowFunction="sum" dataDxfId="169" totalsRowDxfId="117">
      <calculatedColumnFormula>SUMIF(Ohj.lask.[Maakunta],Maakunt.[[#This Row],[Maakunta]],Ohj.lask.[Jaettava € 6])</calculatedColumnFormula>
    </tableColumn>
    <tableColumn id="27" name="Pisteet 7" totalsRowFunction="sum" dataDxfId="168" totalsRowDxfId="116">
      <calculatedColumnFormula>SUMIF(Ohj.lask.[Maakunta],Maakunt.[[#This Row],[Maakunta]],Ohj.lask.[Pisteet 7])</calculatedColumnFormula>
    </tableColumn>
    <tableColumn id="28" name="%-osuus 7" totalsRowFunction="sum" dataDxfId="167" totalsRowDxfId="115" dataCellStyle="Prosenttia">
      <calculatedColumnFormula>SUMIF(Ohj.lask.[Maakunta],Maakunt.[[#This Row],[Maakunta]],Ohj.lask.[%-osuus 7])</calculatedColumnFormula>
    </tableColumn>
    <tableColumn id="29" name="Jaettava € 7" totalsRowFunction="sum" dataDxfId="166" totalsRowDxfId="114">
      <calculatedColumnFormula>SUMIF(Ohj.lask.[Maakunta],Maakunt.[[#This Row],[Maakunta]],Ohj.lask.[Jaettava € 7])</calculatedColumnFormula>
    </tableColumn>
    <tableColumn id="30" name="%-osuus 8" totalsRowFunction="sum" dataDxfId="161" totalsRowDxfId="113" dataCellStyle="Prosenttia">
      <calculatedColumnFormula>SUMIF(Ohj.lask.[Maakunta],Maakunt.[[#This Row],[Maakunta]],Ohj.lask.[%-osuus 8])</calculatedColumnFormula>
    </tableColumn>
    <tableColumn id="31" name="Jaettava € 8" totalsRowFunction="sum" dataDxfId="160" totalsRowDxfId="112">
      <calculatedColumnFormula>SUMIF(Ohj.lask.[Maakunta],Maakunt.[[#This Row],[Maakunta]],Ohj.lask.[Jaettava € 8])</calculatedColumnFormula>
    </tableColumn>
    <tableColumn id="32" name="Harkinnanvarainen korotus 1, €" totalsRowFunction="sum" dataDxfId="159" totalsRowDxfId="111">
      <calculatedColumnFormula>SUMIF(Ohj.lask.[Maakunta],Maakunt.[[#This Row],[Maakunta]],Ohj.lask.[Harkinnanvarainen korotus 1, €])</calculatedColumnFormula>
    </tableColumn>
    <tableColumn id="33" name="Harkinnanvarainen korotus 2, €" totalsRowFunction="sum" dataDxfId="158" totalsRowDxfId="110">
      <calculatedColumnFormula>SUMIF(Ohj.lask.[Maakunta],Maakunt.[[#This Row],[Maakunta]],Ohj.lask.[Harkinnanvarainen korotus 2, €])</calculatedColumnFormula>
    </tableColumn>
    <tableColumn id="52" name="Harkinnanvarainen korotus 3, €" totalsRowFunction="sum" dataDxfId="157" totalsRowDxfId="109">
      <calculatedColumnFormula>SUMIF(Ohj.lask.[Maakunta],Maakunt.[[#This Row],[Maakunta]],Ohj.lask.[Harkinnanvarainen korotus 3, €])</calculatedColumnFormula>
    </tableColumn>
    <tableColumn id="51" name="Harkinnanvarainen korotus 4, €" totalsRowFunction="sum" dataDxfId="206" totalsRowDxfId="108">
      <calculatedColumnFormula>SUMIF(Ohj.lask.[Maakunta],Maakunt.[[#This Row],[Maakunta]],Ohj.lask.[Harkinnanvarainen korotus 4, €])</calculatedColumnFormula>
    </tableColumn>
    <tableColumn id="61" name="Harkinnanvarainen korotus 5, €" totalsRowFunction="sum" dataDxfId="165" totalsRowDxfId="107">
      <calculatedColumnFormula>SUMIF(Ohj.lask.[Maakunta],Maakunt.[[#This Row],[Maakunta]],Ohj.lask.[Harkinnanvarainen korotus 5, €])</calculatedColumnFormula>
    </tableColumn>
    <tableColumn id="60" name="Harkinnanvarainen korotus 6, €" totalsRowFunction="sum" dataDxfId="164" totalsRowDxfId="106">
      <calculatedColumnFormula>SUMIF(Ohj.lask.[Maakunta],Maakunt.[[#This Row],[Maakunta]],Ohj.lask.[Harkinnanvarainen korotus 6, €])</calculatedColumnFormula>
    </tableColumn>
    <tableColumn id="59" name="Harkinnanvarainen korotus 7, €" totalsRowFunction="sum" dataDxfId="163" totalsRowDxfId="105">
      <calculatedColumnFormula>SUMIF(Ohj.lask.[Maakunta],Maakunt.[[#This Row],[Maakunta]],Ohj.lask.[Harkinnanvarainen korotus 7, €])</calculatedColumnFormula>
    </tableColumn>
    <tableColumn id="58" name="Harkinnanvarainen korotus 8, €" totalsRowFunction="sum" dataDxfId="162" totalsRowDxfId="104">
      <calculatedColumnFormula>SUMIF(Ohj.lask.[Maakunta],Maakunt.[[#This Row],[Maakunta]],Ohj.lask.[Harkinnanvarainen korotus 8, €])</calculatedColumnFormula>
    </tableColumn>
    <tableColumn id="34" name="Suoriteperusteinen (opiskelijavuosiin perustuva) sekä harkinnanvarainen korotus, €" totalsRowFunction="sum" dataDxfId="156" totalsRowDxfId="103">
      <calculatedColumnFormula>SUMIF(Ohj.lask.[Maakunta],Maakunt.[[#This Row],[Maakunta]],Ohj.lask.[Suoriteperusteinen (opiskelijavuosiin perustuva) sekä harkinnanvarainen korotus, €])</calculatedColumnFormula>
    </tableColumn>
    <tableColumn id="35" name="Suoritusrahoitus, €" totalsRowFunction="sum" dataDxfId="155" totalsRowDxfId="102">
      <calculatedColumnFormula>SUMIF(Ohj.lask.[Maakunta],Maakunt.[[#This Row],[Maakunta]],Ohj.lask.[Suoritusrahoitus, €])</calculatedColumnFormula>
    </tableColumn>
    <tableColumn id="36" name="Työllistymiseen ja jatko-opintoihin siirtymiseen, opiskelijapalautteiseen sekä työelämäpalautteeseen perustuva, €" totalsRowFunction="sum" dataDxfId="154" totalsRowDxfId="101">
      <calculatedColumnFormula>SUMIF(Ohj.lask.[Maakunta],Maakunt.[[#This Row],[Maakunta]],Ohj.lask.[Työllistymiseen ja jatko-opintoihin siirtymiseen, opiskelijapalautteiseen sekä työelämäpalautteeseen perustuva, €])</calculatedColumnFormula>
    </tableColumn>
    <tableColumn id="54" name="Perus-, suoritus- ja vaikuttavuusrahoitus yhteensä, €" totalsRowFunction="sum" dataDxfId="153" totalsRowDxfId="100">
      <calculatedColumnFormula>SUMIF(Ohj.lask.[Maakunta],Maakunt.[[#This Row],[Maakunta]],Ohj.lask.[Perus-, suoritus- ja vaikuttavuusrahoitus yhteensä, €])</calculatedColumnFormula>
    </tableColumn>
    <tableColumn id="57" name="Suorite-perusteinen perusrahoitus (pl. hark. kor.)" totalsRowFunction="custom" dataDxfId="152" totalsRowDxfId="99" dataCellStyle="Prosenttia">
      <calculatedColumnFormula>Maakunt.[[#This Row],[Jaettava € 1]]/Maakunt.[[#This Row],[Perus-, suoritus- ja vaikuttavuusrahoitus yhteensä, €]]</calculatedColumnFormula>
      <totalsRowFormula>Maakunt.[[#Totals],[Jaettava € 1]]/Maakunt.[[#Totals],[Perus-, suoritus- ja vaikuttavuusrahoitus yhteensä, €]]</totalsRowFormula>
    </tableColumn>
    <tableColumn id="39" name="Perusrahoitus yhteensä (ml. hark. kor.)" totalsRowFunction="custom" dataDxfId="151" totalsRowDxfId="98" dataCellStyle="Prosenttia">
      <calculatedColumnFormula>Maakunt.[[#This Row],[Suoriteperusteinen (opiskelijavuosiin perustuva) sekä harkinnanvarainen korotus, €]]/Maakunt.[[#This Row],[Perus-, suoritus- ja vaikuttavuusrahoitus yhteensä, €]]</calculatedColumnFormula>
      <totalsRowFormula>Maakunt.[[#Totals],[Suoriteperusteinen (opiskelijavuosiin perustuva) sekä harkinnanvarainen korotus, €]]/Maakunt.[[#Totals],[Perus-, suoritus- ja vaikuttavuusrahoitus yhteensä, €]]</totalsRowFormula>
    </tableColumn>
    <tableColumn id="40" name="Suoritus-rahoitus" totalsRowFunction="custom" dataDxfId="150" totalsRowDxfId="97" dataCellStyle="Prosenttia">
      <calculatedColumnFormula>Maakunt.[[#This Row],[Suoritusrahoitus, €]]/Maakunt.[[#This Row],[Perus-, suoritus- ja vaikuttavuusrahoitus yhteensä, €]]</calculatedColumnFormula>
      <totalsRowFormula>Maakunt.[[#Totals],[Suoritusrahoitus, €]]/Maakunt.[[#Totals],[Perus-, suoritus- ja vaikuttavuusrahoitus yhteensä, €]]</totalsRowFormula>
    </tableColumn>
    <tableColumn id="41" name="Vaikuttavuus-rahoitus yhteensä" totalsRowFunction="custom" dataDxfId="149" totalsRowDxfId="96" dataCellStyle="Prosenttia">
      <calculatedColumnFormula>Maakunt.[[#This Row],[Työllistymiseen ja jatko-opintoihin siirtymiseen, opiskelijapalautteiseen sekä työelämäpalautteeseen perustuva, €]]/Maakunt.[[#This Row],[Perus-, suoritus- ja vaikuttavuusrahoitus yhteensä, €]]</calculatedColumnFormula>
      <totalsRowFormula>Maakunt.[[#Totals],[Työllistymiseen ja jatko-opintoihin siirtymiseen, opiskelijapalautteiseen sekä työelämäpalautteeseen perustuva, €]]/Maakunt.[[#Totals],[Perus-, suoritus- ja vaikuttavuusrahoitus yhteensä, €]]</totalsRowFormula>
    </tableColumn>
    <tableColumn id="42" name="-josta työllistyneet ja jatko-opiskelijat" totalsRowFunction="custom" dataDxfId="148" totalsRowDxfId="95" dataCellStyle="Prosenttia">
      <calculatedColumnFormula>SUMIF(Ohj.lask.[Maakunta],Maakunt.[[#This Row],[Maakunta]],Ohj.lask.[Jaettava € 3])/Maakunt.[[#This Row],[Perus-, suoritus- ja vaikuttavuusrahoitus yhteensä, €]]</calculatedColumnFormula>
      <totalsRowFormula>Ohj.lask.[[#Totals],[Jaettava € 3]]/Ohj.lask.[[#Totals],[Perus-, suoritus- ja vaikuttavuusrahoitus yhteensä, €]]</totalsRowFormula>
    </tableColumn>
    <tableColumn id="43" name="-josta aloittaneet opiskelija-palaute" totalsRowFunction="custom" dataDxfId="147" totalsRowDxfId="94" dataCellStyle="Prosenttia">
      <calculatedColumnFormula>SUMIF(Ohj.lask.[Maakunta],Maakunt.[[#This Row],[Maakunta]],Ohj.lask.[Jaettava € 4])/Maakunt.[[#This Row],[Perus-, suoritus- ja vaikuttavuusrahoitus yhteensä, €]]</calculatedColumnFormula>
      <totalsRowFormula>Ohj.lask.[[#Totals],[Jaettava € 4]]/Ohj.lask.[[#Totals],[Perus-, suoritus- ja vaikuttavuusrahoitus yhteensä, €]]</totalsRowFormula>
    </tableColumn>
    <tableColumn id="44" name="-josta päättäneet opiskelija-palaute" totalsRowFunction="custom" dataDxfId="146" totalsRowDxfId="93" dataCellStyle="Prosenttia">
      <calculatedColumnFormula>SUMIF(Ohj.lask.[Maakunta],Maakunt.[[#This Row],[Maakunta]],Ohj.lask.[Jaettava € 5])/Maakunt.[[#This Row],[Perus-, suoritus- ja vaikuttavuusrahoitus yhteensä, €]]</calculatedColumnFormula>
      <totalsRowFormula>Ohj.lask.[[#Totals],[Jaettava € 5]]/Ohj.lask.[[#Totals],[Perus-, suoritus- ja vaikuttavuusrahoitus yhteensä, €]]</totalsRowFormula>
    </tableColumn>
    <tableColumn id="38" name="-josta työpaikka-ohjaajakysely" totalsRowFunction="custom" dataDxfId="145" totalsRowDxfId="92" dataCellStyle="Prosenttia">
      <calculatedColumnFormula>SUMIF(Ohj.lask.[Maakunta],Maakunt.[[#This Row],[Maakunta]],Ohj.lask.[Jaettava € 6])/Maakunt.[[#This Row],[Perus-, suoritus- ja vaikuttavuusrahoitus yhteensä, €]]</calculatedColumnFormula>
      <totalsRowFormula>Ohj.lask.[[#Totals],[Jaettava € 6]]/Ohj.lask.[[#Totals],[Perus-, suoritus- ja vaikuttavuusrahoitus yhteensä, €]]</totalsRowFormula>
    </tableColumn>
    <tableColumn id="37" name="-josta työpaikka-kysely" totalsRowFunction="custom" dataDxfId="144" totalsRowDxfId="91" dataCellStyle="Prosenttia">
      <calculatedColumnFormula>SUMIF(Ohj.lask.[Maakunta],Maakunt.[[#This Row],[Maakunta]],Ohj.lask.[Jaettava € 7])/Maakunt.[[#This Row],[Perus-, suoritus- ja vaikuttavuusrahoitus yhteensä, €]]</calculatedColumnFormula>
      <totalsRowFormula>Ohj.lask.[[#Totals],[Jaettava € 7]]/Ohj.lask.[[#Totals],[Perus-, suoritus- ja vaikuttavuusrahoitus yhteensä, €]]</totalsRowFormula>
    </tableColumn>
    <tableColumn id="46" name="Rahoitus ml. hark. kor. _x000a_2023 ilman alv, €" totalsRowFunction="sum" dataDxfId="205" totalsRowDxfId="90">
      <calculatedColumnFormula>SUMIF(Vertailu[Maakunta],Maakunt.[[#This Row],[Maakunta]],Vertailu[Rahoitus ml. hark. kor. 
2023 ilman alv, €])</calculatedColumnFormula>
    </tableColumn>
    <tableColumn id="55" name="Rahoitus ml. hark. kor. _x000a_2024 ilman alv, €" totalsRowFunction="sum" dataDxfId="204" totalsRowDxfId="89">
      <calculatedColumnFormula>SUMIF(Vertailu[Maakunta],Maakunt.[[#This Row],[Maakunta]],Vertailu[Rahoitus ml. hark. kor. 
2024 ilman alv, €])</calculatedColumnFormula>
    </tableColumn>
    <tableColumn id="48" name="Muutos, €" totalsRowFunction="sum" dataDxfId="203" totalsRowDxfId="88">
      <calculatedColumnFormula>SUMIF(Vertailu[Maakunta],Maakunt.[[#This Row],[Maakunta]],Vertailu[Muutos, € 2])</calculatedColumnFormula>
    </tableColumn>
    <tableColumn id="49" name="Muutos, %" totalsRowFunction="custom" dataDxfId="202" totalsRowDxfId="87" dataCellStyle="Prosenttia">
      <calculatedColumnFormula>IFERROR(Maakunt.[[#This Row],[Muutos, €]]/Maakunt.[[#This Row],[Rahoitus ml. hark. kor. 
2023 ilman alv, €]],0)</calculatedColumnFormula>
      <totalsRowFormula>IFERROR(Maakunt.[[#Totals],[Muutos, €]]/Maakunt.[[#Totals],[Rahoitus ml. hark. kor. 
2023 ilman alv, €]],0)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vipunen.fi/fi-fi/_layouts/15/xlviewer.aspx?id=/fi-fi/Raportit/Koski%20tutkinnot%20ja%20tutkinnon%20osat%20painotetut.xlsb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vipunen.fi/fi-fi/_layouts/15/xlviewer.aspx?id=/fi-fi/Raportit/Ammatillinen%20koulutus%20-%20opiskelijapalaute%20-%20rahoitusmalli%20-%20aloituskysely.xls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"/>
  <sheetViews>
    <sheetView tabSelected="1" workbookViewId="0"/>
  </sheetViews>
  <sheetFormatPr defaultRowHeight="15" x14ac:dyDescent="0.25"/>
  <cols>
    <col min="20" max="20" width="9.28515625" customWidth="1"/>
  </cols>
  <sheetData>
    <row r="1" spans="1:1" x14ac:dyDescent="0.25">
      <c r="A1" s="126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8">
    <tabColor theme="9" tint="0.59999389629810485"/>
  </sheetPr>
  <dimension ref="A1:AA269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48.5703125" customWidth="1"/>
    <col min="2" max="2" width="17.42578125" customWidth="1"/>
    <col min="3" max="26" width="17.42578125" style="137" customWidth="1"/>
  </cols>
  <sheetData>
    <row r="1" spans="1:27" ht="15" customHeight="1" x14ac:dyDescent="0.25">
      <c r="A1" s="213"/>
      <c r="B1" s="214" t="s">
        <v>12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125"/>
    </row>
    <row r="2" spans="1:27" ht="15" customHeight="1" x14ac:dyDescent="0.25">
      <c r="A2" s="215"/>
      <c r="B2" s="289" t="s">
        <v>126</v>
      </c>
      <c r="C2" s="289"/>
      <c r="D2" s="289"/>
      <c r="E2" s="289"/>
      <c r="F2" s="289"/>
      <c r="G2" s="289"/>
      <c r="H2" s="289"/>
      <c r="I2" s="289"/>
      <c r="J2" s="289" t="s">
        <v>127</v>
      </c>
      <c r="K2" s="289"/>
      <c r="L2" s="289"/>
      <c r="M2" s="289"/>
      <c r="N2" s="289"/>
      <c r="O2" s="289"/>
      <c r="P2" s="289"/>
      <c r="Q2" s="289"/>
      <c r="R2" s="289" t="s">
        <v>411</v>
      </c>
      <c r="S2" s="289" t="s">
        <v>412</v>
      </c>
      <c r="T2" s="289" t="s">
        <v>413</v>
      </c>
      <c r="U2" s="289" t="s">
        <v>448</v>
      </c>
      <c r="V2" s="289" t="s">
        <v>414</v>
      </c>
      <c r="W2" s="289" t="s">
        <v>415</v>
      </c>
      <c r="X2" s="289" t="s">
        <v>449</v>
      </c>
      <c r="Y2" s="289" t="s">
        <v>450</v>
      </c>
      <c r="Z2" s="290" t="s">
        <v>450</v>
      </c>
    </row>
    <row r="3" spans="1:27" ht="24" customHeight="1" x14ac:dyDescent="0.25">
      <c r="A3" s="216" t="s">
        <v>12</v>
      </c>
      <c r="B3" s="216" t="s">
        <v>403</v>
      </c>
      <c r="C3" s="216" t="s">
        <v>404</v>
      </c>
      <c r="D3" s="216" t="s">
        <v>405</v>
      </c>
      <c r="E3" s="216" t="s">
        <v>406</v>
      </c>
      <c r="F3" s="216" t="s">
        <v>407</v>
      </c>
      <c r="G3" s="216" t="s">
        <v>408</v>
      </c>
      <c r="H3" s="216" t="s">
        <v>409</v>
      </c>
      <c r="I3" s="216" t="s">
        <v>410</v>
      </c>
      <c r="J3" s="216" t="s">
        <v>403</v>
      </c>
      <c r="K3" s="216" t="s">
        <v>404</v>
      </c>
      <c r="L3" s="216" t="s">
        <v>405</v>
      </c>
      <c r="M3" s="216" t="s">
        <v>406</v>
      </c>
      <c r="N3" s="216" t="s">
        <v>407</v>
      </c>
      <c r="O3" s="216" t="s">
        <v>408</v>
      </c>
      <c r="P3" s="216" t="s">
        <v>409</v>
      </c>
      <c r="Q3" s="216" t="s">
        <v>410</v>
      </c>
      <c r="R3" s="289"/>
      <c r="S3" s="289"/>
      <c r="T3" s="289"/>
      <c r="U3" s="289"/>
      <c r="V3" s="289"/>
      <c r="W3" s="289"/>
      <c r="X3" s="289"/>
      <c r="Y3" s="289"/>
      <c r="Z3" s="290"/>
    </row>
    <row r="4" spans="1:27" ht="15" customHeight="1" x14ac:dyDescent="0.25">
      <c r="A4" s="198" t="s">
        <v>378</v>
      </c>
      <c r="B4" s="207">
        <v>2086</v>
      </c>
      <c r="C4" s="207">
        <v>1167</v>
      </c>
      <c r="D4" s="217">
        <v>0.55944391179290509</v>
      </c>
      <c r="E4" s="218">
        <v>1.7153058485139023</v>
      </c>
      <c r="F4" s="218">
        <v>4.3597538333333334</v>
      </c>
      <c r="G4" s="207">
        <v>61054</v>
      </c>
      <c r="H4" s="207">
        <v>314178.84982550336</v>
      </c>
      <c r="I4" s="208">
        <v>3.2852976795201723E-2</v>
      </c>
      <c r="J4" s="207">
        <v>1142</v>
      </c>
      <c r="K4" s="207">
        <v>510</v>
      </c>
      <c r="L4" s="217">
        <v>0.44658493870402804</v>
      </c>
      <c r="M4" s="218">
        <v>1.9455381536152114</v>
      </c>
      <c r="N4" s="218">
        <v>4.1194438333333343</v>
      </c>
      <c r="O4" s="207">
        <v>25211</v>
      </c>
      <c r="P4" s="207">
        <v>49048.962390793095</v>
      </c>
      <c r="Q4" s="208">
        <v>7.3840636171794025E-2</v>
      </c>
      <c r="R4" s="207">
        <v>3228</v>
      </c>
      <c r="S4" s="207">
        <v>1677</v>
      </c>
      <c r="T4" s="217">
        <v>0.51951672862453535</v>
      </c>
      <c r="U4" s="218">
        <v>1.8304220010645569</v>
      </c>
      <c r="V4" s="218">
        <v>4.2866720802027425</v>
      </c>
      <c r="W4" s="207">
        <v>86265</v>
      </c>
      <c r="X4" s="207">
        <v>363227.81221629644</v>
      </c>
      <c r="Y4" s="208">
        <v>3.5515055663654448E-2</v>
      </c>
      <c r="Z4" s="152">
        <v>2.8891367723589054E-4</v>
      </c>
      <c r="AA4" s="159"/>
    </row>
    <row r="5" spans="1:27" ht="15" customHeight="1" x14ac:dyDescent="0.25">
      <c r="A5" s="201" t="s">
        <v>377</v>
      </c>
      <c r="B5" s="209">
        <v>2086</v>
      </c>
      <c r="C5" s="209">
        <v>1167</v>
      </c>
      <c r="D5" s="219">
        <v>0.55944391179290509</v>
      </c>
      <c r="E5" s="220">
        <v>1.7153058485139023</v>
      </c>
      <c r="F5" s="220">
        <v>4.3597538333333334</v>
      </c>
      <c r="G5" s="209">
        <v>61054</v>
      </c>
      <c r="H5" s="209">
        <v>314178.84982550336</v>
      </c>
      <c r="I5" s="210">
        <v>3.2852976795201723E-2</v>
      </c>
      <c r="J5" s="209">
        <v>1142</v>
      </c>
      <c r="K5" s="209">
        <v>510</v>
      </c>
      <c r="L5" s="219">
        <v>0.44658493870402804</v>
      </c>
      <c r="M5" s="220">
        <v>1.9455381536152114</v>
      </c>
      <c r="N5" s="220">
        <v>4.1194438333333343</v>
      </c>
      <c r="O5" s="209">
        <v>25211</v>
      </c>
      <c r="P5" s="209">
        <v>49048.962390793095</v>
      </c>
      <c r="Q5" s="210">
        <v>7.3840636171794025E-2</v>
      </c>
      <c r="R5" s="209">
        <v>3228</v>
      </c>
      <c r="S5" s="209">
        <v>1677</v>
      </c>
      <c r="T5" s="219">
        <v>0.51951672862453535</v>
      </c>
      <c r="U5" s="220">
        <v>1.8304220010645569</v>
      </c>
      <c r="V5" s="220">
        <v>4.2866720802027425</v>
      </c>
      <c r="W5" s="209">
        <v>86265</v>
      </c>
      <c r="X5" s="209">
        <v>363227.81221629644</v>
      </c>
      <c r="Y5" s="210">
        <v>3.5515055663654448E-2</v>
      </c>
      <c r="Z5" s="152">
        <v>6.63851415109409E-5</v>
      </c>
      <c r="AA5" s="159"/>
    </row>
    <row r="6" spans="1:27" ht="15" customHeight="1" x14ac:dyDescent="0.25">
      <c r="A6" s="198" t="s">
        <v>15</v>
      </c>
      <c r="B6" s="207">
        <v>198</v>
      </c>
      <c r="C6" s="207">
        <v>121</v>
      </c>
      <c r="D6" s="217">
        <v>0.61111111111111116</v>
      </c>
      <c r="E6" s="218">
        <v>1.6099047619047619</v>
      </c>
      <c r="F6" s="218">
        <v>4.2858123333333333</v>
      </c>
      <c r="G6" s="207">
        <v>6223</v>
      </c>
      <c r="H6" s="207">
        <v>30055.312000000002</v>
      </c>
      <c r="I6" s="208">
        <v>3.1428164825765925E-3</v>
      </c>
      <c r="J6" s="207">
        <v>44</v>
      </c>
      <c r="K6" s="207">
        <v>17</v>
      </c>
      <c r="L6" s="217">
        <v>0.38636363636363635</v>
      </c>
      <c r="M6" s="218">
        <v>2.0683896103896107</v>
      </c>
      <c r="N6" s="218">
        <v>4.3676465833333342</v>
      </c>
      <c r="O6" s="207">
        <v>891</v>
      </c>
      <c r="P6" s="207">
        <v>1842.9351428571431</v>
      </c>
      <c r="Q6" s="208">
        <v>2.7744420419680798E-3</v>
      </c>
      <c r="R6" s="207">
        <v>242</v>
      </c>
      <c r="S6" s="207">
        <v>138</v>
      </c>
      <c r="T6" s="217">
        <v>0.57024793388429751</v>
      </c>
      <c r="U6" s="218">
        <v>1.8391471861471862</v>
      </c>
      <c r="V6" s="218">
        <v>4.2958933641304338</v>
      </c>
      <c r="W6" s="207">
        <v>7114</v>
      </c>
      <c r="X6" s="207">
        <v>31898.247142857144</v>
      </c>
      <c r="Y6" s="208">
        <v>3.1188911882578333E-3</v>
      </c>
      <c r="Z6" s="152">
        <v>1.2310595684064826E-2</v>
      </c>
      <c r="AA6" s="159"/>
    </row>
    <row r="7" spans="1:27" ht="15" customHeight="1" x14ac:dyDescent="0.25">
      <c r="A7" s="201" t="s">
        <v>320</v>
      </c>
      <c r="B7" s="209">
        <v>198</v>
      </c>
      <c r="C7" s="209">
        <v>121</v>
      </c>
      <c r="D7" s="219">
        <v>0.61111111111111116</v>
      </c>
      <c r="E7" s="220">
        <v>1.6099047619047619</v>
      </c>
      <c r="F7" s="220">
        <v>4.2858123333333333</v>
      </c>
      <c r="G7" s="209">
        <v>6223</v>
      </c>
      <c r="H7" s="209">
        <v>30055.312000000002</v>
      </c>
      <c r="I7" s="210">
        <v>3.1428164825765925E-3</v>
      </c>
      <c r="J7" s="209">
        <v>44</v>
      </c>
      <c r="K7" s="209">
        <v>17</v>
      </c>
      <c r="L7" s="219">
        <v>0.38636363636363635</v>
      </c>
      <c r="M7" s="220">
        <v>2.0683896103896107</v>
      </c>
      <c r="N7" s="220">
        <v>4.3676465833333342</v>
      </c>
      <c r="O7" s="209">
        <v>891</v>
      </c>
      <c r="P7" s="209">
        <v>1842.9351428571431</v>
      </c>
      <c r="Q7" s="210">
        <v>2.7744420419680798E-3</v>
      </c>
      <c r="R7" s="209">
        <v>242</v>
      </c>
      <c r="S7" s="209">
        <v>138</v>
      </c>
      <c r="T7" s="219">
        <v>0.57024793388429751</v>
      </c>
      <c r="U7" s="220">
        <v>1.8391471861471862</v>
      </c>
      <c r="V7" s="220">
        <v>4.2958933641304338</v>
      </c>
      <c r="W7" s="209">
        <v>7114</v>
      </c>
      <c r="X7" s="209">
        <v>31898.247142857144</v>
      </c>
      <c r="Y7" s="210">
        <v>3.1188911882578333E-3</v>
      </c>
      <c r="Z7" s="152">
        <v>1.1610207118974309E-2</v>
      </c>
      <c r="AA7" s="159"/>
    </row>
    <row r="8" spans="1:27" ht="15" customHeight="1" x14ac:dyDescent="0.25">
      <c r="A8" s="198" t="s">
        <v>16</v>
      </c>
      <c r="B8" s="207">
        <v>13</v>
      </c>
      <c r="C8" s="207">
        <v>12</v>
      </c>
      <c r="D8" s="217">
        <v>0.92307692307692313</v>
      </c>
      <c r="E8" s="218">
        <v>1.0833333333333335</v>
      </c>
      <c r="F8" s="218">
        <v>4.5069440833333339</v>
      </c>
      <c r="G8" s="207">
        <v>649</v>
      </c>
      <c r="H8" s="207">
        <v>2109.2500000000005</v>
      </c>
      <c r="I8" s="208">
        <v>2.2055953589417666E-4</v>
      </c>
      <c r="J8" s="207">
        <v>5</v>
      </c>
      <c r="K8" s="207">
        <v>5</v>
      </c>
      <c r="L8" s="217">
        <v>1</v>
      </c>
      <c r="M8" s="218">
        <v>1</v>
      </c>
      <c r="N8" s="218">
        <v>3.8666666666666667</v>
      </c>
      <c r="O8" s="207">
        <v>232</v>
      </c>
      <c r="P8" s="207">
        <v>232</v>
      </c>
      <c r="Q8" s="208">
        <v>3.4926381225695104E-4</v>
      </c>
      <c r="R8" s="207">
        <v>18</v>
      </c>
      <c r="S8" s="207">
        <v>17</v>
      </c>
      <c r="T8" s="217">
        <v>0.94444444444444442</v>
      </c>
      <c r="U8" s="218">
        <v>1.0416666666666667</v>
      </c>
      <c r="V8" s="218">
        <v>4.3186271960784319</v>
      </c>
      <c r="W8" s="207">
        <v>881</v>
      </c>
      <c r="X8" s="207">
        <v>2341.2500000000005</v>
      </c>
      <c r="Y8" s="208">
        <v>2.2891866006950122E-4</v>
      </c>
      <c r="Z8" s="152">
        <v>9.1158596389739107E-3</v>
      </c>
      <c r="AA8" s="159"/>
    </row>
    <row r="9" spans="1:27" ht="15" customHeight="1" x14ac:dyDescent="0.25">
      <c r="A9" s="201" t="s">
        <v>319</v>
      </c>
      <c r="B9" s="209">
        <v>13</v>
      </c>
      <c r="C9" s="209">
        <v>12</v>
      </c>
      <c r="D9" s="219">
        <v>0.92307692307692313</v>
      </c>
      <c r="E9" s="220">
        <v>1.0833333333333335</v>
      </c>
      <c r="F9" s="220">
        <v>4.5069440833333339</v>
      </c>
      <c r="G9" s="209">
        <v>649</v>
      </c>
      <c r="H9" s="209">
        <v>2109.2500000000005</v>
      </c>
      <c r="I9" s="210">
        <v>2.2055953589417666E-4</v>
      </c>
      <c r="J9" s="209">
        <v>5</v>
      </c>
      <c r="K9" s="209">
        <v>5</v>
      </c>
      <c r="L9" s="219">
        <v>1</v>
      </c>
      <c r="M9" s="220">
        <v>1</v>
      </c>
      <c r="N9" s="220">
        <v>3.8666666666666667</v>
      </c>
      <c r="O9" s="209">
        <v>232</v>
      </c>
      <c r="P9" s="209">
        <v>232</v>
      </c>
      <c r="Q9" s="210">
        <v>3.4926381225695104E-4</v>
      </c>
      <c r="R9" s="209">
        <v>18</v>
      </c>
      <c r="S9" s="209">
        <v>17</v>
      </c>
      <c r="T9" s="219">
        <v>0.94444444444444442</v>
      </c>
      <c r="U9" s="220">
        <v>1.0416666666666667</v>
      </c>
      <c r="V9" s="220">
        <v>4.3186271960784319</v>
      </c>
      <c r="W9" s="209">
        <v>881</v>
      </c>
      <c r="X9" s="209">
        <v>2341.2500000000005</v>
      </c>
      <c r="Y9" s="210">
        <v>2.2891866006950122E-4</v>
      </c>
      <c r="Z9" s="152">
        <v>2.5091959241809645E-3</v>
      </c>
      <c r="AA9" s="159"/>
    </row>
    <row r="10" spans="1:27" ht="15" customHeight="1" x14ac:dyDescent="0.25">
      <c r="A10" s="198" t="s">
        <v>489</v>
      </c>
      <c r="B10" s="207">
        <v>499</v>
      </c>
      <c r="C10" s="207">
        <v>278</v>
      </c>
      <c r="D10" s="217">
        <v>0.55711422845691383</v>
      </c>
      <c r="E10" s="218">
        <v>1.7200584025193244</v>
      </c>
      <c r="F10" s="218">
        <v>4.423260916666667</v>
      </c>
      <c r="G10" s="207">
        <v>14756</v>
      </c>
      <c r="H10" s="207">
        <v>76143.545362725446</v>
      </c>
      <c r="I10" s="208">
        <v>7.9621595479625017E-3</v>
      </c>
      <c r="J10" s="207">
        <v>107</v>
      </c>
      <c r="K10" s="207">
        <v>42</v>
      </c>
      <c r="L10" s="217">
        <v>0.3925233644859813</v>
      </c>
      <c r="M10" s="218">
        <v>2.0558237650200266</v>
      </c>
      <c r="N10" s="218">
        <v>4.1408725000000004</v>
      </c>
      <c r="O10" s="207">
        <v>2087</v>
      </c>
      <c r="P10" s="207">
        <v>4290.5041975967952</v>
      </c>
      <c r="Q10" s="208">
        <v>6.4591286748151185E-3</v>
      </c>
      <c r="R10" s="207">
        <v>606</v>
      </c>
      <c r="S10" s="207">
        <v>320</v>
      </c>
      <c r="T10" s="217">
        <v>0.528052805280528</v>
      </c>
      <c r="U10" s="218">
        <v>1.8879410837696755</v>
      </c>
      <c r="V10" s="218">
        <v>4.3861974369791659</v>
      </c>
      <c r="W10" s="207">
        <v>16843</v>
      </c>
      <c r="X10" s="207">
        <v>80434.049560322237</v>
      </c>
      <c r="Y10" s="208">
        <v>7.8645402453017908E-3</v>
      </c>
      <c r="Z10" s="152">
        <v>1.6654817321814413E-4</v>
      </c>
      <c r="AA10" s="159"/>
    </row>
    <row r="11" spans="1:27" ht="15" customHeight="1" x14ac:dyDescent="0.25">
      <c r="A11" s="201" t="s">
        <v>488</v>
      </c>
      <c r="B11" s="209">
        <v>499</v>
      </c>
      <c r="C11" s="209">
        <v>278</v>
      </c>
      <c r="D11" s="219">
        <v>0.55711422845691383</v>
      </c>
      <c r="E11" s="220">
        <v>1.7200584025193244</v>
      </c>
      <c r="F11" s="220">
        <v>4.423260916666667</v>
      </c>
      <c r="G11" s="209">
        <v>14756</v>
      </c>
      <c r="H11" s="209">
        <v>76143.545362725446</v>
      </c>
      <c r="I11" s="210">
        <v>7.9621595479625017E-3</v>
      </c>
      <c r="J11" s="209">
        <v>107</v>
      </c>
      <c r="K11" s="209">
        <v>42</v>
      </c>
      <c r="L11" s="219">
        <v>0.3925233644859813</v>
      </c>
      <c r="M11" s="220">
        <v>2.0558237650200266</v>
      </c>
      <c r="N11" s="220">
        <v>4.1408725000000004</v>
      </c>
      <c r="O11" s="209">
        <v>2087</v>
      </c>
      <c r="P11" s="209">
        <v>4290.5041975967952</v>
      </c>
      <c r="Q11" s="210">
        <v>6.4591286748151185E-3</v>
      </c>
      <c r="R11" s="209">
        <v>606</v>
      </c>
      <c r="S11" s="209">
        <v>320</v>
      </c>
      <c r="T11" s="219">
        <v>0.528052805280528</v>
      </c>
      <c r="U11" s="220">
        <v>1.8879410837696755</v>
      </c>
      <c r="V11" s="220">
        <v>4.3861974369791659</v>
      </c>
      <c r="W11" s="209">
        <v>16843</v>
      </c>
      <c r="X11" s="209">
        <v>80434.049560322237</v>
      </c>
      <c r="Y11" s="210">
        <v>7.8645402453017908E-3</v>
      </c>
      <c r="Z11" s="152">
        <v>2.5661624008597539E-4</v>
      </c>
      <c r="AA11" s="159"/>
    </row>
    <row r="12" spans="1:27" ht="15" customHeight="1" x14ac:dyDescent="0.25">
      <c r="A12" s="198" t="s">
        <v>17</v>
      </c>
      <c r="B12" s="207">
        <v>229</v>
      </c>
      <c r="C12" s="207">
        <v>162</v>
      </c>
      <c r="D12" s="217">
        <v>0.70742358078602618</v>
      </c>
      <c r="E12" s="218">
        <v>1.4135802469135803</v>
      </c>
      <c r="F12" s="218">
        <v>4.360081666666666</v>
      </c>
      <c r="G12" s="207">
        <v>8476</v>
      </c>
      <c r="H12" s="207">
        <v>35944.518518518518</v>
      </c>
      <c r="I12" s="208">
        <v>3.7586375832092361E-3</v>
      </c>
      <c r="J12" s="207">
        <v>3</v>
      </c>
      <c r="K12" s="207">
        <v>3</v>
      </c>
      <c r="L12" s="217">
        <v>1</v>
      </c>
      <c r="M12" s="218">
        <v>1</v>
      </c>
      <c r="N12" s="218">
        <v>3.5277774166666673</v>
      </c>
      <c r="O12" s="207">
        <v>127</v>
      </c>
      <c r="P12" s="207">
        <v>127</v>
      </c>
      <c r="Q12" s="208">
        <v>1.9119182826134821E-4</v>
      </c>
      <c r="R12" s="207">
        <v>232</v>
      </c>
      <c r="S12" s="207">
        <v>165</v>
      </c>
      <c r="T12" s="217">
        <v>0.71120689655172409</v>
      </c>
      <c r="U12" s="218">
        <v>1.2067901234567902</v>
      </c>
      <c r="V12" s="218">
        <v>4.3449488621212105</v>
      </c>
      <c r="W12" s="207">
        <v>8603</v>
      </c>
      <c r="X12" s="207">
        <v>36071.518518518518</v>
      </c>
      <c r="Y12" s="208">
        <v>3.5269380399066555E-3</v>
      </c>
      <c r="Z12" s="152">
        <v>2.9728392432564469E-4</v>
      </c>
      <c r="AA12" s="159"/>
    </row>
    <row r="13" spans="1:27" ht="15" customHeight="1" x14ac:dyDescent="0.25">
      <c r="A13" s="201" t="s">
        <v>318</v>
      </c>
      <c r="B13" s="209">
        <v>229</v>
      </c>
      <c r="C13" s="209">
        <v>162</v>
      </c>
      <c r="D13" s="219">
        <v>0.70742358078602618</v>
      </c>
      <c r="E13" s="220">
        <v>1.4135802469135803</v>
      </c>
      <c r="F13" s="220">
        <v>4.360081666666666</v>
      </c>
      <c r="G13" s="209">
        <v>8476</v>
      </c>
      <c r="H13" s="209">
        <v>35944.518518518518</v>
      </c>
      <c r="I13" s="210">
        <v>3.7586375832092361E-3</v>
      </c>
      <c r="J13" s="209">
        <v>3</v>
      </c>
      <c r="K13" s="209">
        <v>3</v>
      </c>
      <c r="L13" s="219">
        <v>1</v>
      </c>
      <c r="M13" s="220">
        <v>1</v>
      </c>
      <c r="N13" s="220">
        <v>3.5277774166666673</v>
      </c>
      <c r="O13" s="209">
        <v>127</v>
      </c>
      <c r="P13" s="209">
        <v>127</v>
      </c>
      <c r="Q13" s="210">
        <v>1.9119182826134821E-4</v>
      </c>
      <c r="R13" s="209">
        <v>232</v>
      </c>
      <c r="S13" s="209">
        <v>165</v>
      </c>
      <c r="T13" s="219">
        <v>0.71120689655172409</v>
      </c>
      <c r="U13" s="220">
        <v>1.2067901234567902</v>
      </c>
      <c r="V13" s="220">
        <v>4.3449488621212105</v>
      </c>
      <c r="W13" s="209">
        <v>8603</v>
      </c>
      <c r="X13" s="209">
        <v>36071.518518518518</v>
      </c>
      <c r="Y13" s="210">
        <v>3.5269380399066555E-3</v>
      </c>
      <c r="Z13" s="152">
        <v>6.5262376765355061E-4</v>
      </c>
      <c r="AA13" s="159"/>
    </row>
    <row r="14" spans="1:27" ht="15" customHeight="1" x14ac:dyDescent="0.25">
      <c r="A14" s="198" t="s">
        <v>494</v>
      </c>
      <c r="B14" s="207">
        <v>91</v>
      </c>
      <c r="C14" s="207">
        <v>65</v>
      </c>
      <c r="D14" s="217">
        <v>0.7142857142857143</v>
      </c>
      <c r="E14" s="218">
        <v>1.4000000000000001</v>
      </c>
      <c r="F14" s="218">
        <v>4.5153839166666669</v>
      </c>
      <c r="G14" s="207">
        <v>3522</v>
      </c>
      <c r="H14" s="207">
        <v>14792.400000000001</v>
      </c>
      <c r="I14" s="208">
        <v>1.546808049667426E-3</v>
      </c>
      <c r="J14" s="207">
        <v>4</v>
      </c>
      <c r="K14" s="207">
        <v>3</v>
      </c>
      <c r="L14" s="217">
        <v>0.75</v>
      </c>
      <c r="M14" s="218">
        <v>1.3333333333333333</v>
      </c>
      <c r="N14" s="218">
        <v>4.4722220000000004</v>
      </c>
      <c r="O14" s="207">
        <v>161</v>
      </c>
      <c r="P14" s="207">
        <v>214.66666666666666</v>
      </c>
      <c r="Q14" s="208">
        <v>3.2316938950212136E-4</v>
      </c>
      <c r="R14" s="207">
        <v>95</v>
      </c>
      <c r="S14" s="207">
        <v>68</v>
      </c>
      <c r="T14" s="217">
        <v>0.71578947368421053</v>
      </c>
      <c r="U14" s="218">
        <v>1.3666666666666667</v>
      </c>
      <c r="V14" s="218">
        <v>4.5134797144607841</v>
      </c>
      <c r="W14" s="207">
        <v>3683</v>
      </c>
      <c r="X14" s="207">
        <v>15007.066666666668</v>
      </c>
      <c r="Y14" s="208">
        <v>1.4673347967568645E-3</v>
      </c>
      <c r="Z14" s="152">
        <v>2.719099550711257E-3</v>
      </c>
      <c r="AA14" s="159"/>
    </row>
    <row r="15" spans="1:27" ht="15" customHeight="1" x14ac:dyDescent="0.25">
      <c r="A15" s="201" t="s">
        <v>316</v>
      </c>
      <c r="B15" s="209">
        <v>91</v>
      </c>
      <c r="C15" s="209">
        <v>65</v>
      </c>
      <c r="D15" s="219">
        <v>0.7142857142857143</v>
      </c>
      <c r="E15" s="220">
        <v>1.4000000000000001</v>
      </c>
      <c r="F15" s="220">
        <v>4.5153839166666669</v>
      </c>
      <c r="G15" s="209">
        <v>3522</v>
      </c>
      <c r="H15" s="209">
        <v>14792.400000000001</v>
      </c>
      <c r="I15" s="210">
        <v>1.546808049667426E-3</v>
      </c>
      <c r="J15" s="209">
        <v>4</v>
      </c>
      <c r="K15" s="209">
        <v>3</v>
      </c>
      <c r="L15" s="219">
        <v>0.75</v>
      </c>
      <c r="M15" s="220">
        <v>1.3333333333333333</v>
      </c>
      <c r="N15" s="220">
        <v>4.4722220000000004</v>
      </c>
      <c r="O15" s="209">
        <v>161</v>
      </c>
      <c r="P15" s="209">
        <v>214.66666666666666</v>
      </c>
      <c r="Q15" s="210">
        <v>3.2316938950212136E-4</v>
      </c>
      <c r="R15" s="209">
        <v>95</v>
      </c>
      <c r="S15" s="209">
        <v>68</v>
      </c>
      <c r="T15" s="219">
        <v>0.71578947368421053</v>
      </c>
      <c r="U15" s="220">
        <v>1.3666666666666667</v>
      </c>
      <c r="V15" s="220">
        <v>4.5134797144607841</v>
      </c>
      <c r="W15" s="209">
        <v>3683</v>
      </c>
      <c r="X15" s="209">
        <v>15007.066666666668</v>
      </c>
      <c r="Y15" s="210">
        <v>1.4673347967568645E-3</v>
      </c>
      <c r="Z15" s="152">
        <v>2.122353888709317E-2</v>
      </c>
      <c r="AA15" s="159"/>
    </row>
    <row r="16" spans="1:27" ht="15" customHeight="1" x14ac:dyDescent="0.25">
      <c r="A16" s="198" t="s">
        <v>19</v>
      </c>
      <c r="B16" s="207">
        <v>643</v>
      </c>
      <c r="C16" s="207">
        <v>307</v>
      </c>
      <c r="D16" s="217">
        <v>0.47744945567651631</v>
      </c>
      <c r="E16" s="218">
        <v>1.8825745389913353</v>
      </c>
      <c r="F16" s="218">
        <v>4.2825727499999999</v>
      </c>
      <c r="G16" s="207">
        <v>15777</v>
      </c>
      <c r="H16" s="207">
        <v>89104.135504998892</v>
      </c>
      <c r="I16" s="208">
        <v>9.3174193543839653E-3</v>
      </c>
      <c r="J16" s="207">
        <v>281</v>
      </c>
      <c r="K16" s="207">
        <v>100</v>
      </c>
      <c r="L16" s="217">
        <v>0.35587188612099646</v>
      </c>
      <c r="M16" s="218">
        <v>2.1305927808845957</v>
      </c>
      <c r="N16" s="218">
        <v>4.0783333333333331</v>
      </c>
      <c r="O16" s="207">
        <v>4894</v>
      </c>
      <c r="P16" s="207">
        <v>10427.121069649211</v>
      </c>
      <c r="Q16" s="208">
        <v>1.5697482998493363E-2</v>
      </c>
      <c r="R16" s="207">
        <v>924</v>
      </c>
      <c r="S16" s="207">
        <v>407</v>
      </c>
      <c r="T16" s="217">
        <v>0.44047619047619047</v>
      </c>
      <c r="U16" s="218">
        <v>2.0065836599379656</v>
      </c>
      <c r="V16" s="218">
        <v>4.2323910751433251</v>
      </c>
      <c r="W16" s="207">
        <v>20671</v>
      </c>
      <c r="X16" s="207">
        <v>99531.256574648098</v>
      </c>
      <c r="Y16" s="208">
        <v>9.7317936530068004E-3</v>
      </c>
      <c r="Z16" s="152">
        <v>1.6340402492553466E-3</v>
      </c>
      <c r="AA16" s="159"/>
    </row>
    <row r="17" spans="1:27" ht="15" customHeight="1" x14ac:dyDescent="0.25">
      <c r="A17" s="201" t="s">
        <v>315</v>
      </c>
      <c r="B17" s="209">
        <v>643</v>
      </c>
      <c r="C17" s="209">
        <v>307</v>
      </c>
      <c r="D17" s="219">
        <v>0.47744945567651631</v>
      </c>
      <c r="E17" s="220">
        <v>1.8825745389913353</v>
      </c>
      <c r="F17" s="220">
        <v>4.2825727499999999</v>
      </c>
      <c r="G17" s="209">
        <v>15777</v>
      </c>
      <c r="H17" s="209">
        <v>89104.135504998892</v>
      </c>
      <c r="I17" s="210">
        <v>9.3174193543839653E-3</v>
      </c>
      <c r="J17" s="209">
        <v>281</v>
      </c>
      <c r="K17" s="209">
        <v>100</v>
      </c>
      <c r="L17" s="219">
        <v>0.35587188612099646</v>
      </c>
      <c r="M17" s="220">
        <v>2.1305927808845957</v>
      </c>
      <c r="N17" s="220">
        <v>4.0783333333333331</v>
      </c>
      <c r="O17" s="209">
        <v>4894</v>
      </c>
      <c r="P17" s="209">
        <v>10427.121069649211</v>
      </c>
      <c r="Q17" s="210">
        <v>1.5697482998493363E-2</v>
      </c>
      <c r="R17" s="209">
        <v>924</v>
      </c>
      <c r="S17" s="209">
        <v>407</v>
      </c>
      <c r="T17" s="219">
        <v>0.44047619047619047</v>
      </c>
      <c r="U17" s="220">
        <v>2.0065836599379656</v>
      </c>
      <c r="V17" s="220">
        <v>4.2323910751433251</v>
      </c>
      <c r="W17" s="209">
        <v>20671</v>
      </c>
      <c r="X17" s="209">
        <v>99531.256574648098</v>
      </c>
      <c r="Y17" s="210">
        <v>9.7317936530068004E-3</v>
      </c>
      <c r="Z17" s="152">
        <v>2.0554519476173949E-4</v>
      </c>
      <c r="AA17" s="159"/>
    </row>
    <row r="18" spans="1:27" ht="15" customHeight="1" x14ac:dyDescent="0.25">
      <c r="A18" s="198" t="s">
        <v>148</v>
      </c>
      <c r="B18" s="207">
        <v>1402</v>
      </c>
      <c r="C18" s="207">
        <v>805</v>
      </c>
      <c r="D18" s="217">
        <v>0.57417974322396581</v>
      </c>
      <c r="E18" s="218">
        <v>1.6852447523945384</v>
      </c>
      <c r="F18" s="218">
        <v>4.3747405833333328</v>
      </c>
      <c r="G18" s="207">
        <v>42260</v>
      </c>
      <c r="H18" s="207">
        <v>213655.32970857958</v>
      </c>
      <c r="I18" s="208">
        <v>2.2341458035719613E-2</v>
      </c>
      <c r="J18" s="207">
        <v>748</v>
      </c>
      <c r="K18" s="207">
        <v>257</v>
      </c>
      <c r="L18" s="217">
        <v>0.34358288770053474</v>
      </c>
      <c r="M18" s="218">
        <v>2.1556623376623376</v>
      </c>
      <c r="N18" s="218">
        <v>4.258754333333334</v>
      </c>
      <c r="O18" s="207">
        <v>13134</v>
      </c>
      <c r="P18" s="207">
        <v>28312.469142857142</v>
      </c>
      <c r="Q18" s="208">
        <v>4.2622934945006796E-2</v>
      </c>
      <c r="R18" s="207">
        <v>2150</v>
      </c>
      <c r="S18" s="207">
        <v>1062</v>
      </c>
      <c r="T18" s="217">
        <v>0.49395348837209302</v>
      </c>
      <c r="U18" s="218">
        <v>1.9204535450284381</v>
      </c>
      <c r="V18" s="218">
        <v>4.3466723476930325</v>
      </c>
      <c r="W18" s="207">
        <v>55394</v>
      </c>
      <c r="X18" s="207">
        <v>241967.79885143673</v>
      </c>
      <c r="Y18" s="208">
        <v>2.3658705517581414E-2</v>
      </c>
      <c r="Z18" s="152">
        <v>7.2847964705531143E-4</v>
      </c>
      <c r="AA18" s="159"/>
    </row>
    <row r="19" spans="1:27" ht="15" customHeight="1" x14ac:dyDescent="0.25">
      <c r="A19" s="201" t="s">
        <v>174</v>
      </c>
      <c r="B19" s="209">
        <v>1402</v>
      </c>
      <c r="C19" s="209">
        <v>805</v>
      </c>
      <c r="D19" s="219">
        <v>0.57417974322396581</v>
      </c>
      <c r="E19" s="220">
        <v>1.6852447523945384</v>
      </c>
      <c r="F19" s="220">
        <v>4.3747405833333328</v>
      </c>
      <c r="G19" s="209">
        <v>42260</v>
      </c>
      <c r="H19" s="209">
        <v>213655.32970857958</v>
      </c>
      <c r="I19" s="210">
        <v>2.2341458035719613E-2</v>
      </c>
      <c r="J19" s="209">
        <v>748</v>
      </c>
      <c r="K19" s="209">
        <v>257</v>
      </c>
      <c r="L19" s="219">
        <v>0.34358288770053474</v>
      </c>
      <c r="M19" s="220">
        <v>2.1556623376623376</v>
      </c>
      <c r="N19" s="220">
        <v>4.258754333333334</v>
      </c>
      <c r="O19" s="209">
        <v>13134</v>
      </c>
      <c r="P19" s="209">
        <v>28312.469142857142</v>
      </c>
      <c r="Q19" s="210">
        <v>4.2622934945006796E-2</v>
      </c>
      <c r="R19" s="209">
        <v>2150</v>
      </c>
      <c r="S19" s="209">
        <v>1062</v>
      </c>
      <c r="T19" s="219">
        <v>0.49395348837209302</v>
      </c>
      <c r="U19" s="220">
        <v>1.9204535450284381</v>
      </c>
      <c r="V19" s="220">
        <v>4.3466723476930325</v>
      </c>
      <c r="W19" s="209">
        <v>55394</v>
      </c>
      <c r="X19" s="209">
        <v>241967.79885143673</v>
      </c>
      <c r="Y19" s="210">
        <v>2.3658705517581414E-2</v>
      </c>
      <c r="Z19" s="152">
        <v>1.2244055233337991E-3</v>
      </c>
      <c r="AA19" s="159"/>
    </row>
    <row r="20" spans="1:27" ht="15" customHeight="1" x14ac:dyDescent="0.25">
      <c r="A20" s="198" t="s">
        <v>20</v>
      </c>
      <c r="B20" s="207">
        <v>6</v>
      </c>
      <c r="C20" s="207">
        <v>6</v>
      </c>
      <c r="D20" s="217">
        <v>1</v>
      </c>
      <c r="E20" s="218">
        <v>1</v>
      </c>
      <c r="F20" s="218">
        <v>4.2083331666666668</v>
      </c>
      <c r="G20" s="207">
        <v>303</v>
      </c>
      <c r="H20" s="207">
        <v>909</v>
      </c>
      <c r="I20" s="208">
        <v>9.505208871769897E-5</v>
      </c>
      <c r="J20" s="223"/>
      <c r="K20" s="223"/>
      <c r="L20" s="223"/>
      <c r="M20" s="223"/>
      <c r="N20" s="223"/>
      <c r="O20" s="223"/>
      <c r="P20" s="223"/>
      <c r="Q20" s="223"/>
      <c r="R20" s="207">
        <v>6</v>
      </c>
      <c r="S20" s="207">
        <v>6</v>
      </c>
      <c r="T20" s="217">
        <v>1</v>
      </c>
      <c r="U20" s="218">
        <v>1</v>
      </c>
      <c r="V20" s="218">
        <v>4.2083331666666668</v>
      </c>
      <c r="W20" s="207">
        <v>303</v>
      </c>
      <c r="X20" s="207">
        <v>909</v>
      </c>
      <c r="Y20" s="208">
        <v>8.8878616979466769E-5</v>
      </c>
      <c r="Z20" s="152">
        <v>9.1514386470749657E-4</v>
      </c>
      <c r="AA20" s="159"/>
    </row>
    <row r="21" spans="1:27" ht="15" customHeight="1" x14ac:dyDescent="0.25">
      <c r="A21" s="201" t="s">
        <v>314</v>
      </c>
      <c r="B21" s="209">
        <v>6</v>
      </c>
      <c r="C21" s="209">
        <v>6</v>
      </c>
      <c r="D21" s="219">
        <v>1</v>
      </c>
      <c r="E21" s="220">
        <v>1</v>
      </c>
      <c r="F21" s="220">
        <v>4.2083331666666668</v>
      </c>
      <c r="G21" s="209">
        <v>303</v>
      </c>
      <c r="H21" s="209">
        <v>909</v>
      </c>
      <c r="I21" s="210">
        <v>9.505208871769897E-5</v>
      </c>
      <c r="J21" s="224"/>
      <c r="K21" s="224"/>
      <c r="L21" s="224"/>
      <c r="M21" s="224"/>
      <c r="N21" s="224"/>
      <c r="O21" s="224"/>
      <c r="P21" s="224"/>
      <c r="Q21" s="224"/>
      <c r="R21" s="209">
        <v>6</v>
      </c>
      <c r="S21" s="209">
        <v>6</v>
      </c>
      <c r="T21" s="219">
        <v>1</v>
      </c>
      <c r="U21" s="220">
        <v>1</v>
      </c>
      <c r="V21" s="220">
        <v>4.2083331666666668</v>
      </c>
      <c r="W21" s="209">
        <v>303</v>
      </c>
      <c r="X21" s="209">
        <v>909</v>
      </c>
      <c r="Y21" s="210">
        <v>8.8878616979466769E-5</v>
      </c>
      <c r="Z21" s="152">
        <v>1.3866293765207596E-3</v>
      </c>
      <c r="AA21" s="159"/>
    </row>
    <row r="22" spans="1:27" ht="15" customHeight="1" x14ac:dyDescent="0.25">
      <c r="A22" s="198" t="s">
        <v>21</v>
      </c>
      <c r="B22" s="207">
        <v>2520</v>
      </c>
      <c r="C22" s="207">
        <v>1265</v>
      </c>
      <c r="D22" s="217">
        <v>0.50198412698412698</v>
      </c>
      <c r="E22" s="218">
        <v>1.8325238095238097</v>
      </c>
      <c r="F22" s="218">
        <v>4.3512309444444446</v>
      </c>
      <c r="G22" s="207">
        <v>64924</v>
      </c>
      <c r="H22" s="207">
        <v>356924.32742857147</v>
      </c>
      <c r="I22" s="208">
        <v>3.7322775397409913E-2</v>
      </c>
      <c r="J22" s="207">
        <v>345</v>
      </c>
      <c r="K22" s="207">
        <v>123</v>
      </c>
      <c r="L22" s="217">
        <v>0.35652173913043478</v>
      </c>
      <c r="M22" s="218">
        <v>2.1292670807453415</v>
      </c>
      <c r="N22" s="218">
        <v>4.118563</v>
      </c>
      <c r="O22" s="207">
        <v>6079</v>
      </c>
      <c r="P22" s="207">
        <v>12943.814583850932</v>
      </c>
      <c r="Q22" s="208">
        <v>1.9486232873719384E-2</v>
      </c>
      <c r="R22" s="207">
        <v>2865</v>
      </c>
      <c r="S22" s="207">
        <v>1388</v>
      </c>
      <c r="T22" s="217">
        <v>0.48446771378708553</v>
      </c>
      <c r="U22" s="218">
        <v>1.9808954451345757</v>
      </c>
      <c r="V22" s="218">
        <v>4.3370670458219909</v>
      </c>
      <c r="W22" s="207">
        <v>71003</v>
      </c>
      <c r="X22" s="207">
        <v>369868.14201242238</v>
      </c>
      <c r="Y22" s="208">
        <v>3.6164322251737192E-2</v>
      </c>
      <c r="Z22" s="152">
        <v>1.8999269536258947E-4</v>
      </c>
      <c r="AA22" s="159"/>
    </row>
    <row r="23" spans="1:27" ht="15" customHeight="1" x14ac:dyDescent="0.25">
      <c r="A23" s="201" t="s">
        <v>313</v>
      </c>
      <c r="B23" s="209">
        <v>2520</v>
      </c>
      <c r="C23" s="209">
        <v>1265</v>
      </c>
      <c r="D23" s="219">
        <v>0.50198412698412698</v>
      </c>
      <c r="E23" s="220">
        <v>1.8325238095238097</v>
      </c>
      <c r="F23" s="220">
        <v>4.3512309444444446</v>
      </c>
      <c r="G23" s="209">
        <v>64924</v>
      </c>
      <c r="H23" s="209">
        <v>356924.32742857147</v>
      </c>
      <c r="I23" s="210">
        <v>3.7322775397409913E-2</v>
      </c>
      <c r="J23" s="209">
        <v>345</v>
      </c>
      <c r="K23" s="209">
        <v>123</v>
      </c>
      <c r="L23" s="219">
        <v>0.35652173913043478</v>
      </c>
      <c r="M23" s="220">
        <v>2.1292670807453415</v>
      </c>
      <c r="N23" s="220">
        <v>4.118563</v>
      </c>
      <c r="O23" s="209">
        <v>6079</v>
      </c>
      <c r="P23" s="209">
        <v>12943.814583850932</v>
      </c>
      <c r="Q23" s="210">
        <v>1.9486232873719384E-2</v>
      </c>
      <c r="R23" s="209">
        <v>2865</v>
      </c>
      <c r="S23" s="209">
        <v>1388</v>
      </c>
      <c r="T23" s="219">
        <v>0.48446771378708553</v>
      </c>
      <c r="U23" s="220">
        <v>1.9808954451345757</v>
      </c>
      <c r="V23" s="220">
        <v>4.3370670458219909</v>
      </c>
      <c r="W23" s="209">
        <v>71003</v>
      </c>
      <c r="X23" s="209">
        <v>369868.14201242238</v>
      </c>
      <c r="Y23" s="210">
        <v>3.6164322251737192E-2</v>
      </c>
      <c r="Z23" s="152">
        <v>1.493303411291576E-3</v>
      </c>
      <c r="AA23" s="159"/>
    </row>
    <row r="24" spans="1:27" ht="15" customHeight="1" x14ac:dyDescent="0.25">
      <c r="A24" s="198" t="s">
        <v>22</v>
      </c>
      <c r="B24" s="207">
        <v>1102</v>
      </c>
      <c r="C24" s="207">
        <v>619</v>
      </c>
      <c r="D24" s="217">
        <v>0.56170598911070779</v>
      </c>
      <c r="E24" s="218">
        <v>1.7106912107855845</v>
      </c>
      <c r="F24" s="218">
        <v>4.2272477500000001</v>
      </c>
      <c r="G24" s="207">
        <v>31400</v>
      </c>
      <c r="H24" s="207">
        <v>161147.11205600205</v>
      </c>
      <c r="I24" s="208">
        <v>1.6850791630085901E-2</v>
      </c>
      <c r="J24" s="207">
        <v>254</v>
      </c>
      <c r="K24" s="207">
        <v>117</v>
      </c>
      <c r="L24" s="217">
        <v>0.46062992125984253</v>
      </c>
      <c r="M24" s="218">
        <v>1.9168863892013499</v>
      </c>
      <c r="N24" s="218">
        <v>4.040597916666667</v>
      </c>
      <c r="O24" s="207">
        <v>5673</v>
      </c>
      <c r="P24" s="207">
        <v>10874.496485939258</v>
      </c>
      <c r="Q24" s="208">
        <v>1.6370983185577427E-2</v>
      </c>
      <c r="R24" s="207">
        <v>1356</v>
      </c>
      <c r="S24" s="207">
        <v>736</v>
      </c>
      <c r="T24" s="217">
        <v>0.54277286135693215</v>
      </c>
      <c r="U24" s="218">
        <v>1.8137887999934672</v>
      </c>
      <c r="V24" s="218">
        <v>4.1975765129076077</v>
      </c>
      <c r="W24" s="207">
        <v>37073</v>
      </c>
      <c r="X24" s="207">
        <v>172021.6085419413</v>
      </c>
      <c r="Y24" s="208">
        <v>1.6819628886458712E-2</v>
      </c>
      <c r="Z24" s="152">
        <v>1.2696356580088222E-3</v>
      </c>
      <c r="AA24" s="159"/>
    </row>
    <row r="25" spans="1:27" ht="15" customHeight="1" x14ac:dyDescent="0.25">
      <c r="A25" s="201" t="s">
        <v>312</v>
      </c>
      <c r="B25" s="209">
        <v>1102</v>
      </c>
      <c r="C25" s="209">
        <v>619</v>
      </c>
      <c r="D25" s="219">
        <v>0.56170598911070779</v>
      </c>
      <c r="E25" s="220">
        <v>1.7106912107855845</v>
      </c>
      <c r="F25" s="220">
        <v>4.2272477500000001</v>
      </c>
      <c r="G25" s="209">
        <v>31400</v>
      </c>
      <c r="H25" s="209">
        <v>161147.11205600205</v>
      </c>
      <c r="I25" s="210">
        <v>1.6850791630085901E-2</v>
      </c>
      <c r="J25" s="209">
        <v>254</v>
      </c>
      <c r="K25" s="209">
        <v>117</v>
      </c>
      <c r="L25" s="219">
        <v>0.46062992125984253</v>
      </c>
      <c r="M25" s="220">
        <v>1.9168863892013499</v>
      </c>
      <c r="N25" s="220">
        <v>4.040597916666667</v>
      </c>
      <c r="O25" s="209">
        <v>5673</v>
      </c>
      <c r="P25" s="209">
        <v>10874.496485939258</v>
      </c>
      <c r="Q25" s="210">
        <v>1.6370983185577427E-2</v>
      </c>
      <c r="R25" s="209">
        <v>1356</v>
      </c>
      <c r="S25" s="209">
        <v>736</v>
      </c>
      <c r="T25" s="219">
        <v>0.54277286135693215</v>
      </c>
      <c r="U25" s="220">
        <v>1.8137887999934672</v>
      </c>
      <c r="V25" s="220">
        <v>4.1975765129076077</v>
      </c>
      <c r="W25" s="209">
        <v>37073</v>
      </c>
      <c r="X25" s="209">
        <v>172021.6085419413</v>
      </c>
      <c r="Y25" s="210">
        <v>1.6819628886458712E-2</v>
      </c>
      <c r="Z25" s="152">
        <v>2.4784203634001288E-4</v>
      </c>
      <c r="AA25" s="159"/>
    </row>
    <row r="26" spans="1:27" ht="15" customHeight="1" x14ac:dyDescent="0.25">
      <c r="A26" s="198" t="s">
        <v>23</v>
      </c>
      <c r="B26" s="207">
        <v>812</v>
      </c>
      <c r="C26" s="207">
        <v>420</v>
      </c>
      <c r="D26" s="217">
        <v>0.51724137931034486</v>
      </c>
      <c r="E26" s="218">
        <v>1.8013990147783252</v>
      </c>
      <c r="F26" s="218">
        <v>4.2398804999999991</v>
      </c>
      <c r="G26" s="207">
        <v>21369</v>
      </c>
      <c r="H26" s="207">
        <v>115482.2866403941</v>
      </c>
      <c r="I26" s="208">
        <v>1.2075723382910322E-2</v>
      </c>
      <c r="J26" s="207">
        <v>191</v>
      </c>
      <c r="K26" s="207">
        <v>102</v>
      </c>
      <c r="L26" s="217">
        <v>0.53403141361256545</v>
      </c>
      <c r="M26" s="218">
        <v>1.7671473448017951</v>
      </c>
      <c r="N26" s="218">
        <v>4.5363032222222222</v>
      </c>
      <c r="O26" s="207">
        <v>5273</v>
      </c>
      <c r="P26" s="207">
        <v>9318.1679491398663</v>
      </c>
      <c r="Q26" s="208">
        <v>1.4028012332616918E-2</v>
      </c>
      <c r="R26" s="207">
        <v>1003</v>
      </c>
      <c r="S26" s="207">
        <v>522</v>
      </c>
      <c r="T26" s="217">
        <v>0.52043868394815551</v>
      </c>
      <c r="U26" s="218">
        <v>1.7842731797900602</v>
      </c>
      <c r="V26" s="218">
        <v>4.3190300226876088</v>
      </c>
      <c r="W26" s="207">
        <v>26642</v>
      </c>
      <c r="X26" s="207">
        <v>124800.45458953397</v>
      </c>
      <c r="Y26" s="208">
        <v>1.2202521234682646E-2</v>
      </c>
      <c r="Z26" s="152">
        <v>3.4867022301607965E-4</v>
      </c>
      <c r="AA26" s="159"/>
    </row>
    <row r="27" spans="1:27" ht="15" customHeight="1" x14ac:dyDescent="0.25">
      <c r="A27" s="201" t="s">
        <v>310</v>
      </c>
      <c r="B27" s="209">
        <v>812</v>
      </c>
      <c r="C27" s="209">
        <v>420</v>
      </c>
      <c r="D27" s="219">
        <v>0.51724137931034486</v>
      </c>
      <c r="E27" s="220">
        <v>1.8013990147783252</v>
      </c>
      <c r="F27" s="220">
        <v>4.2398804999999991</v>
      </c>
      <c r="G27" s="209">
        <v>21369</v>
      </c>
      <c r="H27" s="209">
        <v>115482.2866403941</v>
      </c>
      <c r="I27" s="210">
        <v>1.2075723382910322E-2</v>
      </c>
      <c r="J27" s="209">
        <v>191</v>
      </c>
      <c r="K27" s="209">
        <v>102</v>
      </c>
      <c r="L27" s="219">
        <v>0.53403141361256545</v>
      </c>
      <c r="M27" s="220">
        <v>1.7671473448017951</v>
      </c>
      <c r="N27" s="220">
        <v>4.5363032222222222</v>
      </c>
      <c r="O27" s="209">
        <v>5273</v>
      </c>
      <c r="P27" s="209">
        <v>9318.1679491398663</v>
      </c>
      <c r="Q27" s="210">
        <v>1.4028012332616918E-2</v>
      </c>
      <c r="R27" s="209">
        <v>1003</v>
      </c>
      <c r="S27" s="209">
        <v>522</v>
      </c>
      <c r="T27" s="219">
        <v>0.52043868394815551</v>
      </c>
      <c r="U27" s="220">
        <v>1.7842731797900602</v>
      </c>
      <c r="V27" s="220">
        <v>4.3190300226876088</v>
      </c>
      <c r="W27" s="209">
        <v>26642</v>
      </c>
      <c r="X27" s="209">
        <v>124800.45458953397</v>
      </c>
      <c r="Y27" s="210">
        <v>1.2202521234682646E-2</v>
      </c>
      <c r="Z27" s="152">
        <v>3.7190553963268322E-4</v>
      </c>
      <c r="AA27" s="159"/>
    </row>
    <row r="28" spans="1:27" ht="15" customHeight="1" x14ac:dyDescent="0.25">
      <c r="A28" s="198" t="s">
        <v>24</v>
      </c>
      <c r="B28" s="207">
        <v>12</v>
      </c>
      <c r="C28" s="207">
        <v>11</v>
      </c>
      <c r="D28" s="217">
        <v>0.91666666666666663</v>
      </c>
      <c r="E28" s="218">
        <v>1.0909090909090911</v>
      </c>
      <c r="F28" s="218">
        <v>4.4393933333333342</v>
      </c>
      <c r="G28" s="207">
        <v>586</v>
      </c>
      <c r="H28" s="207">
        <v>1917.818181818182</v>
      </c>
      <c r="I28" s="208">
        <v>2.0054194055291305E-4</v>
      </c>
      <c r="J28" s="223"/>
      <c r="K28" s="223"/>
      <c r="L28" s="223"/>
      <c r="M28" s="223"/>
      <c r="N28" s="223"/>
      <c r="O28" s="223"/>
      <c r="P28" s="223"/>
      <c r="Q28" s="223"/>
      <c r="R28" s="207">
        <v>12</v>
      </c>
      <c r="S28" s="207">
        <v>11</v>
      </c>
      <c r="T28" s="217">
        <v>0.91666666666666663</v>
      </c>
      <c r="U28" s="218">
        <v>1.0909090909090911</v>
      </c>
      <c r="V28" s="218">
        <v>4.4393933333333342</v>
      </c>
      <c r="W28" s="207">
        <v>586</v>
      </c>
      <c r="X28" s="207">
        <v>1917.818181818182</v>
      </c>
      <c r="Y28" s="208">
        <v>1.8751708208809191E-4</v>
      </c>
      <c r="Z28" s="152">
        <v>5.6182766066664529E-4</v>
      </c>
      <c r="AA28" s="159"/>
    </row>
    <row r="29" spans="1:27" ht="15" customHeight="1" x14ac:dyDescent="0.25">
      <c r="A29" s="201" t="s">
        <v>309</v>
      </c>
      <c r="B29" s="209">
        <v>12</v>
      </c>
      <c r="C29" s="209">
        <v>11</v>
      </c>
      <c r="D29" s="219">
        <v>0.91666666666666663</v>
      </c>
      <c r="E29" s="220">
        <v>1.0909090909090911</v>
      </c>
      <c r="F29" s="220">
        <v>4.4393933333333342</v>
      </c>
      <c r="G29" s="209">
        <v>586</v>
      </c>
      <c r="H29" s="209">
        <v>1917.818181818182</v>
      </c>
      <c r="I29" s="210">
        <v>2.0054194055291305E-4</v>
      </c>
      <c r="J29" s="224"/>
      <c r="K29" s="224"/>
      <c r="L29" s="224"/>
      <c r="M29" s="224"/>
      <c r="N29" s="224"/>
      <c r="O29" s="224"/>
      <c r="P29" s="224"/>
      <c r="Q29" s="224"/>
      <c r="R29" s="209">
        <v>12</v>
      </c>
      <c r="S29" s="209">
        <v>11</v>
      </c>
      <c r="T29" s="219">
        <v>0.91666666666666663</v>
      </c>
      <c r="U29" s="220">
        <v>1.0909090909090911</v>
      </c>
      <c r="V29" s="220">
        <v>4.4393933333333342</v>
      </c>
      <c r="W29" s="209">
        <v>586</v>
      </c>
      <c r="X29" s="209">
        <v>1917.818181818182</v>
      </c>
      <c r="Y29" s="210">
        <v>1.8751708208809191E-4</v>
      </c>
      <c r="Z29" s="152">
        <v>3.1464874231079021E-2</v>
      </c>
      <c r="AA29" s="159"/>
    </row>
    <row r="30" spans="1:27" ht="15" customHeight="1" x14ac:dyDescent="0.25">
      <c r="A30" s="198" t="s">
        <v>25</v>
      </c>
      <c r="B30" s="207">
        <v>46</v>
      </c>
      <c r="C30" s="207">
        <v>39</v>
      </c>
      <c r="D30" s="217">
        <v>0.84782608695652173</v>
      </c>
      <c r="E30" s="218">
        <v>1.1794871794871795</v>
      </c>
      <c r="F30" s="218">
        <v>4.2414526666666674</v>
      </c>
      <c r="G30" s="207">
        <v>1985</v>
      </c>
      <c r="H30" s="207">
        <v>7023.8461538461543</v>
      </c>
      <c r="I30" s="208">
        <v>7.3446781931226987E-4</v>
      </c>
      <c r="J30" s="223"/>
      <c r="K30" s="223"/>
      <c r="L30" s="223"/>
      <c r="M30" s="223"/>
      <c r="N30" s="223"/>
      <c r="O30" s="223"/>
      <c r="P30" s="223"/>
      <c r="Q30" s="223"/>
      <c r="R30" s="207">
        <v>46</v>
      </c>
      <c r="S30" s="207">
        <v>39</v>
      </c>
      <c r="T30" s="217">
        <v>0.84782608695652173</v>
      </c>
      <c r="U30" s="218">
        <v>1.1794871794871795</v>
      </c>
      <c r="V30" s="218">
        <v>4.2414526666666674</v>
      </c>
      <c r="W30" s="207">
        <v>1985</v>
      </c>
      <c r="X30" s="207">
        <v>7023.8461538461543</v>
      </c>
      <c r="Y30" s="208">
        <v>6.8676538177160965E-4</v>
      </c>
      <c r="Z30" s="152">
        <v>3.728803406667397E-3</v>
      </c>
      <c r="AA30" s="159"/>
    </row>
    <row r="31" spans="1:27" ht="15" customHeight="1" x14ac:dyDescent="0.25">
      <c r="A31" s="201" t="s">
        <v>308</v>
      </c>
      <c r="B31" s="209">
        <v>46</v>
      </c>
      <c r="C31" s="209">
        <v>39</v>
      </c>
      <c r="D31" s="219">
        <v>0.84782608695652173</v>
      </c>
      <c r="E31" s="220">
        <v>1.1794871794871795</v>
      </c>
      <c r="F31" s="220">
        <v>4.2414526666666674</v>
      </c>
      <c r="G31" s="209">
        <v>1985</v>
      </c>
      <c r="H31" s="209">
        <v>7023.8461538461543</v>
      </c>
      <c r="I31" s="210">
        <v>7.3446781931226987E-4</v>
      </c>
      <c r="J31" s="224"/>
      <c r="K31" s="224"/>
      <c r="L31" s="224"/>
      <c r="M31" s="224"/>
      <c r="N31" s="224"/>
      <c r="O31" s="224"/>
      <c r="P31" s="224"/>
      <c r="Q31" s="224"/>
      <c r="R31" s="209">
        <v>46</v>
      </c>
      <c r="S31" s="209">
        <v>39</v>
      </c>
      <c r="T31" s="219">
        <v>0.84782608695652173</v>
      </c>
      <c r="U31" s="220">
        <v>1.1794871794871795</v>
      </c>
      <c r="V31" s="220">
        <v>4.2414526666666674</v>
      </c>
      <c r="W31" s="209">
        <v>1985</v>
      </c>
      <c r="X31" s="209">
        <v>7023.8461538461543</v>
      </c>
      <c r="Y31" s="210">
        <v>6.8676538177160965E-4</v>
      </c>
      <c r="Z31" s="152">
        <v>2.3715658846356829E-2</v>
      </c>
      <c r="AA31" s="159"/>
    </row>
    <row r="32" spans="1:27" ht="15" customHeight="1" x14ac:dyDescent="0.25">
      <c r="A32" s="198" t="s">
        <v>128</v>
      </c>
      <c r="B32" s="207">
        <v>63</v>
      </c>
      <c r="C32" s="207">
        <v>35</v>
      </c>
      <c r="D32" s="217">
        <v>0.55555555555555558</v>
      </c>
      <c r="E32" s="218">
        <v>1.7232380952380952</v>
      </c>
      <c r="F32" s="218">
        <v>4.6238090833333327</v>
      </c>
      <c r="G32" s="207">
        <v>1942</v>
      </c>
      <c r="H32" s="207">
        <v>10039.585142857142</v>
      </c>
      <c r="I32" s="208">
        <v>1.0498168731438388E-3</v>
      </c>
      <c r="J32" s="223"/>
      <c r="K32" s="223"/>
      <c r="L32" s="223"/>
      <c r="M32" s="223"/>
      <c r="N32" s="223"/>
      <c r="O32" s="223"/>
      <c r="P32" s="223"/>
      <c r="Q32" s="223"/>
      <c r="R32" s="207">
        <v>63</v>
      </c>
      <c r="S32" s="207">
        <v>35</v>
      </c>
      <c r="T32" s="217">
        <v>0.55555555555555558</v>
      </c>
      <c r="U32" s="218">
        <v>1.7232380952380952</v>
      </c>
      <c r="V32" s="218">
        <v>4.6238090833333327</v>
      </c>
      <c r="W32" s="207">
        <v>1942</v>
      </c>
      <c r="X32" s="207">
        <v>10039.585142857142</v>
      </c>
      <c r="Y32" s="208">
        <v>9.8163305010422999E-4</v>
      </c>
      <c r="Z32" s="152">
        <v>1.0077268268838717E-2</v>
      </c>
      <c r="AA32" s="159"/>
    </row>
    <row r="33" spans="1:27" ht="15" customHeight="1" x14ac:dyDescent="0.25">
      <c r="A33" s="201" t="s">
        <v>306</v>
      </c>
      <c r="B33" s="209">
        <v>63</v>
      </c>
      <c r="C33" s="209">
        <v>35</v>
      </c>
      <c r="D33" s="219">
        <v>0.55555555555555558</v>
      </c>
      <c r="E33" s="220">
        <v>1.7232380952380952</v>
      </c>
      <c r="F33" s="220">
        <v>4.6238090833333327</v>
      </c>
      <c r="G33" s="209">
        <v>1942</v>
      </c>
      <c r="H33" s="209">
        <v>10039.585142857142</v>
      </c>
      <c r="I33" s="210">
        <v>1.0498168731438388E-3</v>
      </c>
      <c r="J33" s="224"/>
      <c r="K33" s="224"/>
      <c r="L33" s="224"/>
      <c r="M33" s="224"/>
      <c r="N33" s="224"/>
      <c r="O33" s="224"/>
      <c r="P33" s="224"/>
      <c r="Q33" s="224"/>
      <c r="R33" s="209">
        <v>63</v>
      </c>
      <c r="S33" s="209">
        <v>35</v>
      </c>
      <c r="T33" s="219">
        <v>0.55555555555555558</v>
      </c>
      <c r="U33" s="220">
        <v>1.7232380952380952</v>
      </c>
      <c r="V33" s="220">
        <v>4.6238090833333327</v>
      </c>
      <c r="W33" s="209">
        <v>1942</v>
      </c>
      <c r="X33" s="209">
        <v>10039.585142857142</v>
      </c>
      <c r="Y33" s="210">
        <v>9.8163305010422999E-4</v>
      </c>
      <c r="Z33" s="152">
        <v>1.9201824310245044E-3</v>
      </c>
      <c r="AA33" s="159"/>
    </row>
    <row r="34" spans="1:27" ht="15" customHeight="1" x14ac:dyDescent="0.25">
      <c r="A34" s="198" t="s">
        <v>495</v>
      </c>
      <c r="B34" s="207">
        <v>72</v>
      </c>
      <c r="C34" s="207">
        <v>37</v>
      </c>
      <c r="D34" s="217">
        <v>0.51388888888888884</v>
      </c>
      <c r="E34" s="218">
        <v>1.8082380952380954</v>
      </c>
      <c r="F34" s="218">
        <v>4.3918914166666658</v>
      </c>
      <c r="G34" s="207">
        <v>1950</v>
      </c>
      <c r="H34" s="207">
        <v>10578.192857142858</v>
      </c>
      <c r="I34" s="208">
        <v>1.1061378723103107E-3</v>
      </c>
      <c r="J34" s="207">
        <v>9</v>
      </c>
      <c r="K34" s="207">
        <v>3</v>
      </c>
      <c r="L34" s="217">
        <v>0.33333333333333331</v>
      </c>
      <c r="M34" s="218">
        <v>2.1765714285714286</v>
      </c>
      <c r="N34" s="218">
        <v>3.8055551666666676</v>
      </c>
      <c r="O34" s="207">
        <v>137</v>
      </c>
      <c r="P34" s="207">
        <v>298.19028571428572</v>
      </c>
      <c r="Q34" s="208">
        <v>4.4890981020069348E-4</v>
      </c>
      <c r="R34" s="207">
        <v>81</v>
      </c>
      <c r="S34" s="207">
        <v>40</v>
      </c>
      <c r="T34" s="217">
        <v>0.49382716049382713</v>
      </c>
      <c r="U34" s="218">
        <v>1.992404761904762</v>
      </c>
      <c r="V34" s="218">
        <v>4.3479161979166658</v>
      </c>
      <c r="W34" s="207">
        <v>2087</v>
      </c>
      <c r="X34" s="207">
        <v>10876.383142857143</v>
      </c>
      <c r="Y34" s="208">
        <v>1.0634520258261046E-3</v>
      </c>
      <c r="Z34" s="152">
        <v>1.2058444291193552E-2</v>
      </c>
      <c r="AA34" s="159"/>
    </row>
    <row r="35" spans="1:27" ht="15" customHeight="1" x14ac:dyDescent="0.25">
      <c r="A35" s="201" t="s">
        <v>305</v>
      </c>
      <c r="B35" s="209">
        <v>72</v>
      </c>
      <c r="C35" s="209">
        <v>37</v>
      </c>
      <c r="D35" s="219">
        <v>0.51388888888888884</v>
      </c>
      <c r="E35" s="220">
        <v>1.8082380952380954</v>
      </c>
      <c r="F35" s="220">
        <v>4.3918914166666658</v>
      </c>
      <c r="G35" s="209">
        <v>1950</v>
      </c>
      <c r="H35" s="209">
        <v>10578.192857142858</v>
      </c>
      <c r="I35" s="210">
        <v>1.1061378723103107E-3</v>
      </c>
      <c r="J35" s="209">
        <v>9</v>
      </c>
      <c r="K35" s="209">
        <v>3</v>
      </c>
      <c r="L35" s="219">
        <v>0.33333333333333331</v>
      </c>
      <c r="M35" s="220">
        <v>2.1765714285714286</v>
      </c>
      <c r="N35" s="220">
        <v>3.8055551666666676</v>
      </c>
      <c r="O35" s="209">
        <v>137</v>
      </c>
      <c r="P35" s="209">
        <v>298.19028571428572</v>
      </c>
      <c r="Q35" s="210">
        <v>4.4890981020069348E-4</v>
      </c>
      <c r="R35" s="209">
        <v>81</v>
      </c>
      <c r="S35" s="209">
        <v>40</v>
      </c>
      <c r="T35" s="219">
        <v>0.49382716049382713</v>
      </c>
      <c r="U35" s="220">
        <v>1.992404761904762</v>
      </c>
      <c r="V35" s="220">
        <v>4.3479161979166658</v>
      </c>
      <c r="W35" s="209">
        <v>2087</v>
      </c>
      <c r="X35" s="209">
        <v>10876.383142857143</v>
      </c>
      <c r="Y35" s="210">
        <v>1.0634520258261046E-3</v>
      </c>
      <c r="Z35" s="152">
        <v>2.379920412212968E-4</v>
      </c>
      <c r="AA35" s="159"/>
    </row>
    <row r="36" spans="1:27" ht="15" customHeight="1" x14ac:dyDescent="0.25">
      <c r="A36" s="198" t="s">
        <v>27</v>
      </c>
      <c r="B36" s="207">
        <v>93</v>
      </c>
      <c r="C36" s="207">
        <v>39</v>
      </c>
      <c r="D36" s="217">
        <v>0.41935483870967744</v>
      </c>
      <c r="E36" s="218">
        <v>2.0010875576036864</v>
      </c>
      <c r="F36" s="218">
        <v>3.9465805833333336</v>
      </c>
      <c r="G36" s="207">
        <v>1847</v>
      </c>
      <c r="H36" s="207">
        <v>11088.026156682026</v>
      </c>
      <c r="I36" s="208">
        <v>1.1594499955435717E-3</v>
      </c>
      <c r="J36" s="207">
        <v>20</v>
      </c>
      <c r="K36" s="207">
        <v>7</v>
      </c>
      <c r="L36" s="217">
        <v>0.35</v>
      </c>
      <c r="M36" s="218">
        <v>2.1425714285714283</v>
      </c>
      <c r="N36" s="218">
        <v>4.6309518333333344</v>
      </c>
      <c r="O36" s="207">
        <v>389</v>
      </c>
      <c r="P36" s="207">
        <v>833.46028571428565</v>
      </c>
      <c r="Q36" s="208">
        <v>1.2547306756609442E-3</v>
      </c>
      <c r="R36" s="207">
        <v>113</v>
      </c>
      <c r="S36" s="207">
        <v>46</v>
      </c>
      <c r="T36" s="217">
        <v>0.40707964601769914</v>
      </c>
      <c r="U36" s="218">
        <v>2.0718294930875576</v>
      </c>
      <c r="V36" s="218">
        <v>4.0507240344202895</v>
      </c>
      <c r="W36" s="207">
        <v>2236</v>
      </c>
      <c r="X36" s="207">
        <v>11921.486442396312</v>
      </c>
      <c r="Y36" s="208">
        <v>1.165638313905003E-3</v>
      </c>
      <c r="Z36" s="152">
        <v>1.7032343859763006E-2</v>
      </c>
      <c r="AA36" s="159"/>
    </row>
    <row r="37" spans="1:27" ht="15" customHeight="1" x14ac:dyDescent="0.25">
      <c r="A37" s="201" t="s">
        <v>304</v>
      </c>
      <c r="B37" s="209">
        <v>93</v>
      </c>
      <c r="C37" s="209">
        <v>39</v>
      </c>
      <c r="D37" s="219">
        <v>0.41935483870967744</v>
      </c>
      <c r="E37" s="220">
        <v>2.0010875576036864</v>
      </c>
      <c r="F37" s="220">
        <v>3.9465805833333336</v>
      </c>
      <c r="G37" s="209">
        <v>1847</v>
      </c>
      <c r="H37" s="209">
        <v>11088.026156682026</v>
      </c>
      <c r="I37" s="210">
        <v>1.1594499955435717E-3</v>
      </c>
      <c r="J37" s="209">
        <v>20</v>
      </c>
      <c r="K37" s="209">
        <v>7</v>
      </c>
      <c r="L37" s="219">
        <v>0.35</v>
      </c>
      <c r="M37" s="220">
        <v>2.1425714285714283</v>
      </c>
      <c r="N37" s="220">
        <v>4.6309518333333344</v>
      </c>
      <c r="O37" s="209">
        <v>389</v>
      </c>
      <c r="P37" s="209">
        <v>833.46028571428565</v>
      </c>
      <c r="Q37" s="210">
        <v>1.2547306756609442E-3</v>
      </c>
      <c r="R37" s="209">
        <v>113</v>
      </c>
      <c r="S37" s="209">
        <v>46</v>
      </c>
      <c r="T37" s="219">
        <v>0.40707964601769914</v>
      </c>
      <c r="U37" s="220">
        <v>2.0718294930875576</v>
      </c>
      <c r="V37" s="220">
        <v>4.0507240344202895</v>
      </c>
      <c r="W37" s="209">
        <v>2236</v>
      </c>
      <c r="X37" s="209">
        <v>11921.486442396312</v>
      </c>
      <c r="Y37" s="210">
        <v>1.165638313905003E-3</v>
      </c>
      <c r="Z37" s="152">
        <v>1.5116879325199525E-2</v>
      </c>
      <c r="AA37" s="159"/>
    </row>
    <row r="38" spans="1:27" ht="15" customHeight="1" x14ac:dyDescent="0.25">
      <c r="A38" s="198" t="s">
        <v>143</v>
      </c>
      <c r="B38" s="207">
        <v>21</v>
      </c>
      <c r="C38" s="207">
        <v>13</v>
      </c>
      <c r="D38" s="217">
        <v>0.61904761904761907</v>
      </c>
      <c r="E38" s="218">
        <v>1.5937142857142856</v>
      </c>
      <c r="F38" s="218">
        <v>4.0576917500000009</v>
      </c>
      <c r="G38" s="207">
        <v>633</v>
      </c>
      <c r="H38" s="207">
        <v>3026.4634285714283</v>
      </c>
      <c r="I38" s="208">
        <v>3.1647048439322639E-4</v>
      </c>
      <c r="J38" s="207">
        <v>1</v>
      </c>
      <c r="K38" s="207">
        <v>1</v>
      </c>
      <c r="L38" s="217">
        <v>1</v>
      </c>
      <c r="M38" s="218">
        <v>1</v>
      </c>
      <c r="N38" s="218">
        <v>5</v>
      </c>
      <c r="O38" s="207">
        <v>60</v>
      </c>
      <c r="P38" s="207">
        <v>60</v>
      </c>
      <c r="Q38" s="208">
        <v>9.0326847997487336E-5</v>
      </c>
      <c r="R38" s="207">
        <v>22</v>
      </c>
      <c r="S38" s="207">
        <v>14</v>
      </c>
      <c r="T38" s="217">
        <v>0.63636363636363635</v>
      </c>
      <c r="U38" s="218">
        <v>1.2968571428571427</v>
      </c>
      <c r="V38" s="218">
        <v>4.1249994821428579</v>
      </c>
      <c r="W38" s="207">
        <v>693</v>
      </c>
      <c r="X38" s="207">
        <v>3086.4634285714283</v>
      </c>
      <c r="Y38" s="208">
        <v>3.0178283926197112E-4</v>
      </c>
      <c r="Z38" s="152">
        <v>1.2394892003392615E-2</v>
      </c>
      <c r="AA38" s="159"/>
    </row>
    <row r="39" spans="1:27" ht="15" customHeight="1" x14ac:dyDescent="0.25">
      <c r="A39" s="201" t="s">
        <v>303</v>
      </c>
      <c r="B39" s="209">
        <v>21</v>
      </c>
      <c r="C39" s="209">
        <v>13</v>
      </c>
      <c r="D39" s="219">
        <v>0.61904761904761907</v>
      </c>
      <c r="E39" s="220">
        <v>1.5937142857142856</v>
      </c>
      <c r="F39" s="220">
        <v>4.0576917500000009</v>
      </c>
      <c r="G39" s="209">
        <v>633</v>
      </c>
      <c r="H39" s="209">
        <v>3026.4634285714283</v>
      </c>
      <c r="I39" s="210">
        <v>3.1647048439322639E-4</v>
      </c>
      <c r="J39" s="209">
        <v>1</v>
      </c>
      <c r="K39" s="209">
        <v>1</v>
      </c>
      <c r="L39" s="219">
        <v>1</v>
      </c>
      <c r="M39" s="220">
        <v>1</v>
      </c>
      <c r="N39" s="220">
        <v>5</v>
      </c>
      <c r="O39" s="209">
        <v>60</v>
      </c>
      <c r="P39" s="209">
        <v>60</v>
      </c>
      <c r="Q39" s="210">
        <v>9.0326847997487336E-5</v>
      </c>
      <c r="R39" s="209">
        <v>22</v>
      </c>
      <c r="S39" s="209">
        <v>14</v>
      </c>
      <c r="T39" s="219">
        <v>0.63636363636363635</v>
      </c>
      <c r="U39" s="220">
        <v>1.2968571428571427</v>
      </c>
      <c r="V39" s="220">
        <v>4.1249994821428579</v>
      </c>
      <c r="W39" s="209">
        <v>693</v>
      </c>
      <c r="X39" s="209">
        <v>3086.4634285714283</v>
      </c>
      <c r="Y39" s="210">
        <v>3.0178283926197112E-4</v>
      </c>
      <c r="Z39" s="152">
        <v>7.7567692867783877E-3</v>
      </c>
      <c r="AA39" s="159"/>
    </row>
    <row r="40" spans="1:27" ht="15" customHeight="1" x14ac:dyDescent="0.25">
      <c r="A40" s="198" t="s">
        <v>28</v>
      </c>
      <c r="B40" s="207">
        <v>2643</v>
      </c>
      <c r="C40" s="207">
        <v>963</v>
      </c>
      <c r="D40" s="217">
        <v>0.36435868331441545</v>
      </c>
      <c r="E40" s="218">
        <v>2.1132797146100213</v>
      </c>
      <c r="F40" s="218">
        <v>4.2313944166666664</v>
      </c>
      <c r="G40" s="207">
        <v>48898</v>
      </c>
      <c r="H40" s="207">
        <v>310005.45445500244</v>
      </c>
      <c r="I40" s="208">
        <v>3.2416574213231547E-2</v>
      </c>
      <c r="J40" s="207">
        <v>623</v>
      </c>
      <c r="K40" s="207">
        <v>117</v>
      </c>
      <c r="L40" s="217">
        <v>0.18780096308186195</v>
      </c>
      <c r="M40" s="218">
        <v>2.4485709999999998</v>
      </c>
      <c r="N40" s="218">
        <v>3.9113204444444447</v>
      </c>
      <c r="O40" s="207">
        <v>5892</v>
      </c>
      <c r="P40" s="207">
        <v>14426.980331999999</v>
      </c>
      <c r="Q40" s="208">
        <v>2.1719060991855055E-2</v>
      </c>
      <c r="R40" s="207">
        <v>3266</v>
      </c>
      <c r="S40" s="207">
        <v>1080</v>
      </c>
      <c r="T40" s="217">
        <v>0.33067973055725658</v>
      </c>
      <c r="U40" s="218">
        <v>2.2809253573050103</v>
      </c>
      <c r="V40" s="218">
        <v>4.1820549505928861</v>
      </c>
      <c r="W40" s="207">
        <v>54790</v>
      </c>
      <c r="X40" s="207">
        <v>324432.43478700245</v>
      </c>
      <c r="Y40" s="208">
        <v>3.1721788896754477E-2</v>
      </c>
      <c r="Z40" s="152">
        <v>1.5907064537848223E-2</v>
      </c>
      <c r="AA40" s="159"/>
    </row>
    <row r="41" spans="1:27" ht="15" customHeight="1" x14ac:dyDescent="0.25">
      <c r="A41" s="201" t="s">
        <v>302</v>
      </c>
      <c r="B41" s="209">
        <v>2643</v>
      </c>
      <c r="C41" s="209">
        <v>963</v>
      </c>
      <c r="D41" s="219">
        <v>0.36435868331441545</v>
      </c>
      <c r="E41" s="220">
        <v>2.1132797146100213</v>
      </c>
      <c r="F41" s="220">
        <v>4.2313944166666664</v>
      </c>
      <c r="G41" s="209">
        <v>48898</v>
      </c>
      <c r="H41" s="209">
        <v>310005.45445500244</v>
      </c>
      <c r="I41" s="210">
        <v>3.2416574213231547E-2</v>
      </c>
      <c r="J41" s="209">
        <v>623</v>
      </c>
      <c r="K41" s="209">
        <v>117</v>
      </c>
      <c r="L41" s="219">
        <v>0.18780096308186195</v>
      </c>
      <c r="M41" s="220">
        <v>2.4485709999999998</v>
      </c>
      <c r="N41" s="220">
        <v>3.9113204444444447</v>
      </c>
      <c r="O41" s="209">
        <v>5892</v>
      </c>
      <c r="P41" s="209">
        <v>14426.980331999999</v>
      </c>
      <c r="Q41" s="210">
        <v>2.1719060991855055E-2</v>
      </c>
      <c r="R41" s="209">
        <v>3266</v>
      </c>
      <c r="S41" s="209">
        <v>1080</v>
      </c>
      <c r="T41" s="219">
        <v>0.33067973055725658</v>
      </c>
      <c r="U41" s="220">
        <v>2.2809253573050103</v>
      </c>
      <c r="V41" s="220">
        <v>4.1820549505928861</v>
      </c>
      <c r="W41" s="209">
        <v>54790</v>
      </c>
      <c r="X41" s="209">
        <v>324432.43478700245</v>
      </c>
      <c r="Y41" s="210">
        <v>3.1721788896754477E-2</v>
      </c>
      <c r="Z41" s="152">
        <v>1.3842541301727407E-2</v>
      </c>
      <c r="AA41" s="159"/>
    </row>
    <row r="42" spans="1:27" ht="15" customHeight="1" x14ac:dyDescent="0.25">
      <c r="A42" s="198" t="s">
        <v>29</v>
      </c>
      <c r="B42" s="207">
        <v>19</v>
      </c>
      <c r="C42" s="207">
        <v>13</v>
      </c>
      <c r="D42" s="217">
        <v>0.68421052631578949</v>
      </c>
      <c r="E42" s="218">
        <v>1.4607819548872181</v>
      </c>
      <c r="F42" s="218">
        <v>4.2307688333333333</v>
      </c>
      <c r="G42" s="207">
        <v>660</v>
      </c>
      <c r="H42" s="207">
        <v>2892.3482706766918</v>
      </c>
      <c r="I42" s="208">
        <v>3.0244636350587909E-4</v>
      </c>
      <c r="J42" s="207">
        <v>13</v>
      </c>
      <c r="K42" s="207">
        <v>9</v>
      </c>
      <c r="L42" s="217">
        <v>0.69230769230769229</v>
      </c>
      <c r="M42" s="218">
        <v>1.4442637362637363</v>
      </c>
      <c r="N42" s="218">
        <v>4.4074070000000001</v>
      </c>
      <c r="O42" s="207">
        <v>476</v>
      </c>
      <c r="P42" s="207">
        <v>687.46953846153849</v>
      </c>
      <c r="Q42" s="208">
        <v>1.0349492750586361E-3</v>
      </c>
      <c r="R42" s="207">
        <v>32</v>
      </c>
      <c r="S42" s="207">
        <v>22</v>
      </c>
      <c r="T42" s="217">
        <v>0.6875</v>
      </c>
      <c r="U42" s="218">
        <v>1.4525228455754773</v>
      </c>
      <c r="V42" s="218">
        <v>4.3030299015151519</v>
      </c>
      <c r="W42" s="207">
        <v>1136</v>
      </c>
      <c r="X42" s="207">
        <v>3579.8178091382301</v>
      </c>
      <c r="Y42" s="208">
        <v>3.5002118362450016E-4</v>
      </c>
      <c r="Z42" s="152">
        <v>3.0794674980139878E-4</v>
      </c>
      <c r="AA42" s="159"/>
    </row>
    <row r="43" spans="1:27" ht="15" customHeight="1" x14ac:dyDescent="0.25">
      <c r="A43" s="201" t="s">
        <v>299</v>
      </c>
      <c r="B43" s="209">
        <v>19</v>
      </c>
      <c r="C43" s="209">
        <v>13</v>
      </c>
      <c r="D43" s="219">
        <v>0.68421052631578949</v>
      </c>
      <c r="E43" s="220">
        <v>1.4607819548872181</v>
      </c>
      <c r="F43" s="220">
        <v>4.2307688333333333</v>
      </c>
      <c r="G43" s="209">
        <v>660</v>
      </c>
      <c r="H43" s="209">
        <v>2892.3482706766918</v>
      </c>
      <c r="I43" s="210">
        <v>3.0244636350587909E-4</v>
      </c>
      <c r="J43" s="209">
        <v>13</v>
      </c>
      <c r="K43" s="209">
        <v>9</v>
      </c>
      <c r="L43" s="219">
        <v>0.69230769230769229</v>
      </c>
      <c r="M43" s="220">
        <v>1.4442637362637363</v>
      </c>
      <c r="N43" s="220">
        <v>4.4074070000000001</v>
      </c>
      <c r="O43" s="209">
        <v>476</v>
      </c>
      <c r="P43" s="209">
        <v>687.46953846153849</v>
      </c>
      <c r="Q43" s="210">
        <v>1.0349492750586361E-3</v>
      </c>
      <c r="R43" s="209">
        <v>32</v>
      </c>
      <c r="S43" s="209">
        <v>22</v>
      </c>
      <c r="T43" s="219">
        <v>0.6875</v>
      </c>
      <c r="U43" s="220">
        <v>1.4525228455754773</v>
      </c>
      <c r="V43" s="220">
        <v>4.3030299015151519</v>
      </c>
      <c r="W43" s="209">
        <v>1136</v>
      </c>
      <c r="X43" s="209">
        <v>3579.8178091382301</v>
      </c>
      <c r="Y43" s="210">
        <v>3.5002118362450016E-4</v>
      </c>
      <c r="Z43" s="152">
        <v>6.1668042251424677E-3</v>
      </c>
      <c r="AA43" s="159"/>
    </row>
    <row r="44" spans="1:27" ht="15" customHeight="1" x14ac:dyDescent="0.25">
      <c r="A44" s="198" t="s">
        <v>30</v>
      </c>
      <c r="B44" s="207">
        <v>745</v>
      </c>
      <c r="C44" s="207">
        <v>285</v>
      </c>
      <c r="D44" s="217">
        <v>0.3825503355704698</v>
      </c>
      <c r="E44" s="218">
        <v>2.0761687440076702</v>
      </c>
      <c r="F44" s="218">
        <v>4.284210083333333</v>
      </c>
      <c r="G44" s="207">
        <v>14652</v>
      </c>
      <c r="H44" s="207">
        <v>91260.073311601154</v>
      </c>
      <c r="I44" s="208">
        <v>9.5428609293707646E-3</v>
      </c>
      <c r="J44" s="207">
        <v>33</v>
      </c>
      <c r="K44" s="207">
        <v>11</v>
      </c>
      <c r="L44" s="217">
        <v>0.33333333333333331</v>
      </c>
      <c r="M44" s="218">
        <v>2.1765714285714286</v>
      </c>
      <c r="N44" s="218">
        <v>3.7651510833333335</v>
      </c>
      <c r="O44" s="207">
        <v>497</v>
      </c>
      <c r="P44" s="207">
        <v>1081.7560000000001</v>
      </c>
      <c r="Q44" s="208">
        <v>1.6285268297061655E-3</v>
      </c>
      <c r="R44" s="207">
        <v>778</v>
      </c>
      <c r="S44" s="207">
        <v>296</v>
      </c>
      <c r="T44" s="217">
        <v>0.38046272493573263</v>
      </c>
      <c r="U44" s="218">
        <v>2.1263700862895494</v>
      </c>
      <c r="V44" s="218">
        <v>4.2649207286036033</v>
      </c>
      <c r="W44" s="207">
        <v>15149</v>
      </c>
      <c r="X44" s="207">
        <v>92341.829311601148</v>
      </c>
      <c r="Y44" s="208">
        <v>9.0288383702630311E-3</v>
      </c>
      <c r="Z44" s="152">
        <v>3.594712929663326E-4</v>
      </c>
      <c r="AA44" s="159"/>
    </row>
    <row r="45" spans="1:27" ht="15" customHeight="1" x14ac:dyDescent="0.25">
      <c r="A45" s="201" t="s">
        <v>301</v>
      </c>
      <c r="B45" s="209">
        <v>745</v>
      </c>
      <c r="C45" s="209">
        <v>285</v>
      </c>
      <c r="D45" s="219">
        <v>0.3825503355704698</v>
      </c>
      <c r="E45" s="220">
        <v>2.0761687440076702</v>
      </c>
      <c r="F45" s="220">
        <v>4.284210083333333</v>
      </c>
      <c r="G45" s="209">
        <v>14652</v>
      </c>
      <c r="H45" s="209">
        <v>91260.073311601154</v>
      </c>
      <c r="I45" s="210">
        <v>9.5428609293707646E-3</v>
      </c>
      <c r="J45" s="209">
        <v>33</v>
      </c>
      <c r="K45" s="209">
        <v>11</v>
      </c>
      <c r="L45" s="219">
        <v>0.33333333333333331</v>
      </c>
      <c r="M45" s="220">
        <v>2.1765714285714286</v>
      </c>
      <c r="N45" s="220">
        <v>3.7651510833333335</v>
      </c>
      <c r="O45" s="209">
        <v>497</v>
      </c>
      <c r="P45" s="209">
        <v>1081.7560000000001</v>
      </c>
      <c r="Q45" s="210">
        <v>1.6285268297061655E-3</v>
      </c>
      <c r="R45" s="209">
        <v>778</v>
      </c>
      <c r="S45" s="209">
        <v>296</v>
      </c>
      <c r="T45" s="219">
        <v>0.38046272493573263</v>
      </c>
      <c r="U45" s="220">
        <v>2.1263700862895494</v>
      </c>
      <c r="V45" s="220">
        <v>4.2649207286036033</v>
      </c>
      <c r="W45" s="209">
        <v>15149</v>
      </c>
      <c r="X45" s="209">
        <v>92341.829311601148</v>
      </c>
      <c r="Y45" s="210">
        <v>9.0288383702630311E-3</v>
      </c>
      <c r="Z45" s="152">
        <v>3.5200596392002622E-4</v>
      </c>
      <c r="AA45" s="159"/>
    </row>
    <row r="46" spans="1:27" ht="15" customHeight="1" x14ac:dyDescent="0.25">
      <c r="A46" s="198" t="s">
        <v>31</v>
      </c>
      <c r="B46" s="207">
        <v>95</v>
      </c>
      <c r="C46" s="207">
        <v>41</v>
      </c>
      <c r="D46" s="217">
        <v>0.43157894736842106</v>
      </c>
      <c r="E46" s="218">
        <v>1.9761503759398498</v>
      </c>
      <c r="F46" s="218">
        <v>3.6808937499999992</v>
      </c>
      <c r="G46" s="207">
        <v>1811</v>
      </c>
      <c r="H46" s="207">
        <v>10736.424992481203</v>
      </c>
      <c r="I46" s="208">
        <v>1.1226838513710051E-3</v>
      </c>
      <c r="J46" s="207">
        <v>25</v>
      </c>
      <c r="K46" s="207">
        <v>10</v>
      </c>
      <c r="L46" s="217">
        <v>0.4</v>
      </c>
      <c r="M46" s="218">
        <v>2.0405714285714285</v>
      </c>
      <c r="N46" s="218">
        <v>3.7083333333333335</v>
      </c>
      <c r="O46" s="207">
        <v>445</v>
      </c>
      <c r="P46" s="207">
        <v>908.0542857142857</v>
      </c>
      <c r="Q46" s="208">
        <v>1.3670280239863537E-3</v>
      </c>
      <c r="R46" s="207">
        <v>120</v>
      </c>
      <c r="S46" s="207">
        <v>51</v>
      </c>
      <c r="T46" s="217">
        <v>0.42499999999999999</v>
      </c>
      <c r="U46" s="218">
        <v>2.0083609022556392</v>
      </c>
      <c r="V46" s="218">
        <v>3.6862740604575164</v>
      </c>
      <c r="W46" s="207">
        <v>2256</v>
      </c>
      <c r="X46" s="207">
        <v>11644.479278195489</v>
      </c>
      <c r="Y46" s="208">
        <v>1.138553590420324E-3</v>
      </c>
      <c r="Z46" s="152">
        <v>1.2044990099960179E-2</v>
      </c>
      <c r="AA46" s="159"/>
    </row>
    <row r="47" spans="1:27" ht="15" customHeight="1" x14ac:dyDescent="0.25">
      <c r="A47" s="201" t="s">
        <v>300</v>
      </c>
      <c r="B47" s="209">
        <v>95</v>
      </c>
      <c r="C47" s="209">
        <v>41</v>
      </c>
      <c r="D47" s="219">
        <v>0.43157894736842106</v>
      </c>
      <c r="E47" s="220">
        <v>1.9761503759398498</v>
      </c>
      <c r="F47" s="220">
        <v>3.6808937499999992</v>
      </c>
      <c r="G47" s="209">
        <v>1811</v>
      </c>
      <c r="H47" s="209">
        <v>10736.424992481203</v>
      </c>
      <c r="I47" s="210">
        <v>1.1226838513710051E-3</v>
      </c>
      <c r="J47" s="209">
        <v>25</v>
      </c>
      <c r="K47" s="209">
        <v>10</v>
      </c>
      <c r="L47" s="219">
        <v>0.4</v>
      </c>
      <c r="M47" s="220">
        <v>2.0405714285714285</v>
      </c>
      <c r="N47" s="220">
        <v>3.7083333333333335</v>
      </c>
      <c r="O47" s="209">
        <v>445</v>
      </c>
      <c r="P47" s="209">
        <v>908.0542857142857</v>
      </c>
      <c r="Q47" s="210">
        <v>1.3670280239863537E-3</v>
      </c>
      <c r="R47" s="209">
        <v>120</v>
      </c>
      <c r="S47" s="209">
        <v>51</v>
      </c>
      <c r="T47" s="219">
        <v>0.42499999999999999</v>
      </c>
      <c r="U47" s="220">
        <v>2.0083609022556392</v>
      </c>
      <c r="V47" s="220">
        <v>3.6862740604575164</v>
      </c>
      <c r="W47" s="209">
        <v>2256</v>
      </c>
      <c r="X47" s="209">
        <v>11644.479278195489</v>
      </c>
      <c r="Y47" s="210">
        <v>1.138553590420324E-3</v>
      </c>
      <c r="Z47" s="152">
        <v>1.5645790376240832E-4</v>
      </c>
      <c r="AA47" s="159"/>
    </row>
    <row r="48" spans="1:27" ht="15" customHeight="1" x14ac:dyDescent="0.25">
      <c r="A48" s="198" t="s">
        <v>32</v>
      </c>
      <c r="B48" s="207">
        <v>1259</v>
      </c>
      <c r="C48" s="207">
        <v>544</v>
      </c>
      <c r="D48" s="217">
        <v>0.43208895949166004</v>
      </c>
      <c r="E48" s="218">
        <v>1.975109951208442</v>
      </c>
      <c r="F48" s="218">
        <v>4.1470582500000006</v>
      </c>
      <c r="G48" s="207">
        <v>27072</v>
      </c>
      <c r="H48" s="207">
        <v>160410.52979734482</v>
      </c>
      <c r="I48" s="208">
        <v>1.6773768877393083E-2</v>
      </c>
      <c r="J48" s="207">
        <v>638</v>
      </c>
      <c r="K48" s="207">
        <v>155</v>
      </c>
      <c r="L48" s="217">
        <v>0.24294670846394983</v>
      </c>
      <c r="M48" s="218">
        <v>2.3609601433049709</v>
      </c>
      <c r="N48" s="218">
        <v>4.1182792499999996</v>
      </c>
      <c r="O48" s="207">
        <v>7660</v>
      </c>
      <c r="P48" s="207">
        <v>18084.954697716079</v>
      </c>
      <c r="Q48" s="208">
        <v>2.7225949233700749E-2</v>
      </c>
      <c r="R48" s="207">
        <v>1897</v>
      </c>
      <c r="S48" s="207">
        <v>699</v>
      </c>
      <c r="T48" s="217">
        <v>0.36847654190827622</v>
      </c>
      <c r="U48" s="218">
        <v>2.1680350472567067</v>
      </c>
      <c r="V48" s="218">
        <v>4.1406766405579409</v>
      </c>
      <c r="W48" s="207">
        <v>34732</v>
      </c>
      <c r="X48" s="207">
        <v>178495.4844950609</v>
      </c>
      <c r="Y48" s="208">
        <v>1.7452620240925046E-2</v>
      </c>
      <c r="Z48" s="152">
        <v>3.1418492750474338E-4</v>
      </c>
      <c r="AA48" s="159"/>
    </row>
    <row r="49" spans="1:27" ht="15" customHeight="1" x14ac:dyDescent="0.25">
      <c r="A49" s="201" t="s">
        <v>297</v>
      </c>
      <c r="B49" s="209">
        <v>1259</v>
      </c>
      <c r="C49" s="209">
        <v>544</v>
      </c>
      <c r="D49" s="219">
        <v>0.43208895949166004</v>
      </c>
      <c r="E49" s="220">
        <v>1.975109951208442</v>
      </c>
      <c r="F49" s="220">
        <v>4.1470582500000006</v>
      </c>
      <c r="G49" s="209">
        <v>27072</v>
      </c>
      <c r="H49" s="209">
        <v>160410.52979734482</v>
      </c>
      <c r="I49" s="210">
        <v>1.6773768877393083E-2</v>
      </c>
      <c r="J49" s="209">
        <v>638</v>
      </c>
      <c r="K49" s="209">
        <v>155</v>
      </c>
      <c r="L49" s="219">
        <v>0.24294670846394983</v>
      </c>
      <c r="M49" s="220">
        <v>2.3609601433049709</v>
      </c>
      <c r="N49" s="220">
        <v>4.1182792499999996</v>
      </c>
      <c r="O49" s="209">
        <v>7660</v>
      </c>
      <c r="P49" s="209">
        <v>18084.954697716079</v>
      </c>
      <c r="Q49" s="210">
        <v>2.7225949233700749E-2</v>
      </c>
      <c r="R49" s="209">
        <v>1897</v>
      </c>
      <c r="S49" s="209">
        <v>699</v>
      </c>
      <c r="T49" s="219">
        <v>0.36847654190827622</v>
      </c>
      <c r="U49" s="220">
        <v>2.1680350472567067</v>
      </c>
      <c r="V49" s="220">
        <v>4.1406766405579409</v>
      </c>
      <c r="W49" s="209">
        <v>34732</v>
      </c>
      <c r="X49" s="209">
        <v>178495.4844950609</v>
      </c>
      <c r="Y49" s="210">
        <v>1.7452620240925046E-2</v>
      </c>
      <c r="Z49" s="152">
        <v>7.1445463310330904E-4</v>
      </c>
      <c r="AA49" s="159"/>
    </row>
    <row r="50" spans="1:27" ht="15" customHeight="1" x14ac:dyDescent="0.25">
      <c r="A50" s="198" t="s">
        <v>33</v>
      </c>
      <c r="B50" s="207">
        <v>181</v>
      </c>
      <c r="C50" s="207">
        <v>86</v>
      </c>
      <c r="D50" s="217">
        <v>0.47513812154696133</v>
      </c>
      <c r="E50" s="218">
        <v>1.8872896606156275</v>
      </c>
      <c r="F50" s="218">
        <v>4.3226740833333324</v>
      </c>
      <c r="G50" s="207">
        <v>4461</v>
      </c>
      <c r="H50" s="207">
        <v>25257.597528018945</v>
      </c>
      <c r="I50" s="208">
        <v>2.6411302541575255E-3</v>
      </c>
      <c r="J50" s="207">
        <v>41</v>
      </c>
      <c r="K50" s="207">
        <v>12</v>
      </c>
      <c r="L50" s="217">
        <v>0.29268292682926828</v>
      </c>
      <c r="M50" s="218">
        <v>2.2594982578397214</v>
      </c>
      <c r="N50" s="218">
        <v>4.4444440833333339</v>
      </c>
      <c r="O50" s="207">
        <v>640</v>
      </c>
      <c r="P50" s="207">
        <v>1446.0788850174217</v>
      </c>
      <c r="Q50" s="208">
        <v>2.1769957939890769E-3</v>
      </c>
      <c r="R50" s="207">
        <v>222</v>
      </c>
      <c r="S50" s="207">
        <v>98</v>
      </c>
      <c r="T50" s="217">
        <v>0.44144144144144143</v>
      </c>
      <c r="U50" s="218">
        <v>2.0733939592276744</v>
      </c>
      <c r="V50" s="218">
        <v>4.3375846955782302</v>
      </c>
      <c r="W50" s="207">
        <v>5101</v>
      </c>
      <c r="X50" s="207">
        <v>26703.676413036366</v>
      </c>
      <c r="Y50" s="208">
        <v>2.6109855091945877E-3</v>
      </c>
      <c r="Z50" s="152">
        <v>3.4619129226094389E-4</v>
      </c>
      <c r="AA50" s="159"/>
    </row>
    <row r="51" spans="1:27" ht="15" customHeight="1" x14ac:dyDescent="0.25">
      <c r="A51" s="201" t="s">
        <v>296</v>
      </c>
      <c r="B51" s="209">
        <v>181</v>
      </c>
      <c r="C51" s="209">
        <v>86</v>
      </c>
      <c r="D51" s="219">
        <v>0.47513812154696133</v>
      </c>
      <c r="E51" s="220">
        <v>1.8872896606156275</v>
      </c>
      <c r="F51" s="220">
        <v>4.3226740833333324</v>
      </c>
      <c r="G51" s="209">
        <v>4461</v>
      </c>
      <c r="H51" s="209">
        <v>25257.597528018945</v>
      </c>
      <c r="I51" s="210">
        <v>2.6411302541575255E-3</v>
      </c>
      <c r="J51" s="209">
        <v>41</v>
      </c>
      <c r="K51" s="209">
        <v>12</v>
      </c>
      <c r="L51" s="219">
        <v>0.29268292682926828</v>
      </c>
      <c r="M51" s="220">
        <v>2.2594982578397214</v>
      </c>
      <c r="N51" s="220">
        <v>4.4444440833333339</v>
      </c>
      <c r="O51" s="209">
        <v>640</v>
      </c>
      <c r="P51" s="209">
        <v>1446.0788850174217</v>
      </c>
      <c r="Q51" s="210">
        <v>2.1769957939890769E-3</v>
      </c>
      <c r="R51" s="209">
        <v>222</v>
      </c>
      <c r="S51" s="209">
        <v>98</v>
      </c>
      <c r="T51" s="219">
        <v>0.44144144144144143</v>
      </c>
      <c r="U51" s="220">
        <v>2.0733939592276744</v>
      </c>
      <c r="V51" s="220">
        <v>4.3375846955782302</v>
      </c>
      <c r="W51" s="209">
        <v>5101</v>
      </c>
      <c r="X51" s="209">
        <v>26703.676413036366</v>
      </c>
      <c r="Y51" s="210">
        <v>2.6109855091945877E-3</v>
      </c>
      <c r="Z51" s="152">
        <v>3.4793249195247664E-2</v>
      </c>
      <c r="AA51" s="159"/>
    </row>
    <row r="52" spans="1:27" ht="15" customHeight="1" x14ac:dyDescent="0.25">
      <c r="A52" s="198" t="s">
        <v>34</v>
      </c>
      <c r="B52" s="207">
        <v>19</v>
      </c>
      <c r="C52" s="207">
        <v>6</v>
      </c>
      <c r="D52" s="217">
        <v>0.31578947368421051</v>
      </c>
      <c r="E52" s="218">
        <v>2.212360902255639</v>
      </c>
      <c r="F52" s="218">
        <v>4.4861106666666677</v>
      </c>
      <c r="G52" s="207">
        <v>323</v>
      </c>
      <c r="H52" s="207">
        <v>2143.777714285714</v>
      </c>
      <c r="I52" s="208">
        <v>2.2417002144038678E-4</v>
      </c>
      <c r="J52" s="223"/>
      <c r="K52" s="223"/>
      <c r="L52" s="223"/>
      <c r="M52" s="223"/>
      <c r="N52" s="223"/>
      <c r="O52" s="223"/>
      <c r="P52" s="223"/>
      <c r="Q52" s="223"/>
      <c r="R52" s="207">
        <v>19</v>
      </c>
      <c r="S52" s="207">
        <v>6</v>
      </c>
      <c r="T52" s="217">
        <v>0.31578947368421051</v>
      </c>
      <c r="U52" s="218">
        <v>2.212360902255639</v>
      </c>
      <c r="V52" s="218">
        <v>4.4861106666666677</v>
      </c>
      <c r="W52" s="207">
        <v>323</v>
      </c>
      <c r="X52" s="207">
        <v>2143.777714285714</v>
      </c>
      <c r="Y52" s="208">
        <v>2.0961055924875326E-4</v>
      </c>
      <c r="Z52" s="152">
        <v>8.9847209366711287E-5</v>
      </c>
      <c r="AA52" s="159"/>
    </row>
    <row r="53" spans="1:27" ht="15" customHeight="1" x14ac:dyDescent="0.25">
      <c r="A53" s="201" t="s">
        <v>294</v>
      </c>
      <c r="B53" s="209">
        <v>19</v>
      </c>
      <c r="C53" s="209">
        <v>6</v>
      </c>
      <c r="D53" s="219">
        <v>0.31578947368421051</v>
      </c>
      <c r="E53" s="220">
        <v>2.212360902255639</v>
      </c>
      <c r="F53" s="220">
        <v>4.4861106666666677</v>
      </c>
      <c r="G53" s="209">
        <v>323</v>
      </c>
      <c r="H53" s="209">
        <v>2143.777714285714</v>
      </c>
      <c r="I53" s="210">
        <v>2.2417002144038678E-4</v>
      </c>
      <c r="J53" s="224"/>
      <c r="K53" s="224"/>
      <c r="L53" s="224"/>
      <c r="M53" s="224"/>
      <c r="N53" s="224"/>
      <c r="O53" s="224"/>
      <c r="P53" s="224"/>
      <c r="Q53" s="224"/>
      <c r="R53" s="209">
        <v>19</v>
      </c>
      <c r="S53" s="209">
        <v>6</v>
      </c>
      <c r="T53" s="219">
        <v>0.31578947368421051</v>
      </c>
      <c r="U53" s="220">
        <v>2.212360902255639</v>
      </c>
      <c r="V53" s="220">
        <v>4.4861106666666677</v>
      </c>
      <c r="W53" s="209">
        <v>323</v>
      </c>
      <c r="X53" s="209">
        <v>2143.777714285714</v>
      </c>
      <c r="Y53" s="210">
        <v>2.0961055924875326E-4</v>
      </c>
      <c r="Z53" s="152">
        <v>1.0748988159138695E-2</v>
      </c>
      <c r="AA53" s="159"/>
    </row>
    <row r="54" spans="1:27" ht="15" customHeight="1" x14ac:dyDescent="0.25">
      <c r="A54" s="198" t="s">
        <v>35</v>
      </c>
      <c r="B54" s="207">
        <v>783</v>
      </c>
      <c r="C54" s="207">
        <v>650</v>
      </c>
      <c r="D54" s="217">
        <v>0.83014048531289908</v>
      </c>
      <c r="E54" s="218">
        <v>1.2046153846153846</v>
      </c>
      <c r="F54" s="218">
        <v>4.2999995000000002</v>
      </c>
      <c r="G54" s="207">
        <v>33540</v>
      </c>
      <c r="H54" s="207">
        <v>121208.40000000001</v>
      </c>
      <c r="I54" s="208">
        <v>1.2674490198163194E-2</v>
      </c>
      <c r="J54" s="207">
        <v>176</v>
      </c>
      <c r="K54" s="207">
        <v>125</v>
      </c>
      <c r="L54" s="217">
        <v>0.71022727272727271</v>
      </c>
      <c r="M54" s="218">
        <v>1.4080000000000001</v>
      </c>
      <c r="N54" s="218">
        <v>4.2519999999999998</v>
      </c>
      <c r="O54" s="207">
        <v>6378</v>
      </c>
      <c r="P54" s="207">
        <v>8980.2240000000002</v>
      </c>
      <c r="Q54" s="208">
        <v>1.351925547052313E-2</v>
      </c>
      <c r="R54" s="207">
        <v>959</v>
      </c>
      <c r="S54" s="207">
        <v>775</v>
      </c>
      <c r="T54" s="217">
        <v>0.80813347236704902</v>
      </c>
      <c r="U54" s="218">
        <v>1.3063076923076924</v>
      </c>
      <c r="V54" s="218">
        <v>4.2922576451612908</v>
      </c>
      <c r="W54" s="207">
        <v>39918</v>
      </c>
      <c r="X54" s="207">
        <v>130188.62400000001</v>
      </c>
      <c r="Y54" s="208">
        <v>1.2729356267964594E-2</v>
      </c>
      <c r="Z54" s="152">
        <v>9.6368136710975327E-3</v>
      </c>
      <c r="AA54" s="159"/>
    </row>
    <row r="55" spans="1:27" ht="15" customHeight="1" x14ac:dyDescent="0.25">
      <c r="A55" s="201" t="s">
        <v>293</v>
      </c>
      <c r="B55" s="209">
        <v>783</v>
      </c>
      <c r="C55" s="209">
        <v>650</v>
      </c>
      <c r="D55" s="219">
        <v>0.83014048531289908</v>
      </c>
      <c r="E55" s="220">
        <v>1.2046153846153846</v>
      </c>
      <c r="F55" s="220">
        <v>4.2999995000000002</v>
      </c>
      <c r="G55" s="209">
        <v>33540</v>
      </c>
      <c r="H55" s="209">
        <v>121208.40000000001</v>
      </c>
      <c r="I55" s="210">
        <v>1.2674490198163194E-2</v>
      </c>
      <c r="J55" s="209">
        <v>176</v>
      </c>
      <c r="K55" s="209">
        <v>125</v>
      </c>
      <c r="L55" s="219">
        <v>0.71022727272727271</v>
      </c>
      <c r="M55" s="220">
        <v>1.4080000000000001</v>
      </c>
      <c r="N55" s="220">
        <v>4.2519999999999998</v>
      </c>
      <c r="O55" s="209">
        <v>6378</v>
      </c>
      <c r="P55" s="209">
        <v>8980.2240000000002</v>
      </c>
      <c r="Q55" s="210">
        <v>1.351925547052313E-2</v>
      </c>
      <c r="R55" s="209">
        <v>959</v>
      </c>
      <c r="S55" s="209">
        <v>775</v>
      </c>
      <c r="T55" s="219">
        <v>0.80813347236704902</v>
      </c>
      <c r="U55" s="220">
        <v>1.3063076923076924</v>
      </c>
      <c r="V55" s="220">
        <v>4.2922576451612908</v>
      </c>
      <c r="W55" s="209">
        <v>39918</v>
      </c>
      <c r="X55" s="209">
        <v>130188.62400000001</v>
      </c>
      <c r="Y55" s="210">
        <v>1.2729356267964594E-2</v>
      </c>
      <c r="Z55" s="152">
        <v>1.6304157079308785E-2</v>
      </c>
      <c r="AA55" s="159"/>
    </row>
    <row r="56" spans="1:27" ht="15" customHeight="1" x14ac:dyDescent="0.25">
      <c r="A56" s="198" t="s">
        <v>36</v>
      </c>
      <c r="B56" s="207">
        <v>56</v>
      </c>
      <c r="C56" s="207">
        <v>36</v>
      </c>
      <c r="D56" s="217">
        <v>0.6428571428571429</v>
      </c>
      <c r="E56" s="218">
        <v>1.5451428571428572</v>
      </c>
      <c r="F56" s="218">
        <v>4.4791661666666673</v>
      </c>
      <c r="G56" s="207">
        <v>1935</v>
      </c>
      <c r="H56" s="207">
        <v>8969.5542857142864</v>
      </c>
      <c r="I56" s="208">
        <v>9.3792614931125558E-4</v>
      </c>
      <c r="J56" s="207">
        <v>9</v>
      </c>
      <c r="K56" s="207">
        <v>3</v>
      </c>
      <c r="L56" s="217">
        <v>0.33333333333333331</v>
      </c>
      <c r="M56" s="218">
        <v>2.1765714285714286</v>
      </c>
      <c r="N56" s="218">
        <v>4.4999996666666675</v>
      </c>
      <c r="O56" s="207">
        <v>162</v>
      </c>
      <c r="P56" s="207">
        <v>352.60457142857143</v>
      </c>
      <c r="Q56" s="208">
        <v>5.3082765877746237E-4</v>
      </c>
      <c r="R56" s="207">
        <v>65</v>
      </c>
      <c r="S56" s="207">
        <v>39</v>
      </c>
      <c r="T56" s="217">
        <v>0.6</v>
      </c>
      <c r="U56" s="218">
        <v>1.8608571428571428</v>
      </c>
      <c r="V56" s="218">
        <v>4.480768743589743</v>
      </c>
      <c r="W56" s="207">
        <v>2097</v>
      </c>
      <c r="X56" s="207">
        <v>9322.1588571428583</v>
      </c>
      <c r="Y56" s="208">
        <v>9.1148579371368946E-4</v>
      </c>
      <c r="Z56" s="152">
        <v>5.4836431530116601E-4</v>
      </c>
      <c r="AA56" s="159"/>
    </row>
    <row r="57" spans="1:27" ht="15" customHeight="1" x14ac:dyDescent="0.25">
      <c r="A57" s="201" t="s">
        <v>292</v>
      </c>
      <c r="B57" s="209">
        <v>56</v>
      </c>
      <c r="C57" s="209">
        <v>36</v>
      </c>
      <c r="D57" s="219">
        <v>0.6428571428571429</v>
      </c>
      <c r="E57" s="220">
        <v>1.5451428571428572</v>
      </c>
      <c r="F57" s="220">
        <v>4.4791661666666673</v>
      </c>
      <c r="G57" s="209">
        <v>1935</v>
      </c>
      <c r="H57" s="209">
        <v>8969.5542857142864</v>
      </c>
      <c r="I57" s="210">
        <v>9.3792614931125558E-4</v>
      </c>
      <c r="J57" s="209">
        <v>9</v>
      </c>
      <c r="K57" s="209">
        <v>3</v>
      </c>
      <c r="L57" s="219">
        <v>0.33333333333333331</v>
      </c>
      <c r="M57" s="220">
        <v>2.1765714285714286</v>
      </c>
      <c r="N57" s="220">
        <v>4.4999996666666675</v>
      </c>
      <c r="O57" s="209">
        <v>162</v>
      </c>
      <c r="P57" s="209">
        <v>352.60457142857143</v>
      </c>
      <c r="Q57" s="210">
        <v>5.3082765877746237E-4</v>
      </c>
      <c r="R57" s="209">
        <v>65</v>
      </c>
      <c r="S57" s="209">
        <v>39</v>
      </c>
      <c r="T57" s="219">
        <v>0.6</v>
      </c>
      <c r="U57" s="220">
        <v>1.8608571428571428</v>
      </c>
      <c r="V57" s="220">
        <v>4.480768743589743</v>
      </c>
      <c r="W57" s="209">
        <v>2097</v>
      </c>
      <c r="X57" s="209">
        <v>9322.1588571428583</v>
      </c>
      <c r="Y57" s="210">
        <v>9.1148579371368946E-4</v>
      </c>
      <c r="Z57" s="152">
        <v>3.3416856817092618E-5</v>
      </c>
      <c r="AA57" s="159"/>
    </row>
    <row r="58" spans="1:27" ht="15" customHeight="1" x14ac:dyDescent="0.25">
      <c r="A58" s="198" t="s">
        <v>37</v>
      </c>
      <c r="B58" s="207">
        <v>20</v>
      </c>
      <c r="C58" s="207">
        <v>7</v>
      </c>
      <c r="D58" s="217">
        <v>0.35</v>
      </c>
      <c r="E58" s="218">
        <v>2.1425714285714283</v>
      </c>
      <c r="F58" s="218">
        <v>4.0714281666666672</v>
      </c>
      <c r="G58" s="207">
        <v>342</v>
      </c>
      <c r="H58" s="207">
        <v>2198.2782857142856</v>
      </c>
      <c r="I58" s="208">
        <v>2.2986902380627664E-4</v>
      </c>
      <c r="J58" s="207">
        <v>5</v>
      </c>
      <c r="K58" s="207">
        <v>2</v>
      </c>
      <c r="L58" s="217">
        <v>0.4</v>
      </c>
      <c r="M58" s="218">
        <v>2.0405714285714285</v>
      </c>
      <c r="N58" s="218">
        <v>4.125</v>
      </c>
      <c r="O58" s="207">
        <v>99</v>
      </c>
      <c r="P58" s="207">
        <v>202.01657142857141</v>
      </c>
      <c r="Q58" s="208">
        <v>3.0412533567336858E-4</v>
      </c>
      <c r="R58" s="207">
        <v>25</v>
      </c>
      <c r="S58" s="207">
        <v>9</v>
      </c>
      <c r="T58" s="217">
        <v>0.36</v>
      </c>
      <c r="U58" s="218">
        <v>2.0915714285714282</v>
      </c>
      <c r="V58" s="218">
        <v>4.0833330185185188</v>
      </c>
      <c r="W58" s="207">
        <v>441</v>
      </c>
      <c r="X58" s="207">
        <v>2400.2948571428569</v>
      </c>
      <c r="Y58" s="208">
        <v>2.3469184515487776E-4</v>
      </c>
      <c r="Z58" s="152">
        <v>1.0075184557655723E-2</v>
      </c>
      <c r="AA58" s="159"/>
    </row>
    <row r="59" spans="1:27" ht="15" customHeight="1" x14ac:dyDescent="0.25">
      <c r="A59" s="201" t="s">
        <v>289</v>
      </c>
      <c r="B59" s="209">
        <v>20</v>
      </c>
      <c r="C59" s="209">
        <v>7</v>
      </c>
      <c r="D59" s="219">
        <v>0.35</v>
      </c>
      <c r="E59" s="220">
        <v>2.1425714285714283</v>
      </c>
      <c r="F59" s="220">
        <v>4.0714281666666672</v>
      </c>
      <c r="G59" s="209">
        <v>342</v>
      </c>
      <c r="H59" s="209">
        <v>2198.2782857142856</v>
      </c>
      <c r="I59" s="210">
        <v>2.2986902380627664E-4</v>
      </c>
      <c r="J59" s="209">
        <v>5</v>
      </c>
      <c r="K59" s="209">
        <v>2</v>
      </c>
      <c r="L59" s="219">
        <v>0.4</v>
      </c>
      <c r="M59" s="220">
        <v>2.0405714285714285</v>
      </c>
      <c r="N59" s="220">
        <v>4.125</v>
      </c>
      <c r="O59" s="209">
        <v>99</v>
      </c>
      <c r="P59" s="209">
        <v>202.01657142857141</v>
      </c>
      <c r="Q59" s="210">
        <v>3.0412533567336858E-4</v>
      </c>
      <c r="R59" s="209">
        <v>25</v>
      </c>
      <c r="S59" s="209">
        <v>9</v>
      </c>
      <c r="T59" s="219">
        <v>0.36</v>
      </c>
      <c r="U59" s="220">
        <v>2.0915714285714282</v>
      </c>
      <c r="V59" s="220">
        <v>4.0833330185185188</v>
      </c>
      <c r="W59" s="209">
        <v>441</v>
      </c>
      <c r="X59" s="209">
        <v>2400.2948571428569</v>
      </c>
      <c r="Y59" s="210">
        <v>2.3469184515487776E-4</v>
      </c>
      <c r="Z59" s="152">
        <v>9.3510670565502465E-4</v>
      </c>
      <c r="AA59" s="159"/>
    </row>
    <row r="60" spans="1:27" ht="15" customHeight="1" x14ac:dyDescent="0.25">
      <c r="A60" s="198" t="s">
        <v>38</v>
      </c>
      <c r="B60" s="207">
        <v>913</v>
      </c>
      <c r="C60" s="207">
        <v>687</v>
      </c>
      <c r="D60" s="217">
        <v>0.75246440306681273</v>
      </c>
      <c r="E60" s="218">
        <v>1.3289665211062591</v>
      </c>
      <c r="F60" s="218">
        <v>4.2400528333333325</v>
      </c>
      <c r="G60" s="207">
        <v>34955</v>
      </c>
      <c r="H60" s="207">
        <v>139362.07423580787</v>
      </c>
      <c r="I60" s="208">
        <v>1.4572779146473662E-2</v>
      </c>
      <c r="J60" s="207">
        <v>243</v>
      </c>
      <c r="K60" s="207">
        <v>109</v>
      </c>
      <c r="L60" s="217">
        <v>0.44855967078189302</v>
      </c>
      <c r="M60" s="218">
        <v>1.9415097001763668</v>
      </c>
      <c r="N60" s="218">
        <v>4.2438833333333337</v>
      </c>
      <c r="O60" s="207">
        <v>5551</v>
      </c>
      <c r="P60" s="207">
        <v>10777.320345679012</v>
      </c>
      <c r="Q60" s="208">
        <v>1.6224689611406266E-2</v>
      </c>
      <c r="R60" s="207">
        <v>1156</v>
      </c>
      <c r="S60" s="207">
        <v>796</v>
      </c>
      <c r="T60" s="217">
        <v>0.68858131487889274</v>
      </c>
      <c r="U60" s="218">
        <v>1.635238110641313</v>
      </c>
      <c r="V60" s="218">
        <v>4.240577361599664</v>
      </c>
      <c r="W60" s="207">
        <v>40506</v>
      </c>
      <c r="X60" s="207">
        <v>150139.39458148688</v>
      </c>
      <c r="Y60" s="208">
        <v>1.468006792578328E-2</v>
      </c>
      <c r="Z60" s="152">
        <v>9.5606061625799364E-4</v>
      </c>
      <c r="AA60" s="159"/>
    </row>
    <row r="61" spans="1:27" ht="15" customHeight="1" x14ac:dyDescent="0.25">
      <c r="A61" s="201" t="s">
        <v>288</v>
      </c>
      <c r="B61" s="209">
        <v>913</v>
      </c>
      <c r="C61" s="209">
        <v>687</v>
      </c>
      <c r="D61" s="219">
        <v>0.75246440306681273</v>
      </c>
      <c r="E61" s="220">
        <v>1.3289665211062591</v>
      </c>
      <c r="F61" s="220">
        <v>4.2400528333333325</v>
      </c>
      <c r="G61" s="209">
        <v>34955</v>
      </c>
      <c r="H61" s="209">
        <v>139362.07423580787</v>
      </c>
      <c r="I61" s="210">
        <v>1.4572779146473662E-2</v>
      </c>
      <c r="J61" s="209">
        <v>243</v>
      </c>
      <c r="K61" s="209">
        <v>109</v>
      </c>
      <c r="L61" s="219">
        <v>0.44855967078189302</v>
      </c>
      <c r="M61" s="220">
        <v>1.9415097001763668</v>
      </c>
      <c r="N61" s="220">
        <v>4.2438833333333337</v>
      </c>
      <c r="O61" s="209">
        <v>5551</v>
      </c>
      <c r="P61" s="209">
        <v>10777.320345679012</v>
      </c>
      <c r="Q61" s="210">
        <v>1.6224689611406266E-2</v>
      </c>
      <c r="R61" s="209">
        <v>1156</v>
      </c>
      <c r="S61" s="209">
        <v>796</v>
      </c>
      <c r="T61" s="219">
        <v>0.68858131487889274</v>
      </c>
      <c r="U61" s="220">
        <v>1.635238110641313</v>
      </c>
      <c r="V61" s="220">
        <v>4.240577361599664</v>
      </c>
      <c r="W61" s="209">
        <v>40506</v>
      </c>
      <c r="X61" s="209">
        <v>150139.39458148688</v>
      </c>
      <c r="Y61" s="210">
        <v>1.468006792578328E-2</v>
      </c>
      <c r="Z61" s="152">
        <v>1.483980263645469E-2</v>
      </c>
      <c r="AA61" s="159"/>
    </row>
    <row r="62" spans="1:27" ht="15" customHeight="1" x14ac:dyDescent="0.25">
      <c r="A62" s="198" t="s">
        <v>39</v>
      </c>
      <c r="B62" s="207">
        <v>195</v>
      </c>
      <c r="C62" s="207">
        <v>145</v>
      </c>
      <c r="D62" s="217">
        <v>0.74358974358974361</v>
      </c>
      <c r="E62" s="218">
        <v>1.3448275862068968</v>
      </c>
      <c r="F62" s="218">
        <v>4.6718384999999998</v>
      </c>
      <c r="G62" s="207">
        <v>8129</v>
      </c>
      <c r="H62" s="207">
        <v>32796.310344827594</v>
      </c>
      <c r="I62" s="208">
        <v>3.4294365242131361E-3</v>
      </c>
      <c r="J62" s="223"/>
      <c r="K62" s="223"/>
      <c r="L62" s="223"/>
      <c r="M62" s="223"/>
      <c r="N62" s="223"/>
      <c r="O62" s="223"/>
      <c r="P62" s="223"/>
      <c r="Q62" s="223"/>
      <c r="R62" s="207">
        <v>195</v>
      </c>
      <c r="S62" s="207">
        <v>145</v>
      </c>
      <c r="T62" s="217">
        <v>0.74358974358974361</v>
      </c>
      <c r="U62" s="218">
        <v>1.3448275862068968</v>
      </c>
      <c r="V62" s="218">
        <v>4.6718384999999998</v>
      </c>
      <c r="W62" s="207">
        <v>8129</v>
      </c>
      <c r="X62" s="207">
        <v>32796.310344827594</v>
      </c>
      <c r="Y62" s="208">
        <v>3.206700446070028E-3</v>
      </c>
      <c r="Z62" s="152">
        <v>5.0501102495838545E-3</v>
      </c>
      <c r="AA62" s="159"/>
    </row>
    <row r="63" spans="1:27" ht="15" customHeight="1" x14ac:dyDescent="0.25">
      <c r="A63" s="201" t="s">
        <v>287</v>
      </c>
      <c r="B63" s="209">
        <v>195</v>
      </c>
      <c r="C63" s="209">
        <v>145</v>
      </c>
      <c r="D63" s="219">
        <v>0.74358974358974361</v>
      </c>
      <c r="E63" s="220">
        <v>1.3448275862068968</v>
      </c>
      <c r="F63" s="220">
        <v>4.6718384999999998</v>
      </c>
      <c r="G63" s="209">
        <v>8129</v>
      </c>
      <c r="H63" s="209">
        <v>32796.310344827594</v>
      </c>
      <c r="I63" s="210">
        <v>3.4294365242131361E-3</v>
      </c>
      <c r="J63" s="224"/>
      <c r="K63" s="224"/>
      <c r="L63" s="224"/>
      <c r="M63" s="224"/>
      <c r="N63" s="224"/>
      <c r="O63" s="224"/>
      <c r="P63" s="224"/>
      <c r="Q63" s="224"/>
      <c r="R63" s="209">
        <v>195</v>
      </c>
      <c r="S63" s="209">
        <v>145</v>
      </c>
      <c r="T63" s="219">
        <v>0.74358974358974361</v>
      </c>
      <c r="U63" s="220">
        <v>1.3448275862068968</v>
      </c>
      <c r="V63" s="220">
        <v>4.6718384999999998</v>
      </c>
      <c r="W63" s="209">
        <v>8129</v>
      </c>
      <c r="X63" s="209">
        <v>32796.310344827594</v>
      </c>
      <c r="Y63" s="210">
        <v>3.206700446070028E-3</v>
      </c>
      <c r="Z63" s="152">
        <v>4.3377772053981037E-4</v>
      </c>
      <c r="AA63" s="159"/>
    </row>
    <row r="64" spans="1:27" ht="15" customHeight="1" x14ac:dyDescent="0.25">
      <c r="A64" s="198" t="s">
        <v>441</v>
      </c>
      <c r="B64" s="207">
        <v>2509</v>
      </c>
      <c r="C64" s="207">
        <v>1102</v>
      </c>
      <c r="D64" s="217">
        <v>0.43921881227580711</v>
      </c>
      <c r="E64" s="218">
        <v>1.9605650515287822</v>
      </c>
      <c r="F64" s="218">
        <v>4.2078790000000001</v>
      </c>
      <c r="G64" s="207">
        <v>55645</v>
      </c>
      <c r="H64" s="207">
        <v>327286.92687695724</v>
      </c>
      <c r="I64" s="208">
        <v>3.4223658976514401E-2</v>
      </c>
      <c r="J64" s="207">
        <v>460</v>
      </c>
      <c r="K64" s="207">
        <v>173</v>
      </c>
      <c r="L64" s="217">
        <v>0.37608695652173912</v>
      </c>
      <c r="M64" s="218">
        <v>2.0893540372670807</v>
      </c>
      <c r="N64" s="218">
        <v>4.1315024166666658</v>
      </c>
      <c r="O64" s="207">
        <v>8577</v>
      </c>
      <c r="P64" s="207">
        <v>17920.389577639751</v>
      </c>
      <c r="Q64" s="208">
        <v>2.6978205090587036E-2</v>
      </c>
      <c r="R64" s="207">
        <v>2969</v>
      </c>
      <c r="S64" s="207">
        <v>1275</v>
      </c>
      <c r="T64" s="217">
        <v>0.42943752105085886</v>
      </c>
      <c r="U64" s="218">
        <v>2.0249595443979316</v>
      </c>
      <c r="V64" s="218">
        <v>4.1975157459477135</v>
      </c>
      <c r="W64" s="207">
        <v>64222</v>
      </c>
      <c r="X64" s="207">
        <v>345207.31645459699</v>
      </c>
      <c r="Y64" s="208">
        <v>3.375307905135061E-2</v>
      </c>
      <c r="Z64" s="152">
        <v>2.5548048400517893E-3</v>
      </c>
      <c r="AA64" s="159"/>
    </row>
    <row r="65" spans="1:27" ht="15" customHeight="1" x14ac:dyDescent="0.25">
      <c r="A65" s="201" t="s">
        <v>286</v>
      </c>
      <c r="B65" s="209">
        <v>2509</v>
      </c>
      <c r="C65" s="209">
        <v>1102</v>
      </c>
      <c r="D65" s="219">
        <v>0.43921881227580711</v>
      </c>
      <c r="E65" s="220">
        <v>1.9605650515287822</v>
      </c>
      <c r="F65" s="220">
        <v>4.2078790000000001</v>
      </c>
      <c r="G65" s="209">
        <v>55645</v>
      </c>
      <c r="H65" s="209">
        <v>327286.92687695724</v>
      </c>
      <c r="I65" s="210">
        <v>3.4223658976514401E-2</v>
      </c>
      <c r="J65" s="209">
        <v>460</v>
      </c>
      <c r="K65" s="209">
        <v>173</v>
      </c>
      <c r="L65" s="219">
        <v>0.37608695652173912</v>
      </c>
      <c r="M65" s="220">
        <v>2.0893540372670807</v>
      </c>
      <c r="N65" s="220">
        <v>4.1315024166666658</v>
      </c>
      <c r="O65" s="209">
        <v>8577</v>
      </c>
      <c r="P65" s="209">
        <v>17920.389577639751</v>
      </c>
      <c r="Q65" s="210">
        <v>2.6978205090587036E-2</v>
      </c>
      <c r="R65" s="209">
        <v>2969</v>
      </c>
      <c r="S65" s="209">
        <v>1275</v>
      </c>
      <c r="T65" s="219">
        <v>0.42943752105085886</v>
      </c>
      <c r="U65" s="220">
        <v>2.0249595443979316</v>
      </c>
      <c r="V65" s="220">
        <v>4.1975157459477135</v>
      </c>
      <c r="W65" s="209">
        <v>64222</v>
      </c>
      <c r="X65" s="209">
        <v>345207.31645459699</v>
      </c>
      <c r="Y65" s="210">
        <v>3.375307905135061E-2</v>
      </c>
      <c r="Z65" s="152">
        <v>4.0409425585697725E-2</v>
      </c>
      <c r="AA65" s="159"/>
    </row>
    <row r="66" spans="1:27" ht="15" customHeight="1" x14ac:dyDescent="0.25">
      <c r="A66" s="198" t="s">
        <v>40</v>
      </c>
      <c r="B66" s="207">
        <v>129</v>
      </c>
      <c r="C66" s="207">
        <v>84</v>
      </c>
      <c r="D66" s="217">
        <v>0.65116279069767447</v>
      </c>
      <c r="E66" s="218">
        <v>1.5281993355481727</v>
      </c>
      <c r="F66" s="218">
        <v>4.3978168333333327</v>
      </c>
      <c r="G66" s="207">
        <v>4433</v>
      </c>
      <c r="H66" s="207">
        <v>20323.522963455147</v>
      </c>
      <c r="I66" s="208">
        <v>2.1251851570720909E-3</v>
      </c>
      <c r="J66" s="207">
        <v>15</v>
      </c>
      <c r="K66" s="207">
        <v>5</v>
      </c>
      <c r="L66" s="217">
        <v>0.33333333333333331</v>
      </c>
      <c r="M66" s="218">
        <v>2.1765714285714286</v>
      </c>
      <c r="N66" s="218">
        <v>4.45</v>
      </c>
      <c r="O66" s="207">
        <v>267</v>
      </c>
      <c r="P66" s="207">
        <v>581.14457142857145</v>
      </c>
      <c r="Q66" s="208">
        <v>8.7488262279989163E-4</v>
      </c>
      <c r="R66" s="207">
        <v>144</v>
      </c>
      <c r="S66" s="207">
        <v>89</v>
      </c>
      <c r="T66" s="217">
        <v>0.61805555555555558</v>
      </c>
      <c r="U66" s="218">
        <v>1.8523853820598006</v>
      </c>
      <c r="V66" s="218">
        <v>4.400748471910112</v>
      </c>
      <c r="W66" s="207">
        <v>4700</v>
      </c>
      <c r="X66" s="207">
        <v>20904.66753488372</v>
      </c>
      <c r="Y66" s="208">
        <v>2.0439801308207084E-3</v>
      </c>
      <c r="Z66" s="152">
        <v>3.1716379892267776E-2</v>
      </c>
      <c r="AA66" s="159"/>
    </row>
    <row r="67" spans="1:27" ht="15" customHeight="1" x14ac:dyDescent="0.25">
      <c r="A67" s="201" t="s">
        <v>291</v>
      </c>
      <c r="B67" s="209">
        <v>129</v>
      </c>
      <c r="C67" s="209">
        <v>84</v>
      </c>
      <c r="D67" s="219">
        <v>0.65116279069767447</v>
      </c>
      <c r="E67" s="220">
        <v>1.5281993355481727</v>
      </c>
      <c r="F67" s="220">
        <v>4.3978168333333327</v>
      </c>
      <c r="G67" s="209">
        <v>4433</v>
      </c>
      <c r="H67" s="209">
        <v>20323.522963455147</v>
      </c>
      <c r="I67" s="210">
        <v>2.1251851570720909E-3</v>
      </c>
      <c r="J67" s="209">
        <v>15</v>
      </c>
      <c r="K67" s="209">
        <v>5</v>
      </c>
      <c r="L67" s="219">
        <v>0.33333333333333331</v>
      </c>
      <c r="M67" s="220">
        <v>2.1765714285714286</v>
      </c>
      <c r="N67" s="220">
        <v>4.45</v>
      </c>
      <c r="O67" s="209">
        <v>267</v>
      </c>
      <c r="P67" s="209">
        <v>581.14457142857145</v>
      </c>
      <c r="Q67" s="210">
        <v>8.7488262279989163E-4</v>
      </c>
      <c r="R67" s="209">
        <v>144</v>
      </c>
      <c r="S67" s="209">
        <v>89</v>
      </c>
      <c r="T67" s="219">
        <v>0.61805555555555558</v>
      </c>
      <c r="U67" s="220">
        <v>1.8523853820598006</v>
      </c>
      <c r="V67" s="220">
        <v>4.400748471910112</v>
      </c>
      <c r="W67" s="209">
        <v>4700</v>
      </c>
      <c r="X67" s="209">
        <v>20904.66753488372</v>
      </c>
      <c r="Y67" s="210">
        <v>2.0439801308207084E-3</v>
      </c>
      <c r="Z67" s="152">
        <v>1.9983884862441017E-4</v>
      </c>
      <c r="AA67" s="159"/>
    </row>
    <row r="68" spans="1:27" ht="15" customHeight="1" x14ac:dyDescent="0.25">
      <c r="A68" s="198" t="s">
        <v>41</v>
      </c>
      <c r="B68" s="207">
        <v>59</v>
      </c>
      <c r="C68" s="207">
        <v>54</v>
      </c>
      <c r="D68" s="217">
        <v>0.9152542372881356</v>
      </c>
      <c r="E68" s="218">
        <v>1.0925925925925928</v>
      </c>
      <c r="F68" s="218">
        <v>4.5293204166666667</v>
      </c>
      <c r="G68" s="207">
        <v>2935</v>
      </c>
      <c r="H68" s="207">
        <v>9620.2777777777792</v>
      </c>
      <c r="I68" s="208">
        <v>1.0059708435888244E-3</v>
      </c>
      <c r="J68" s="207">
        <v>21</v>
      </c>
      <c r="K68" s="207">
        <v>21</v>
      </c>
      <c r="L68" s="217">
        <v>1</v>
      </c>
      <c r="M68" s="218">
        <v>1</v>
      </c>
      <c r="N68" s="218">
        <v>4.6388881666666677</v>
      </c>
      <c r="O68" s="207">
        <v>1169</v>
      </c>
      <c r="P68" s="207">
        <v>1169</v>
      </c>
      <c r="Q68" s="208">
        <v>1.7598680884843784E-3</v>
      </c>
      <c r="R68" s="207">
        <v>80</v>
      </c>
      <c r="S68" s="207">
        <v>75</v>
      </c>
      <c r="T68" s="217">
        <v>0.9375</v>
      </c>
      <c r="U68" s="218">
        <v>1.0462962962962963</v>
      </c>
      <c r="V68" s="218">
        <v>4.5599993866666662</v>
      </c>
      <c r="W68" s="207">
        <v>4104</v>
      </c>
      <c r="X68" s="207">
        <v>10789.277777777779</v>
      </c>
      <c r="Y68" s="208">
        <v>1.0549351893247344E-3</v>
      </c>
      <c r="Z68" s="152">
        <v>3.6033200184906918E-2</v>
      </c>
      <c r="AA68" s="159"/>
    </row>
    <row r="69" spans="1:27" ht="15" customHeight="1" x14ac:dyDescent="0.25">
      <c r="A69" s="201" t="s">
        <v>290</v>
      </c>
      <c r="B69" s="209">
        <v>59</v>
      </c>
      <c r="C69" s="209">
        <v>54</v>
      </c>
      <c r="D69" s="219">
        <v>0.9152542372881356</v>
      </c>
      <c r="E69" s="220">
        <v>1.0925925925925928</v>
      </c>
      <c r="F69" s="220">
        <v>4.5293204166666667</v>
      </c>
      <c r="G69" s="209">
        <v>2935</v>
      </c>
      <c r="H69" s="209">
        <v>9620.2777777777792</v>
      </c>
      <c r="I69" s="210">
        <v>1.0059708435888244E-3</v>
      </c>
      <c r="J69" s="209">
        <v>21</v>
      </c>
      <c r="K69" s="209">
        <v>21</v>
      </c>
      <c r="L69" s="219">
        <v>1</v>
      </c>
      <c r="M69" s="220">
        <v>1</v>
      </c>
      <c r="N69" s="220">
        <v>4.6388881666666677</v>
      </c>
      <c r="O69" s="209">
        <v>1169</v>
      </c>
      <c r="P69" s="209">
        <v>1169</v>
      </c>
      <c r="Q69" s="210">
        <v>1.7598680884843784E-3</v>
      </c>
      <c r="R69" s="209">
        <v>80</v>
      </c>
      <c r="S69" s="209">
        <v>75</v>
      </c>
      <c r="T69" s="219">
        <v>0.9375</v>
      </c>
      <c r="U69" s="220">
        <v>1.0462962962962963</v>
      </c>
      <c r="V69" s="220">
        <v>4.5599993866666662</v>
      </c>
      <c r="W69" s="209">
        <v>4104</v>
      </c>
      <c r="X69" s="209">
        <v>10789.277777777779</v>
      </c>
      <c r="Y69" s="210">
        <v>1.0549351893247344E-3</v>
      </c>
      <c r="Z69" s="152">
        <v>5.772621283128812E-4</v>
      </c>
      <c r="AA69" s="159"/>
    </row>
    <row r="70" spans="1:27" ht="15" customHeight="1" x14ac:dyDescent="0.25">
      <c r="A70" s="198" t="s">
        <v>42</v>
      </c>
      <c r="B70" s="207">
        <v>150</v>
      </c>
      <c r="C70" s="207">
        <v>63</v>
      </c>
      <c r="D70" s="217">
        <v>0.42</v>
      </c>
      <c r="E70" s="218">
        <v>1.9997714285714285</v>
      </c>
      <c r="F70" s="218">
        <v>4.1944441666666679</v>
      </c>
      <c r="G70" s="207">
        <v>3171</v>
      </c>
      <c r="H70" s="207">
        <v>19023.8256</v>
      </c>
      <c r="I70" s="208">
        <v>1.9892787224215984E-3</v>
      </c>
      <c r="J70" s="207">
        <v>70</v>
      </c>
      <c r="K70" s="207">
        <v>17</v>
      </c>
      <c r="L70" s="217">
        <v>0.24285714285714285</v>
      </c>
      <c r="M70" s="218">
        <v>2.3611428571428572</v>
      </c>
      <c r="N70" s="218">
        <v>3.8578426666666674</v>
      </c>
      <c r="O70" s="207">
        <v>787</v>
      </c>
      <c r="P70" s="207">
        <v>1858.2194285714286</v>
      </c>
      <c r="Q70" s="208">
        <v>2.7974517311758203E-3</v>
      </c>
      <c r="R70" s="207">
        <v>220</v>
      </c>
      <c r="S70" s="207">
        <v>80</v>
      </c>
      <c r="T70" s="217">
        <v>0.36363636363636365</v>
      </c>
      <c r="U70" s="218">
        <v>2.1804571428571426</v>
      </c>
      <c r="V70" s="218">
        <v>4.1229163479166671</v>
      </c>
      <c r="W70" s="207">
        <v>3958</v>
      </c>
      <c r="X70" s="207">
        <v>20882.045028571429</v>
      </c>
      <c r="Y70" s="208">
        <v>2.0417681868453007E-3</v>
      </c>
      <c r="Z70" s="152">
        <v>1.1379037341074778E-2</v>
      </c>
      <c r="AA70" s="159"/>
    </row>
    <row r="71" spans="1:27" ht="15" customHeight="1" x14ac:dyDescent="0.25">
      <c r="A71" s="201" t="s">
        <v>285</v>
      </c>
      <c r="B71" s="209">
        <v>150</v>
      </c>
      <c r="C71" s="209">
        <v>63</v>
      </c>
      <c r="D71" s="219">
        <v>0.42</v>
      </c>
      <c r="E71" s="220">
        <v>1.9997714285714285</v>
      </c>
      <c r="F71" s="220">
        <v>4.1944441666666679</v>
      </c>
      <c r="G71" s="209">
        <v>3171</v>
      </c>
      <c r="H71" s="209">
        <v>19023.8256</v>
      </c>
      <c r="I71" s="210">
        <v>1.9892787224215984E-3</v>
      </c>
      <c r="J71" s="209">
        <v>70</v>
      </c>
      <c r="K71" s="209">
        <v>17</v>
      </c>
      <c r="L71" s="219">
        <v>0.24285714285714285</v>
      </c>
      <c r="M71" s="220">
        <v>2.3611428571428572</v>
      </c>
      <c r="N71" s="220">
        <v>3.8578426666666674</v>
      </c>
      <c r="O71" s="209">
        <v>787</v>
      </c>
      <c r="P71" s="209">
        <v>1858.2194285714286</v>
      </c>
      <c r="Q71" s="210">
        <v>2.7974517311758203E-3</v>
      </c>
      <c r="R71" s="209">
        <v>220</v>
      </c>
      <c r="S71" s="209">
        <v>80</v>
      </c>
      <c r="T71" s="219">
        <v>0.36363636363636365</v>
      </c>
      <c r="U71" s="220">
        <v>2.1804571428571426</v>
      </c>
      <c r="V71" s="220">
        <v>4.1229163479166671</v>
      </c>
      <c r="W71" s="209">
        <v>3958</v>
      </c>
      <c r="X71" s="209">
        <v>20882.045028571429</v>
      </c>
      <c r="Y71" s="210">
        <v>2.0417681868453007E-3</v>
      </c>
      <c r="Z71" s="152">
        <v>3.380654500586637E-4</v>
      </c>
      <c r="AA71" s="159"/>
    </row>
    <row r="72" spans="1:27" ht="15" customHeight="1" x14ac:dyDescent="0.25">
      <c r="A72" s="198" t="s">
        <v>43</v>
      </c>
      <c r="B72" s="207">
        <v>1023</v>
      </c>
      <c r="C72" s="207">
        <v>600</v>
      </c>
      <c r="D72" s="217">
        <v>0.5865102639296188</v>
      </c>
      <c r="E72" s="218">
        <v>1.6600904901550064</v>
      </c>
      <c r="F72" s="218">
        <v>4.3772218333333335</v>
      </c>
      <c r="G72" s="207">
        <v>31516</v>
      </c>
      <c r="H72" s="207">
        <v>156958.23566317555</v>
      </c>
      <c r="I72" s="208">
        <v>1.6412770232375869E-2</v>
      </c>
      <c r="J72" s="207">
        <v>111</v>
      </c>
      <c r="K72" s="207">
        <v>52</v>
      </c>
      <c r="L72" s="217">
        <v>0.46846846846846846</v>
      </c>
      <c r="M72" s="218">
        <v>1.9008957528957529</v>
      </c>
      <c r="N72" s="218">
        <v>4.259614916666667</v>
      </c>
      <c r="O72" s="207">
        <v>2658</v>
      </c>
      <c r="P72" s="207">
        <v>5052.5809111969111</v>
      </c>
      <c r="Q72" s="208">
        <v>7.6063951326781577E-3</v>
      </c>
      <c r="R72" s="207">
        <v>1134</v>
      </c>
      <c r="S72" s="207">
        <v>652</v>
      </c>
      <c r="T72" s="217">
        <v>0.57495590828924159</v>
      </c>
      <c r="U72" s="218">
        <v>1.7804931215253796</v>
      </c>
      <c r="V72" s="218">
        <v>4.367842140593047</v>
      </c>
      <c r="W72" s="207">
        <v>34174</v>
      </c>
      <c r="X72" s="207">
        <v>162010.81657437247</v>
      </c>
      <c r="Y72" s="208">
        <v>1.5840811125241251E-2</v>
      </c>
      <c r="Z72" s="152">
        <v>1.7806196151548138E-2</v>
      </c>
      <c r="AA72" s="159"/>
    </row>
    <row r="73" spans="1:27" ht="15" customHeight="1" x14ac:dyDescent="0.25">
      <c r="A73" s="201" t="s">
        <v>284</v>
      </c>
      <c r="B73" s="209">
        <v>1023</v>
      </c>
      <c r="C73" s="209">
        <v>600</v>
      </c>
      <c r="D73" s="219">
        <v>0.5865102639296188</v>
      </c>
      <c r="E73" s="220">
        <v>1.6600904901550064</v>
      </c>
      <c r="F73" s="220">
        <v>4.3772218333333335</v>
      </c>
      <c r="G73" s="209">
        <v>31516</v>
      </c>
      <c r="H73" s="209">
        <v>156958.23566317555</v>
      </c>
      <c r="I73" s="210">
        <v>1.6412770232375869E-2</v>
      </c>
      <c r="J73" s="209">
        <v>111</v>
      </c>
      <c r="K73" s="209">
        <v>52</v>
      </c>
      <c r="L73" s="219">
        <v>0.46846846846846846</v>
      </c>
      <c r="M73" s="220">
        <v>1.9008957528957529</v>
      </c>
      <c r="N73" s="220">
        <v>4.259614916666667</v>
      </c>
      <c r="O73" s="209">
        <v>2658</v>
      </c>
      <c r="P73" s="209">
        <v>5052.5809111969111</v>
      </c>
      <c r="Q73" s="210">
        <v>7.6063951326781577E-3</v>
      </c>
      <c r="R73" s="209">
        <v>1134</v>
      </c>
      <c r="S73" s="209">
        <v>652</v>
      </c>
      <c r="T73" s="219">
        <v>0.57495590828924159</v>
      </c>
      <c r="U73" s="220">
        <v>1.7804931215253796</v>
      </c>
      <c r="V73" s="220">
        <v>4.367842140593047</v>
      </c>
      <c r="W73" s="209">
        <v>34174</v>
      </c>
      <c r="X73" s="209">
        <v>162010.81657437247</v>
      </c>
      <c r="Y73" s="210">
        <v>1.5840811125241251E-2</v>
      </c>
      <c r="Z73" s="152">
        <v>1.1593330540362724E-2</v>
      </c>
      <c r="AA73" s="159"/>
    </row>
    <row r="74" spans="1:27" ht="15" customHeight="1" x14ac:dyDescent="0.25">
      <c r="A74" s="198" t="s">
        <v>149</v>
      </c>
      <c r="B74" s="207">
        <v>46</v>
      </c>
      <c r="C74" s="207">
        <v>26</v>
      </c>
      <c r="D74" s="217">
        <v>0.56521739130434778</v>
      </c>
      <c r="E74" s="218">
        <v>1.7035279503105589</v>
      </c>
      <c r="F74" s="218">
        <v>4.5993585833333333</v>
      </c>
      <c r="G74" s="207">
        <v>1435</v>
      </c>
      <c r="H74" s="207">
        <v>7333.6878260869562</v>
      </c>
      <c r="I74" s="208">
        <v>7.6686726718715756E-4</v>
      </c>
      <c r="J74" s="207">
        <v>6</v>
      </c>
      <c r="K74" s="207">
        <v>4</v>
      </c>
      <c r="L74" s="217">
        <v>0.66666666666666663</v>
      </c>
      <c r="M74" s="218">
        <v>1.4965714285714287</v>
      </c>
      <c r="N74" s="218">
        <v>4.291666666666667</v>
      </c>
      <c r="O74" s="207">
        <v>206</v>
      </c>
      <c r="P74" s="207">
        <v>308.29371428571432</v>
      </c>
      <c r="Q74" s="208">
        <v>4.6411999114777516E-4</v>
      </c>
      <c r="R74" s="207">
        <v>52</v>
      </c>
      <c r="S74" s="207">
        <v>30</v>
      </c>
      <c r="T74" s="217">
        <v>0.57692307692307687</v>
      </c>
      <c r="U74" s="218">
        <v>1.6000496894409939</v>
      </c>
      <c r="V74" s="218">
        <v>4.5583329944444451</v>
      </c>
      <c r="W74" s="207">
        <v>1641</v>
      </c>
      <c r="X74" s="207">
        <v>7641.9815403726707</v>
      </c>
      <c r="Y74" s="208">
        <v>7.4720434575460736E-4</v>
      </c>
      <c r="Z74" s="152">
        <v>8.259962703494251E-4</v>
      </c>
      <c r="AA74" s="159"/>
    </row>
    <row r="75" spans="1:27" ht="15" customHeight="1" x14ac:dyDescent="0.25">
      <c r="A75" s="201" t="s">
        <v>283</v>
      </c>
      <c r="B75" s="209">
        <v>46</v>
      </c>
      <c r="C75" s="209">
        <v>26</v>
      </c>
      <c r="D75" s="219">
        <v>0.56521739130434778</v>
      </c>
      <c r="E75" s="220">
        <v>1.7035279503105589</v>
      </c>
      <c r="F75" s="220">
        <v>4.5993585833333333</v>
      </c>
      <c r="G75" s="209">
        <v>1435</v>
      </c>
      <c r="H75" s="209">
        <v>7333.6878260869562</v>
      </c>
      <c r="I75" s="210">
        <v>7.6686726718715756E-4</v>
      </c>
      <c r="J75" s="209">
        <v>6</v>
      </c>
      <c r="K75" s="209">
        <v>4</v>
      </c>
      <c r="L75" s="219">
        <v>0.66666666666666663</v>
      </c>
      <c r="M75" s="220">
        <v>1.4965714285714287</v>
      </c>
      <c r="N75" s="220">
        <v>4.291666666666667</v>
      </c>
      <c r="O75" s="209">
        <v>206</v>
      </c>
      <c r="P75" s="209">
        <v>308.29371428571432</v>
      </c>
      <c r="Q75" s="210">
        <v>4.6411999114777516E-4</v>
      </c>
      <c r="R75" s="209">
        <v>52</v>
      </c>
      <c r="S75" s="209">
        <v>30</v>
      </c>
      <c r="T75" s="219">
        <v>0.57692307692307687</v>
      </c>
      <c r="U75" s="220">
        <v>1.6000496894409939</v>
      </c>
      <c r="V75" s="220">
        <v>4.5583329944444451</v>
      </c>
      <c r="W75" s="209">
        <v>1641</v>
      </c>
      <c r="X75" s="209">
        <v>7641.9815403726707</v>
      </c>
      <c r="Y75" s="210">
        <v>7.4720434575460736E-4</v>
      </c>
      <c r="Z75" s="152">
        <v>1.5823114089660441E-3</v>
      </c>
      <c r="AA75" s="159"/>
    </row>
    <row r="76" spans="1:27" ht="15" customHeight="1" x14ac:dyDescent="0.25">
      <c r="A76" s="198" t="s">
        <v>496</v>
      </c>
      <c r="B76" s="207">
        <v>34</v>
      </c>
      <c r="C76" s="207">
        <v>18</v>
      </c>
      <c r="D76" s="217">
        <v>0.52941176470588236</v>
      </c>
      <c r="E76" s="218">
        <v>1.7765714285714287</v>
      </c>
      <c r="F76" s="218">
        <v>3.9953698333333341</v>
      </c>
      <c r="G76" s="207">
        <v>863</v>
      </c>
      <c r="H76" s="207">
        <v>4599.5434285714291</v>
      </c>
      <c r="I76" s="208">
        <v>4.8096392742957178E-4</v>
      </c>
      <c r="J76" s="207">
        <v>3</v>
      </c>
      <c r="K76" s="207">
        <v>2</v>
      </c>
      <c r="L76" s="217">
        <v>0.66666666666666663</v>
      </c>
      <c r="M76" s="218">
        <v>1.4965714285714287</v>
      </c>
      <c r="N76" s="218">
        <v>4.708333333333333</v>
      </c>
      <c r="O76" s="207">
        <v>113</v>
      </c>
      <c r="P76" s="207">
        <v>169.11257142857144</v>
      </c>
      <c r="Q76" s="208">
        <v>2.5459009223154658E-4</v>
      </c>
      <c r="R76" s="207">
        <v>37</v>
      </c>
      <c r="S76" s="207">
        <v>20</v>
      </c>
      <c r="T76" s="217">
        <v>0.54054054054054057</v>
      </c>
      <c r="U76" s="218">
        <v>1.6365714285714286</v>
      </c>
      <c r="V76" s="218">
        <v>4.066666183333334</v>
      </c>
      <c r="W76" s="207">
        <v>976</v>
      </c>
      <c r="X76" s="207">
        <v>4768.6560000000009</v>
      </c>
      <c r="Y76" s="208">
        <v>4.6626133127704745E-4</v>
      </c>
      <c r="Z76" s="152">
        <v>3.5931878116324538E-4</v>
      </c>
      <c r="AA76" s="159"/>
    </row>
    <row r="77" spans="1:27" ht="15" customHeight="1" x14ac:dyDescent="0.25">
      <c r="A77" s="201" t="s">
        <v>282</v>
      </c>
      <c r="B77" s="209">
        <v>34</v>
      </c>
      <c r="C77" s="209">
        <v>18</v>
      </c>
      <c r="D77" s="219">
        <v>0.52941176470588236</v>
      </c>
      <c r="E77" s="220">
        <v>1.7765714285714287</v>
      </c>
      <c r="F77" s="220">
        <v>3.9953698333333341</v>
      </c>
      <c r="G77" s="209">
        <v>863</v>
      </c>
      <c r="H77" s="209">
        <v>4599.5434285714291</v>
      </c>
      <c r="I77" s="210">
        <v>4.8096392742957178E-4</v>
      </c>
      <c r="J77" s="209">
        <v>3</v>
      </c>
      <c r="K77" s="209">
        <v>2</v>
      </c>
      <c r="L77" s="219">
        <v>0.66666666666666663</v>
      </c>
      <c r="M77" s="220">
        <v>1.4965714285714287</v>
      </c>
      <c r="N77" s="220">
        <v>4.708333333333333</v>
      </c>
      <c r="O77" s="209">
        <v>113</v>
      </c>
      <c r="P77" s="209">
        <v>169.11257142857144</v>
      </c>
      <c r="Q77" s="210">
        <v>2.5459009223154658E-4</v>
      </c>
      <c r="R77" s="209">
        <v>37</v>
      </c>
      <c r="S77" s="209">
        <v>20</v>
      </c>
      <c r="T77" s="219">
        <v>0.54054054054054057</v>
      </c>
      <c r="U77" s="220">
        <v>1.6365714285714286</v>
      </c>
      <c r="V77" s="220">
        <v>4.066666183333334</v>
      </c>
      <c r="W77" s="209">
        <v>976</v>
      </c>
      <c r="X77" s="209">
        <v>4768.6560000000009</v>
      </c>
      <c r="Y77" s="210">
        <v>4.6626133127704745E-4</v>
      </c>
      <c r="Z77" s="152">
        <v>1.5752843868682711E-4</v>
      </c>
      <c r="AA77" s="159"/>
    </row>
    <row r="78" spans="1:27" ht="15" customHeight="1" x14ac:dyDescent="0.25">
      <c r="A78" s="198" t="s">
        <v>46</v>
      </c>
      <c r="B78" s="207">
        <v>11</v>
      </c>
      <c r="C78" s="207">
        <v>9</v>
      </c>
      <c r="D78" s="217">
        <v>0.81818181818181823</v>
      </c>
      <c r="E78" s="218">
        <v>1.2222222222222223</v>
      </c>
      <c r="F78" s="218">
        <v>4.4351846666666672</v>
      </c>
      <c r="G78" s="207">
        <v>479</v>
      </c>
      <c r="H78" s="207">
        <v>1756.3333333333335</v>
      </c>
      <c r="I78" s="208">
        <v>1.8365583258289544E-4</v>
      </c>
      <c r="J78" s="207">
        <v>4</v>
      </c>
      <c r="K78" s="207">
        <v>3</v>
      </c>
      <c r="L78" s="217">
        <v>0.75</v>
      </c>
      <c r="M78" s="218">
        <v>1.3333333333333333</v>
      </c>
      <c r="N78" s="218">
        <v>3.8055550833333336</v>
      </c>
      <c r="O78" s="207">
        <v>137</v>
      </c>
      <c r="P78" s="207">
        <v>182.66666666666666</v>
      </c>
      <c r="Q78" s="208">
        <v>2.7499507057012813E-4</v>
      </c>
      <c r="R78" s="207">
        <v>15</v>
      </c>
      <c r="S78" s="207">
        <v>12</v>
      </c>
      <c r="T78" s="217">
        <v>0.8</v>
      </c>
      <c r="U78" s="218">
        <v>1.2777777777777777</v>
      </c>
      <c r="V78" s="218">
        <v>4.2777772708333339</v>
      </c>
      <c r="W78" s="207">
        <v>616</v>
      </c>
      <c r="X78" s="207">
        <v>1939.0000000000002</v>
      </c>
      <c r="Y78" s="208">
        <v>1.8958816097160185E-4</v>
      </c>
      <c r="Z78" s="152">
        <v>9.2979699814156006E-4</v>
      </c>
      <c r="AA78" s="159"/>
    </row>
    <row r="79" spans="1:27" ht="15" customHeight="1" x14ac:dyDescent="0.25">
      <c r="A79" s="201" t="s">
        <v>281</v>
      </c>
      <c r="B79" s="209">
        <v>11</v>
      </c>
      <c r="C79" s="209">
        <v>9</v>
      </c>
      <c r="D79" s="219">
        <v>0.81818181818181823</v>
      </c>
      <c r="E79" s="220">
        <v>1.2222222222222223</v>
      </c>
      <c r="F79" s="220">
        <v>4.4351846666666672</v>
      </c>
      <c r="G79" s="209">
        <v>479</v>
      </c>
      <c r="H79" s="209">
        <v>1756.3333333333335</v>
      </c>
      <c r="I79" s="210">
        <v>1.8365583258289544E-4</v>
      </c>
      <c r="J79" s="209">
        <v>4</v>
      </c>
      <c r="K79" s="209">
        <v>3</v>
      </c>
      <c r="L79" s="219">
        <v>0.75</v>
      </c>
      <c r="M79" s="220">
        <v>1.3333333333333333</v>
      </c>
      <c r="N79" s="220">
        <v>3.8055550833333336</v>
      </c>
      <c r="O79" s="209">
        <v>137</v>
      </c>
      <c r="P79" s="209">
        <v>182.66666666666666</v>
      </c>
      <c r="Q79" s="210">
        <v>2.7499507057012813E-4</v>
      </c>
      <c r="R79" s="209">
        <v>15</v>
      </c>
      <c r="S79" s="209">
        <v>12</v>
      </c>
      <c r="T79" s="219">
        <v>0.8</v>
      </c>
      <c r="U79" s="220">
        <v>1.2777777777777777</v>
      </c>
      <c r="V79" s="220">
        <v>4.2777772708333339</v>
      </c>
      <c r="W79" s="209">
        <v>616</v>
      </c>
      <c r="X79" s="209">
        <v>1939.0000000000002</v>
      </c>
      <c r="Y79" s="210">
        <v>1.8958816097160185E-4</v>
      </c>
      <c r="Z79" s="152">
        <v>1.1778552713291165E-3</v>
      </c>
      <c r="AA79" s="159"/>
    </row>
    <row r="80" spans="1:27" ht="15" customHeight="1" x14ac:dyDescent="0.25">
      <c r="A80" s="198" t="s">
        <v>497</v>
      </c>
      <c r="B80" s="207">
        <v>12</v>
      </c>
      <c r="C80" s="207">
        <v>6</v>
      </c>
      <c r="D80" s="217">
        <v>0.5</v>
      </c>
      <c r="E80" s="218">
        <v>1.8365714285714285</v>
      </c>
      <c r="F80" s="218">
        <v>4.3749997500000006</v>
      </c>
      <c r="G80" s="207">
        <v>315</v>
      </c>
      <c r="H80" s="207">
        <v>1735.56</v>
      </c>
      <c r="I80" s="208">
        <v>1.8148361176555512E-4</v>
      </c>
      <c r="J80" s="223"/>
      <c r="K80" s="223"/>
      <c r="L80" s="223"/>
      <c r="M80" s="223"/>
      <c r="N80" s="223"/>
      <c r="O80" s="223"/>
      <c r="P80" s="223"/>
      <c r="Q80" s="223"/>
      <c r="R80" s="207">
        <v>12</v>
      </c>
      <c r="S80" s="207">
        <v>6</v>
      </c>
      <c r="T80" s="217">
        <v>0.5</v>
      </c>
      <c r="U80" s="218">
        <v>1.8365714285714285</v>
      </c>
      <c r="V80" s="218">
        <v>4.3749997500000006</v>
      </c>
      <c r="W80" s="207">
        <v>315</v>
      </c>
      <c r="X80" s="207">
        <v>1735.56</v>
      </c>
      <c r="Y80" s="208">
        <v>1.6969655938931061E-4</v>
      </c>
      <c r="Z80" s="152">
        <v>1.8509313262958025E-4</v>
      </c>
      <c r="AA80" s="159"/>
    </row>
    <row r="81" spans="1:27" ht="15" customHeight="1" x14ac:dyDescent="0.25">
      <c r="A81" s="201" t="s">
        <v>280</v>
      </c>
      <c r="B81" s="209">
        <v>12</v>
      </c>
      <c r="C81" s="209">
        <v>6</v>
      </c>
      <c r="D81" s="219">
        <v>0.5</v>
      </c>
      <c r="E81" s="220">
        <v>1.8365714285714285</v>
      </c>
      <c r="F81" s="220">
        <v>4.3749997500000006</v>
      </c>
      <c r="G81" s="209">
        <v>315</v>
      </c>
      <c r="H81" s="209">
        <v>1735.56</v>
      </c>
      <c r="I81" s="210">
        <v>1.8148361176555512E-4</v>
      </c>
      <c r="J81" s="224"/>
      <c r="K81" s="224"/>
      <c r="L81" s="224"/>
      <c r="M81" s="224"/>
      <c r="N81" s="224"/>
      <c r="O81" s="224"/>
      <c r="P81" s="224"/>
      <c r="Q81" s="224"/>
      <c r="R81" s="209">
        <v>12</v>
      </c>
      <c r="S81" s="209">
        <v>6</v>
      </c>
      <c r="T81" s="219">
        <v>0.5</v>
      </c>
      <c r="U81" s="220">
        <v>1.8365714285714285</v>
      </c>
      <c r="V81" s="220">
        <v>4.3749997500000006</v>
      </c>
      <c r="W81" s="209">
        <v>315</v>
      </c>
      <c r="X81" s="209">
        <v>1735.56</v>
      </c>
      <c r="Y81" s="210">
        <v>1.6969655938931061E-4</v>
      </c>
      <c r="Z81" s="152">
        <v>3.1497562488700448E-2</v>
      </c>
      <c r="AA81" s="159"/>
    </row>
    <row r="82" spans="1:27" ht="15" customHeight="1" x14ac:dyDescent="0.25">
      <c r="A82" s="198" t="s">
        <v>48</v>
      </c>
      <c r="B82" s="207">
        <v>27</v>
      </c>
      <c r="C82" s="207">
        <v>19</v>
      </c>
      <c r="D82" s="217">
        <v>0.70370370370370372</v>
      </c>
      <c r="E82" s="218">
        <v>1.4210526315789473</v>
      </c>
      <c r="F82" s="218">
        <v>4.2280699166666666</v>
      </c>
      <c r="G82" s="207">
        <v>964</v>
      </c>
      <c r="H82" s="207">
        <v>4109.6842105263158</v>
      </c>
      <c r="I82" s="208">
        <v>4.2974044904364576E-4</v>
      </c>
      <c r="J82" s="207">
        <v>2</v>
      </c>
      <c r="K82" s="207">
        <v>1</v>
      </c>
      <c r="L82" s="217">
        <v>0.5</v>
      </c>
      <c r="M82" s="218">
        <v>1.8365714285714285</v>
      </c>
      <c r="N82" s="218">
        <v>4.75</v>
      </c>
      <c r="O82" s="207">
        <v>57</v>
      </c>
      <c r="P82" s="207">
        <v>104.68457142857143</v>
      </c>
      <c r="Q82" s="208">
        <v>1.5759712285184463E-4</v>
      </c>
      <c r="R82" s="207">
        <v>29</v>
      </c>
      <c r="S82" s="207">
        <v>20</v>
      </c>
      <c r="T82" s="217">
        <v>0.68965517241379315</v>
      </c>
      <c r="U82" s="218">
        <v>1.628812030075188</v>
      </c>
      <c r="V82" s="218">
        <v>4.2541664208333341</v>
      </c>
      <c r="W82" s="207">
        <v>1021</v>
      </c>
      <c r="X82" s="207">
        <v>4214.3687819548877</v>
      </c>
      <c r="Y82" s="208">
        <v>4.1206520217996741E-4</v>
      </c>
      <c r="Z82" s="152">
        <v>5.5940273992324948E-3</v>
      </c>
      <c r="AA82" s="159"/>
    </row>
    <row r="83" spans="1:27" ht="15" customHeight="1" x14ac:dyDescent="0.25">
      <c r="A83" s="201" t="s">
        <v>278</v>
      </c>
      <c r="B83" s="209">
        <v>27</v>
      </c>
      <c r="C83" s="209">
        <v>19</v>
      </c>
      <c r="D83" s="219">
        <v>0.70370370370370372</v>
      </c>
      <c r="E83" s="220">
        <v>1.4210526315789473</v>
      </c>
      <c r="F83" s="220">
        <v>4.2280699166666666</v>
      </c>
      <c r="G83" s="209">
        <v>964</v>
      </c>
      <c r="H83" s="209">
        <v>4109.6842105263158</v>
      </c>
      <c r="I83" s="210">
        <v>4.2974044904364576E-4</v>
      </c>
      <c r="J83" s="209">
        <v>2</v>
      </c>
      <c r="K83" s="209">
        <v>1</v>
      </c>
      <c r="L83" s="219">
        <v>0.5</v>
      </c>
      <c r="M83" s="220">
        <v>1.8365714285714285</v>
      </c>
      <c r="N83" s="220">
        <v>4.75</v>
      </c>
      <c r="O83" s="209">
        <v>57</v>
      </c>
      <c r="P83" s="209">
        <v>104.68457142857143</v>
      </c>
      <c r="Q83" s="210">
        <v>1.5759712285184463E-4</v>
      </c>
      <c r="R83" s="209">
        <v>29</v>
      </c>
      <c r="S83" s="209">
        <v>20</v>
      </c>
      <c r="T83" s="219">
        <v>0.68965517241379315</v>
      </c>
      <c r="U83" s="220">
        <v>1.628812030075188</v>
      </c>
      <c r="V83" s="220">
        <v>4.2541664208333341</v>
      </c>
      <c r="W83" s="209">
        <v>1021</v>
      </c>
      <c r="X83" s="209">
        <v>4214.3687819548877</v>
      </c>
      <c r="Y83" s="210">
        <v>4.1206520217996741E-4</v>
      </c>
      <c r="Z83" s="152">
        <v>6.4152934116614574E-4</v>
      </c>
      <c r="AA83" s="159"/>
    </row>
    <row r="84" spans="1:27" ht="15" customHeight="1" x14ac:dyDescent="0.25">
      <c r="A84" s="198" t="s">
        <v>49</v>
      </c>
      <c r="B84" s="207">
        <v>795</v>
      </c>
      <c r="C84" s="207">
        <v>440</v>
      </c>
      <c r="D84" s="217">
        <v>0.55345911949685533</v>
      </c>
      <c r="E84" s="218">
        <v>1.7275148247978438</v>
      </c>
      <c r="F84" s="218">
        <v>4.1753781666666665</v>
      </c>
      <c r="G84" s="207">
        <v>22046</v>
      </c>
      <c r="H84" s="207">
        <v>114254.37548247979</v>
      </c>
      <c r="I84" s="208">
        <v>1.1947323470567612E-2</v>
      </c>
      <c r="J84" s="207">
        <v>176</v>
      </c>
      <c r="K84" s="207">
        <v>80</v>
      </c>
      <c r="L84" s="217">
        <v>0.45454545454545453</v>
      </c>
      <c r="M84" s="218">
        <v>1.9292987012987013</v>
      </c>
      <c r="N84" s="218">
        <v>4.4437499999999996</v>
      </c>
      <c r="O84" s="207">
        <v>4266</v>
      </c>
      <c r="P84" s="207">
        <v>8230.3882597402589</v>
      </c>
      <c r="Q84" s="208">
        <v>1.2390417154964379E-2</v>
      </c>
      <c r="R84" s="207">
        <v>971</v>
      </c>
      <c r="S84" s="207">
        <v>520</v>
      </c>
      <c r="T84" s="217">
        <v>0.53553038105046347</v>
      </c>
      <c r="U84" s="218">
        <v>1.8284067630482725</v>
      </c>
      <c r="V84" s="218">
        <v>4.216666141025641</v>
      </c>
      <c r="W84" s="207">
        <v>26312</v>
      </c>
      <c r="X84" s="207">
        <v>122484.76374222005</v>
      </c>
      <c r="Y84" s="208">
        <v>1.1976101652877068E-2</v>
      </c>
      <c r="Z84" s="152">
        <v>7.3845875442595486E-3</v>
      </c>
      <c r="AA84" s="159"/>
    </row>
    <row r="85" spans="1:27" ht="15" customHeight="1" x14ac:dyDescent="0.25">
      <c r="A85" s="201" t="s">
        <v>277</v>
      </c>
      <c r="B85" s="209">
        <v>795</v>
      </c>
      <c r="C85" s="209">
        <v>440</v>
      </c>
      <c r="D85" s="219">
        <v>0.55345911949685533</v>
      </c>
      <c r="E85" s="220">
        <v>1.7275148247978438</v>
      </c>
      <c r="F85" s="220">
        <v>4.1753781666666665</v>
      </c>
      <c r="G85" s="209">
        <v>22046</v>
      </c>
      <c r="H85" s="209">
        <v>114254.37548247979</v>
      </c>
      <c r="I85" s="210">
        <v>1.1947323470567612E-2</v>
      </c>
      <c r="J85" s="209">
        <v>176</v>
      </c>
      <c r="K85" s="209">
        <v>80</v>
      </c>
      <c r="L85" s="219">
        <v>0.45454545454545453</v>
      </c>
      <c r="M85" s="220">
        <v>1.9292987012987013</v>
      </c>
      <c r="N85" s="220">
        <v>4.4437499999999996</v>
      </c>
      <c r="O85" s="209">
        <v>4266</v>
      </c>
      <c r="P85" s="209">
        <v>8230.3882597402589</v>
      </c>
      <c r="Q85" s="210">
        <v>1.2390417154964379E-2</v>
      </c>
      <c r="R85" s="209">
        <v>971</v>
      </c>
      <c r="S85" s="209">
        <v>520</v>
      </c>
      <c r="T85" s="219">
        <v>0.53553038105046347</v>
      </c>
      <c r="U85" s="220">
        <v>1.8284067630482725</v>
      </c>
      <c r="V85" s="220">
        <v>4.216666141025641</v>
      </c>
      <c r="W85" s="209">
        <v>26312</v>
      </c>
      <c r="X85" s="209">
        <v>122484.76374222005</v>
      </c>
      <c r="Y85" s="210">
        <v>1.1976101652877068E-2</v>
      </c>
      <c r="Z85" s="152">
        <v>2.9065774987573566E-3</v>
      </c>
      <c r="AA85" s="159"/>
    </row>
    <row r="86" spans="1:27" ht="15" customHeight="1" x14ac:dyDescent="0.25">
      <c r="A86" s="198" t="s">
        <v>435</v>
      </c>
      <c r="B86" s="207">
        <v>12</v>
      </c>
      <c r="C86" s="207">
        <v>8</v>
      </c>
      <c r="D86" s="217">
        <v>0.66666666666666663</v>
      </c>
      <c r="E86" s="218">
        <v>1.4965714285714287</v>
      </c>
      <c r="F86" s="218">
        <v>4.416666666666667</v>
      </c>
      <c r="G86" s="207">
        <v>424</v>
      </c>
      <c r="H86" s="207">
        <v>1903.6388571428572</v>
      </c>
      <c r="I86" s="208">
        <v>1.9905924041320344E-4</v>
      </c>
      <c r="J86" s="223"/>
      <c r="K86" s="223"/>
      <c r="L86" s="223"/>
      <c r="M86" s="223"/>
      <c r="N86" s="223"/>
      <c r="O86" s="223"/>
      <c r="P86" s="223"/>
      <c r="Q86" s="223"/>
      <c r="R86" s="207">
        <v>12</v>
      </c>
      <c r="S86" s="207">
        <v>8</v>
      </c>
      <c r="T86" s="217">
        <v>0.66666666666666663</v>
      </c>
      <c r="U86" s="218">
        <v>1.4965714285714287</v>
      </c>
      <c r="V86" s="218">
        <v>4.416666666666667</v>
      </c>
      <c r="W86" s="207">
        <v>424</v>
      </c>
      <c r="X86" s="207">
        <v>1903.6388571428572</v>
      </c>
      <c r="Y86" s="208">
        <v>1.8613068080443329E-4</v>
      </c>
      <c r="Z86" s="152">
        <v>1.4605824778603756E-3</v>
      </c>
      <c r="AA86" s="159"/>
    </row>
    <row r="87" spans="1:27" ht="15" customHeight="1" x14ac:dyDescent="0.25">
      <c r="A87" s="201" t="s">
        <v>267</v>
      </c>
      <c r="B87" s="209">
        <v>12</v>
      </c>
      <c r="C87" s="209">
        <v>8</v>
      </c>
      <c r="D87" s="219">
        <v>0.66666666666666663</v>
      </c>
      <c r="E87" s="220">
        <v>1.4965714285714287</v>
      </c>
      <c r="F87" s="220">
        <v>4.416666666666667</v>
      </c>
      <c r="G87" s="209">
        <v>424</v>
      </c>
      <c r="H87" s="209">
        <v>1903.6388571428572</v>
      </c>
      <c r="I87" s="210">
        <v>1.9905924041320344E-4</v>
      </c>
      <c r="J87" s="224"/>
      <c r="K87" s="224"/>
      <c r="L87" s="224"/>
      <c r="M87" s="224"/>
      <c r="N87" s="224"/>
      <c r="O87" s="224"/>
      <c r="P87" s="224"/>
      <c r="Q87" s="224"/>
      <c r="R87" s="209">
        <v>12</v>
      </c>
      <c r="S87" s="209">
        <v>8</v>
      </c>
      <c r="T87" s="219">
        <v>0.66666666666666663</v>
      </c>
      <c r="U87" s="220">
        <v>1.4965714285714287</v>
      </c>
      <c r="V87" s="220">
        <v>4.416666666666667</v>
      </c>
      <c r="W87" s="209">
        <v>424</v>
      </c>
      <c r="X87" s="209">
        <v>1903.6388571428572</v>
      </c>
      <c r="Y87" s="210">
        <v>1.8613068080443329E-4</v>
      </c>
      <c r="Z87" s="152">
        <v>3.0765588417332925E-3</v>
      </c>
      <c r="AA87" s="159"/>
    </row>
    <row r="88" spans="1:27" ht="15" customHeight="1" x14ac:dyDescent="0.25">
      <c r="A88" s="198" t="s">
        <v>51</v>
      </c>
      <c r="B88" s="207">
        <v>1156</v>
      </c>
      <c r="C88" s="207">
        <v>643</v>
      </c>
      <c r="D88" s="217">
        <v>0.55622837370242217</v>
      </c>
      <c r="E88" s="218">
        <v>1.7218655462184873</v>
      </c>
      <c r="F88" s="218">
        <v>4.22058</v>
      </c>
      <c r="G88" s="207">
        <v>32566</v>
      </c>
      <c r="H88" s="207">
        <v>168222.82013445377</v>
      </c>
      <c r="I88" s="208">
        <v>1.7590682534391215E-2</v>
      </c>
      <c r="J88" s="207">
        <v>245</v>
      </c>
      <c r="K88" s="207">
        <v>80</v>
      </c>
      <c r="L88" s="217">
        <v>0.32653061224489793</v>
      </c>
      <c r="M88" s="218">
        <v>2.1904489795918369</v>
      </c>
      <c r="N88" s="218">
        <v>4.317708333333333</v>
      </c>
      <c r="O88" s="207">
        <v>4145</v>
      </c>
      <c r="P88" s="207">
        <v>9079.4110204081644</v>
      </c>
      <c r="Q88" s="208">
        <v>1.3668576319118662E-2</v>
      </c>
      <c r="R88" s="207">
        <v>1401</v>
      </c>
      <c r="S88" s="207">
        <v>723</v>
      </c>
      <c r="T88" s="217">
        <v>0.51605995717344755</v>
      </c>
      <c r="U88" s="218">
        <v>1.9561572629051622</v>
      </c>
      <c r="V88" s="218">
        <v>4.2313272568003688</v>
      </c>
      <c r="W88" s="207">
        <v>36711</v>
      </c>
      <c r="X88" s="207">
        <v>177302.23115486192</v>
      </c>
      <c r="Y88" s="208">
        <v>1.7335948396499289E-2</v>
      </c>
      <c r="Z88" s="152">
        <v>6.0189194765929684E-3</v>
      </c>
      <c r="AA88" s="159"/>
    </row>
    <row r="89" spans="1:27" ht="15" customHeight="1" x14ac:dyDescent="0.25">
      <c r="A89" s="201" t="s">
        <v>266</v>
      </c>
      <c r="B89" s="209">
        <v>1156</v>
      </c>
      <c r="C89" s="209">
        <v>643</v>
      </c>
      <c r="D89" s="219">
        <v>0.55622837370242217</v>
      </c>
      <c r="E89" s="220">
        <v>1.7218655462184873</v>
      </c>
      <c r="F89" s="220">
        <v>4.22058</v>
      </c>
      <c r="G89" s="209">
        <v>32566</v>
      </c>
      <c r="H89" s="209">
        <v>168222.82013445377</v>
      </c>
      <c r="I89" s="210">
        <v>1.7590682534391215E-2</v>
      </c>
      <c r="J89" s="209">
        <v>245</v>
      </c>
      <c r="K89" s="209">
        <v>80</v>
      </c>
      <c r="L89" s="219">
        <v>0.32653061224489793</v>
      </c>
      <c r="M89" s="220">
        <v>2.1904489795918369</v>
      </c>
      <c r="N89" s="220">
        <v>4.317708333333333</v>
      </c>
      <c r="O89" s="209">
        <v>4145</v>
      </c>
      <c r="P89" s="209">
        <v>9079.4110204081644</v>
      </c>
      <c r="Q89" s="210">
        <v>1.3668576319118662E-2</v>
      </c>
      <c r="R89" s="209">
        <v>1401</v>
      </c>
      <c r="S89" s="209">
        <v>723</v>
      </c>
      <c r="T89" s="219">
        <v>0.51605995717344755</v>
      </c>
      <c r="U89" s="220">
        <v>1.9561572629051622</v>
      </c>
      <c r="V89" s="220">
        <v>4.2313272568003688</v>
      </c>
      <c r="W89" s="209">
        <v>36711</v>
      </c>
      <c r="X89" s="209">
        <v>177302.23115486192</v>
      </c>
      <c r="Y89" s="210">
        <v>1.7335948396499289E-2</v>
      </c>
      <c r="Z89" s="152">
        <v>5.2466509831858672E-3</v>
      </c>
      <c r="AA89" s="159"/>
    </row>
    <row r="90" spans="1:27" ht="15" customHeight="1" x14ac:dyDescent="0.25">
      <c r="A90" s="198" t="s">
        <v>52</v>
      </c>
      <c r="B90" s="207">
        <v>2370</v>
      </c>
      <c r="C90" s="207">
        <v>1241</v>
      </c>
      <c r="D90" s="217">
        <v>0.52362869198312234</v>
      </c>
      <c r="E90" s="218">
        <v>1.7883688969258591</v>
      </c>
      <c r="F90" s="218">
        <v>4.260810666666667</v>
      </c>
      <c r="G90" s="207">
        <v>63452</v>
      </c>
      <c r="H90" s="207">
        <v>340426.74974321882</v>
      </c>
      <c r="I90" s="208">
        <v>3.5597660746392014E-2</v>
      </c>
      <c r="J90" s="207">
        <v>762</v>
      </c>
      <c r="K90" s="207">
        <v>213</v>
      </c>
      <c r="L90" s="217">
        <v>0.27952755905511811</v>
      </c>
      <c r="M90" s="218">
        <v>2.2863352080989876</v>
      </c>
      <c r="N90" s="218">
        <v>4.38927975</v>
      </c>
      <c r="O90" s="207">
        <v>11219</v>
      </c>
      <c r="P90" s="207">
        <v>25650.394699662542</v>
      </c>
      <c r="Q90" s="208">
        <v>3.8615321718532887E-2</v>
      </c>
      <c r="R90" s="207">
        <v>3132</v>
      </c>
      <c r="S90" s="207">
        <v>1454</v>
      </c>
      <c r="T90" s="217">
        <v>0.46424010217113665</v>
      </c>
      <c r="U90" s="218">
        <v>2.0373520525124231</v>
      </c>
      <c r="V90" s="218">
        <v>4.2796304154630906</v>
      </c>
      <c r="W90" s="207">
        <v>74671</v>
      </c>
      <c r="X90" s="207">
        <v>366077.14444288134</v>
      </c>
      <c r="Y90" s="208">
        <v>3.5793652701733535E-2</v>
      </c>
      <c r="Z90" s="152">
        <v>2.057452940412082E-3</v>
      </c>
      <c r="AA90" s="159"/>
    </row>
    <row r="91" spans="1:27" ht="15" customHeight="1" x14ac:dyDescent="0.25">
      <c r="A91" s="201" t="s">
        <v>260</v>
      </c>
      <c r="B91" s="209">
        <v>2370</v>
      </c>
      <c r="C91" s="209">
        <v>1241</v>
      </c>
      <c r="D91" s="219">
        <v>0.52362869198312234</v>
      </c>
      <c r="E91" s="220">
        <v>1.7883688969258591</v>
      </c>
      <c r="F91" s="220">
        <v>4.260810666666667</v>
      </c>
      <c r="G91" s="209">
        <v>63452</v>
      </c>
      <c r="H91" s="209">
        <v>340426.74974321882</v>
      </c>
      <c r="I91" s="210">
        <v>3.5597660746392014E-2</v>
      </c>
      <c r="J91" s="209">
        <v>762</v>
      </c>
      <c r="K91" s="209">
        <v>213</v>
      </c>
      <c r="L91" s="219">
        <v>0.27952755905511811</v>
      </c>
      <c r="M91" s="220">
        <v>2.2863352080989876</v>
      </c>
      <c r="N91" s="220">
        <v>4.38927975</v>
      </c>
      <c r="O91" s="209">
        <v>11219</v>
      </c>
      <c r="P91" s="209">
        <v>25650.394699662542</v>
      </c>
      <c r="Q91" s="210">
        <v>3.8615321718532887E-2</v>
      </c>
      <c r="R91" s="209">
        <v>3132</v>
      </c>
      <c r="S91" s="209">
        <v>1454</v>
      </c>
      <c r="T91" s="219">
        <v>0.46424010217113665</v>
      </c>
      <c r="U91" s="220">
        <v>2.0373520525124231</v>
      </c>
      <c r="V91" s="220">
        <v>4.2796304154630906</v>
      </c>
      <c r="W91" s="209">
        <v>74671</v>
      </c>
      <c r="X91" s="209">
        <v>366077.14444288134</v>
      </c>
      <c r="Y91" s="210">
        <v>3.5793652701733535E-2</v>
      </c>
      <c r="Z91" s="152">
        <v>8.8828348604747432E-4</v>
      </c>
      <c r="AA91" s="159"/>
    </row>
    <row r="92" spans="1:27" ht="15" customHeight="1" x14ac:dyDescent="0.25">
      <c r="A92" s="198" t="s">
        <v>53</v>
      </c>
      <c r="B92" s="207">
        <v>146</v>
      </c>
      <c r="C92" s="207">
        <v>74</v>
      </c>
      <c r="D92" s="217">
        <v>0.50684931506849318</v>
      </c>
      <c r="E92" s="218">
        <v>1.8225988258317025</v>
      </c>
      <c r="F92" s="218">
        <v>4.4932426666666663</v>
      </c>
      <c r="G92" s="207">
        <v>3990</v>
      </c>
      <c r="H92" s="207">
        <v>21816.507945205478</v>
      </c>
      <c r="I92" s="208">
        <v>2.2813032439142522E-3</v>
      </c>
      <c r="J92" s="207">
        <v>23</v>
      </c>
      <c r="K92" s="207">
        <v>12</v>
      </c>
      <c r="L92" s="217">
        <v>0.52173913043478259</v>
      </c>
      <c r="M92" s="218">
        <v>1.792223602484472</v>
      </c>
      <c r="N92" s="218">
        <v>4.4513885833333342</v>
      </c>
      <c r="O92" s="207">
        <v>641</v>
      </c>
      <c r="P92" s="207">
        <v>1148.8153291925466</v>
      </c>
      <c r="Q92" s="208">
        <v>1.7294811269526424E-3</v>
      </c>
      <c r="R92" s="207">
        <v>169</v>
      </c>
      <c r="S92" s="207">
        <v>86</v>
      </c>
      <c r="T92" s="217">
        <v>0.50887573964497046</v>
      </c>
      <c r="U92" s="218">
        <v>1.8074112141580874</v>
      </c>
      <c r="V92" s="218">
        <v>4.4874025620155038</v>
      </c>
      <c r="W92" s="207">
        <v>4631</v>
      </c>
      <c r="X92" s="207">
        <v>22965.323274398026</v>
      </c>
      <c r="Y92" s="208">
        <v>2.2454633345597975E-3</v>
      </c>
      <c r="Z92" s="152">
        <v>4.9527155740339832E-4</v>
      </c>
      <c r="AA92" s="159"/>
    </row>
    <row r="93" spans="1:27" ht="15" customHeight="1" x14ac:dyDescent="0.25">
      <c r="A93" s="201" t="s">
        <v>276</v>
      </c>
      <c r="B93" s="209">
        <v>146</v>
      </c>
      <c r="C93" s="209">
        <v>74</v>
      </c>
      <c r="D93" s="219">
        <v>0.50684931506849318</v>
      </c>
      <c r="E93" s="220">
        <v>1.8225988258317025</v>
      </c>
      <c r="F93" s="220">
        <v>4.4932426666666663</v>
      </c>
      <c r="G93" s="209">
        <v>3990</v>
      </c>
      <c r="H93" s="209">
        <v>21816.507945205478</v>
      </c>
      <c r="I93" s="210">
        <v>2.2813032439142522E-3</v>
      </c>
      <c r="J93" s="209">
        <v>23</v>
      </c>
      <c r="K93" s="209">
        <v>12</v>
      </c>
      <c r="L93" s="219">
        <v>0.52173913043478259</v>
      </c>
      <c r="M93" s="220">
        <v>1.792223602484472</v>
      </c>
      <c r="N93" s="220">
        <v>4.4513885833333342</v>
      </c>
      <c r="O93" s="209">
        <v>641</v>
      </c>
      <c r="P93" s="209">
        <v>1148.8153291925466</v>
      </c>
      <c r="Q93" s="210">
        <v>1.7294811269526424E-3</v>
      </c>
      <c r="R93" s="209">
        <v>169</v>
      </c>
      <c r="S93" s="209">
        <v>86</v>
      </c>
      <c r="T93" s="219">
        <v>0.50887573964497046</v>
      </c>
      <c r="U93" s="220">
        <v>1.8074112141580874</v>
      </c>
      <c r="V93" s="220">
        <v>4.4874025620155038</v>
      </c>
      <c r="W93" s="209">
        <v>4631</v>
      </c>
      <c r="X93" s="209">
        <v>22965.323274398026</v>
      </c>
      <c r="Y93" s="210">
        <v>2.2454633345597975E-3</v>
      </c>
      <c r="Z93" s="152">
        <v>1.2179376872993831E-3</v>
      </c>
      <c r="AA93" s="159"/>
    </row>
    <row r="94" spans="1:27" ht="15" customHeight="1" x14ac:dyDescent="0.25">
      <c r="A94" s="198" t="s">
        <v>54</v>
      </c>
      <c r="B94" s="207">
        <v>151</v>
      </c>
      <c r="C94" s="207">
        <v>99</v>
      </c>
      <c r="D94" s="217">
        <v>0.6556291390728477</v>
      </c>
      <c r="E94" s="218">
        <v>1.5190879848628194</v>
      </c>
      <c r="F94" s="218">
        <v>4.1515149166666676</v>
      </c>
      <c r="G94" s="207">
        <v>4932</v>
      </c>
      <c r="H94" s="207">
        <v>22476.425824030277</v>
      </c>
      <c r="I94" s="208">
        <v>2.3503093745682133E-3</v>
      </c>
      <c r="J94" s="207">
        <v>36</v>
      </c>
      <c r="K94" s="207">
        <v>22</v>
      </c>
      <c r="L94" s="217">
        <v>0.61111111111111116</v>
      </c>
      <c r="M94" s="218">
        <v>1.6099047619047619</v>
      </c>
      <c r="N94" s="218">
        <v>4.1287875000000014</v>
      </c>
      <c r="O94" s="207">
        <v>1090</v>
      </c>
      <c r="P94" s="207">
        <v>1754.7961904761905</v>
      </c>
      <c r="Q94" s="208">
        <v>2.6417534793952116E-3</v>
      </c>
      <c r="R94" s="207">
        <v>187</v>
      </c>
      <c r="S94" s="207">
        <v>121</v>
      </c>
      <c r="T94" s="217">
        <v>0.6470588235294118</v>
      </c>
      <c r="U94" s="218">
        <v>1.5644963733837907</v>
      </c>
      <c r="V94" s="218">
        <v>4.1473826590909093</v>
      </c>
      <c r="W94" s="207">
        <v>6022</v>
      </c>
      <c r="X94" s="207">
        <v>24231.222014506468</v>
      </c>
      <c r="Y94" s="208">
        <v>2.3692381742263405E-3</v>
      </c>
      <c r="Z94" s="152">
        <v>6.9023925175835282E-4</v>
      </c>
      <c r="AA94" s="159"/>
    </row>
    <row r="95" spans="1:27" ht="15" customHeight="1" x14ac:dyDescent="0.25">
      <c r="A95" s="201" t="s">
        <v>275</v>
      </c>
      <c r="B95" s="209">
        <v>151</v>
      </c>
      <c r="C95" s="209">
        <v>99</v>
      </c>
      <c r="D95" s="219">
        <v>0.6556291390728477</v>
      </c>
      <c r="E95" s="220">
        <v>1.5190879848628194</v>
      </c>
      <c r="F95" s="220">
        <v>4.1515149166666676</v>
      </c>
      <c r="G95" s="209">
        <v>4932</v>
      </c>
      <c r="H95" s="209">
        <v>22476.425824030277</v>
      </c>
      <c r="I95" s="210">
        <v>2.3503093745682133E-3</v>
      </c>
      <c r="J95" s="209">
        <v>36</v>
      </c>
      <c r="K95" s="209">
        <v>22</v>
      </c>
      <c r="L95" s="219">
        <v>0.61111111111111116</v>
      </c>
      <c r="M95" s="220">
        <v>1.6099047619047619</v>
      </c>
      <c r="N95" s="220">
        <v>4.1287875000000014</v>
      </c>
      <c r="O95" s="209">
        <v>1090</v>
      </c>
      <c r="P95" s="209">
        <v>1754.7961904761905</v>
      </c>
      <c r="Q95" s="210">
        <v>2.6417534793952116E-3</v>
      </c>
      <c r="R95" s="209">
        <v>187</v>
      </c>
      <c r="S95" s="209">
        <v>121</v>
      </c>
      <c r="T95" s="219">
        <v>0.6470588235294118</v>
      </c>
      <c r="U95" s="220">
        <v>1.5644963733837907</v>
      </c>
      <c r="V95" s="220">
        <v>4.1473826590909093</v>
      </c>
      <c r="W95" s="209">
        <v>6022</v>
      </c>
      <c r="X95" s="209">
        <v>24231.222014506468</v>
      </c>
      <c r="Y95" s="210">
        <v>2.3692381742263405E-3</v>
      </c>
      <c r="Z95" s="152">
        <v>1.5861153161308612E-3</v>
      </c>
      <c r="AA95" s="159"/>
    </row>
    <row r="96" spans="1:27" ht="15" customHeight="1" x14ac:dyDescent="0.25">
      <c r="A96" s="198" t="s">
        <v>55</v>
      </c>
      <c r="B96" s="207">
        <v>763</v>
      </c>
      <c r="C96" s="207">
        <v>425</v>
      </c>
      <c r="D96" s="217">
        <v>0.55701179554390567</v>
      </c>
      <c r="E96" s="218">
        <v>1.720267365661861</v>
      </c>
      <c r="F96" s="218">
        <v>4.4139211666666665</v>
      </c>
      <c r="G96" s="207">
        <v>22511</v>
      </c>
      <c r="H96" s="207">
        <v>116174.81600524246</v>
      </c>
      <c r="I96" s="208">
        <v>1.2148139623424269E-2</v>
      </c>
      <c r="J96" s="207">
        <v>83</v>
      </c>
      <c r="K96" s="207">
        <v>37</v>
      </c>
      <c r="L96" s="217">
        <v>0.44578313253012047</v>
      </c>
      <c r="M96" s="218">
        <v>1.9471738382099828</v>
      </c>
      <c r="N96" s="218">
        <v>4.3513509166666671</v>
      </c>
      <c r="O96" s="207">
        <v>1932</v>
      </c>
      <c r="P96" s="207">
        <v>3761.9398554216868</v>
      </c>
      <c r="Q96" s="208">
        <v>5.6634028249394038E-3</v>
      </c>
      <c r="R96" s="207">
        <v>846</v>
      </c>
      <c r="S96" s="207">
        <v>462</v>
      </c>
      <c r="T96" s="217">
        <v>0.54609929078014185</v>
      </c>
      <c r="U96" s="218">
        <v>1.833720601935922</v>
      </c>
      <c r="V96" s="218">
        <v>4.4089101293290041</v>
      </c>
      <c r="W96" s="207">
        <v>24443</v>
      </c>
      <c r="X96" s="207">
        <v>119936.75586066415</v>
      </c>
      <c r="Y96" s="208">
        <v>1.1726966981187883E-2</v>
      </c>
      <c r="Z96" s="152">
        <v>1.7825817255572468E-3</v>
      </c>
      <c r="AA96" s="159"/>
    </row>
    <row r="97" spans="1:27" ht="15" customHeight="1" x14ac:dyDescent="0.25">
      <c r="A97" s="201" t="s">
        <v>274</v>
      </c>
      <c r="B97" s="209">
        <v>763</v>
      </c>
      <c r="C97" s="209">
        <v>425</v>
      </c>
      <c r="D97" s="219">
        <v>0.55701179554390567</v>
      </c>
      <c r="E97" s="220">
        <v>1.720267365661861</v>
      </c>
      <c r="F97" s="220">
        <v>4.4139211666666665</v>
      </c>
      <c r="G97" s="209">
        <v>22511</v>
      </c>
      <c r="H97" s="209">
        <v>116174.81600524246</v>
      </c>
      <c r="I97" s="210">
        <v>1.2148139623424269E-2</v>
      </c>
      <c r="J97" s="209">
        <v>83</v>
      </c>
      <c r="K97" s="209">
        <v>37</v>
      </c>
      <c r="L97" s="219">
        <v>0.44578313253012047</v>
      </c>
      <c r="M97" s="220">
        <v>1.9471738382099828</v>
      </c>
      <c r="N97" s="220">
        <v>4.3513509166666671</v>
      </c>
      <c r="O97" s="209">
        <v>1932</v>
      </c>
      <c r="P97" s="209">
        <v>3761.9398554216868</v>
      </c>
      <c r="Q97" s="210">
        <v>5.6634028249394038E-3</v>
      </c>
      <c r="R97" s="209">
        <v>846</v>
      </c>
      <c r="S97" s="209">
        <v>462</v>
      </c>
      <c r="T97" s="219">
        <v>0.54609929078014185</v>
      </c>
      <c r="U97" s="220">
        <v>1.833720601935922</v>
      </c>
      <c r="V97" s="220">
        <v>4.4089101293290041</v>
      </c>
      <c r="W97" s="209">
        <v>24443</v>
      </c>
      <c r="X97" s="209">
        <v>119936.75586066415</v>
      </c>
      <c r="Y97" s="210">
        <v>1.1726966981187883E-2</v>
      </c>
      <c r="Z97" s="152">
        <v>7.63364760768368E-4</v>
      </c>
      <c r="AA97" s="159"/>
    </row>
    <row r="98" spans="1:27" ht="15" customHeight="1" x14ac:dyDescent="0.25">
      <c r="A98" s="198" t="s">
        <v>438</v>
      </c>
      <c r="B98" s="207">
        <v>9</v>
      </c>
      <c r="C98" s="207">
        <v>1</v>
      </c>
      <c r="D98" s="217">
        <v>0.1111111111111111</v>
      </c>
      <c r="E98" s="218">
        <v>2.4485709999999998</v>
      </c>
      <c r="F98" s="218">
        <v>3.1666666666666665</v>
      </c>
      <c r="G98" s="207">
        <v>38</v>
      </c>
      <c r="H98" s="207">
        <v>279.13709399999999</v>
      </c>
      <c r="I98" s="208">
        <v>2.9188739079525495E-5</v>
      </c>
      <c r="J98" s="223"/>
      <c r="K98" s="223"/>
      <c r="L98" s="223"/>
      <c r="M98" s="223"/>
      <c r="N98" s="223"/>
      <c r="O98" s="223"/>
      <c r="P98" s="223"/>
      <c r="Q98" s="223"/>
      <c r="R98" s="207">
        <v>9</v>
      </c>
      <c r="S98" s="207">
        <v>1</v>
      </c>
      <c r="T98" s="217">
        <v>0.1111111111111111</v>
      </c>
      <c r="U98" s="218">
        <v>2.4485709999999998</v>
      </c>
      <c r="V98" s="218">
        <v>3.1666666666666665</v>
      </c>
      <c r="W98" s="207">
        <v>38</v>
      </c>
      <c r="X98" s="207">
        <v>279.13709399999999</v>
      </c>
      <c r="Y98" s="208">
        <v>2.7292980046630813E-5</v>
      </c>
      <c r="Z98" s="152">
        <v>1.8590448315623079E-2</v>
      </c>
      <c r="AA98" s="159"/>
    </row>
    <row r="99" spans="1:27" ht="15" customHeight="1" x14ac:dyDescent="0.25">
      <c r="A99" s="201" t="s">
        <v>196</v>
      </c>
      <c r="B99" s="209">
        <v>9</v>
      </c>
      <c r="C99" s="209">
        <v>1</v>
      </c>
      <c r="D99" s="219">
        <v>0.1111111111111111</v>
      </c>
      <c r="E99" s="220">
        <v>2.4485709999999998</v>
      </c>
      <c r="F99" s="220">
        <v>3.1666666666666665</v>
      </c>
      <c r="G99" s="209">
        <v>38</v>
      </c>
      <c r="H99" s="209">
        <v>279.13709399999999</v>
      </c>
      <c r="I99" s="210">
        <v>2.9188739079525495E-5</v>
      </c>
      <c r="J99" s="224"/>
      <c r="K99" s="224"/>
      <c r="L99" s="224"/>
      <c r="M99" s="224"/>
      <c r="N99" s="224"/>
      <c r="O99" s="224"/>
      <c r="P99" s="224"/>
      <c r="Q99" s="224"/>
      <c r="R99" s="209">
        <v>9</v>
      </c>
      <c r="S99" s="209">
        <v>1</v>
      </c>
      <c r="T99" s="219">
        <v>0.1111111111111111</v>
      </c>
      <c r="U99" s="220">
        <v>2.4485709999999998</v>
      </c>
      <c r="V99" s="220">
        <v>3.1666666666666665</v>
      </c>
      <c r="W99" s="209">
        <v>38</v>
      </c>
      <c r="X99" s="209">
        <v>279.13709399999999</v>
      </c>
      <c r="Y99" s="210">
        <v>2.7292980046630813E-5</v>
      </c>
      <c r="Z99" s="152">
        <v>2.3551713472289154E-3</v>
      </c>
      <c r="AA99" s="159"/>
    </row>
    <row r="100" spans="1:27" ht="15" customHeight="1" x14ac:dyDescent="0.25">
      <c r="A100" s="198" t="s">
        <v>56</v>
      </c>
      <c r="B100" s="207">
        <v>14</v>
      </c>
      <c r="C100" s="207">
        <v>11</v>
      </c>
      <c r="D100" s="217">
        <v>0.7857142857142857</v>
      </c>
      <c r="E100" s="218">
        <v>1.2727272727272727</v>
      </c>
      <c r="F100" s="218">
        <v>4.795453750000001</v>
      </c>
      <c r="G100" s="207">
        <v>633</v>
      </c>
      <c r="H100" s="207">
        <v>2416.909090909091</v>
      </c>
      <c r="I100" s="208">
        <v>2.5273075614048855E-4</v>
      </c>
      <c r="J100" s="207">
        <v>4</v>
      </c>
      <c r="K100" s="207">
        <v>2</v>
      </c>
      <c r="L100" s="217">
        <v>0.5</v>
      </c>
      <c r="M100" s="218">
        <v>1.8365714285714285</v>
      </c>
      <c r="N100" s="218">
        <v>4.708333333333333</v>
      </c>
      <c r="O100" s="207">
        <v>113</v>
      </c>
      <c r="P100" s="207">
        <v>207.53257142857143</v>
      </c>
      <c r="Q100" s="208">
        <v>3.1242938389927091E-4</v>
      </c>
      <c r="R100" s="207">
        <v>18</v>
      </c>
      <c r="S100" s="207">
        <v>13</v>
      </c>
      <c r="T100" s="217">
        <v>0.72222222222222221</v>
      </c>
      <c r="U100" s="218">
        <v>1.5546493506493506</v>
      </c>
      <c r="V100" s="218">
        <v>4.7820506089743597</v>
      </c>
      <c r="W100" s="207">
        <v>746</v>
      </c>
      <c r="X100" s="207">
        <v>2624.4416623376624</v>
      </c>
      <c r="Y100" s="208">
        <v>2.5660808062911349E-4</v>
      </c>
      <c r="Z100" s="152">
        <v>7.5619649672316862E-3</v>
      </c>
      <c r="AA100" s="159"/>
    </row>
    <row r="101" spans="1:27" ht="15" customHeight="1" x14ac:dyDescent="0.25">
      <c r="A101" s="201" t="s">
        <v>273</v>
      </c>
      <c r="B101" s="209">
        <v>14</v>
      </c>
      <c r="C101" s="209">
        <v>11</v>
      </c>
      <c r="D101" s="219">
        <v>0.7857142857142857</v>
      </c>
      <c r="E101" s="220">
        <v>1.2727272727272727</v>
      </c>
      <c r="F101" s="220">
        <v>4.795453750000001</v>
      </c>
      <c r="G101" s="209">
        <v>633</v>
      </c>
      <c r="H101" s="209">
        <v>2416.909090909091</v>
      </c>
      <c r="I101" s="210">
        <v>2.5273075614048855E-4</v>
      </c>
      <c r="J101" s="209">
        <v>4</v>
      </c>
      <c r="K101" s="209">
        <v>2</v>
      </c>
      <c r="L101" s="219">
        <v>0.5</v>
      </c>
      <c r="M101" s="220">
        <v>1.8365714285714285</v>
      </c>
      <c r="N101" s="220">
        <v>4.708333333333333</v>
      </c>
      <c r="O101" s="209">
        <v>113</v>
      </c>
      <c r="P101" s="209">
        <v>207.53257142857143</v>
      </c>
      <c r="Q101" s="210">
        <v>3.1242938389927091E-4</v>
      </c>
      <c r="R101" s="209">
        <v>18</v>
      </c>
      <c r="S101" s="209">
        <v>13</v>
      </c>
      <c r="T101" s="219">
        <v>0.72222222222222221</v>
      </c>
      <c r="U101" s="220">
        <v>1.5546493506493506</v>
      </c>
      <c r="V101" s="220">
        <v>4.7820506089743597</v>
      </c>
      <c r="W101" s="209">
        <v>746</v>
      </c>
      <c r="X101" s="209">
        <v>2624.4416623376624</v>
      </c>
      <c r="Y101" s="210">
        <v>2.5660808062911349E-4</v>
      </c>
      <c r="Z101" s="152">
        <v>3.7406759725743852E-2</v>
      </c>
      <c r="AA101" s="159"/>
    </row>
    <row r="102" spans="1:27" ht="15" customHeight="1" x14ac:dyDescent="0.25">
      <c r="A102" s="198" t="s">
        <v>492</v>
      </c>
      <c r="B102" s="207">
        <v>129</v>
      </c>
      <c r="C102" s="207">
        <v>35</v>
      </c>
      <c r="D102" s="217">
        <v>0.27131782945736432</v>
      </c>
      <c r="E102" s="218">
        <v>2.3030830564784055</v>
      </c>
      <c r="F102" s="218">
        <v>4.2309520000000003</v>
      </c>
      <c r="G102" s="207">
        <v>1777</v>
      </c>
      <c r="H102" s="207">
        <v>12277.735774086379</v>
      </c>
      <c r="I102" s="208">
        <v>1.2838552585818755E-3</v>
      </c>
      <c r="J102" s="207">
        <v>5</v>
      </c>
      <c r="K102" s="207">
        <v>1</v>
      </c>
      <c r="L102" s="217">
        <v>0.2</v>
      </c>
      <c r="M102" s="218">
        <v>2.4485709999999998</v>
      </c>
      <c r="N102" s="218">
        <v>4.833333333333333</v>
      </c>
      <c r="O102" s="207">
        <v>58</v>
      </c>
      <c r="P102" s="207">
        <v>142.01711799999998</v>
      </c>
      <c r="Q102" s="208">
        <v>2.137993105104537E-4</v>
      </c>
      <c r="R102" s="207">
        <v>134</v>
      </c>
      <c r="S102" s="207">
        <v>36</v>
      </c>
      <c r="T102" s="217">
        <v>0.26865671641791045</v>
      </c>
      <c r="U102" s="218">
        <v>2.3758270282392027</v>
      </c>
      <c r="V102" s="218">
        <v>4.2476848148148143</v>
      </c>
      <c r="W102" s="207">
        <v>1835</v>
      </c>
      <c r="X102" s="207">
        <v>12419.752892086379</v>
      </c>
      <c r="Y102" s="208">
        <v>1.2143569419971066E-3</v>
      </c>
      <c r="Z102" s="152">
        <v>3.4619512902601991E-2</v>
      </c>
      <c r="AA102" s="159"/>
    </row>
    <row r="103" spans="1:27" ht="15" customHeight="1" x14ac:dyDescent="0.25">
      <c r="A103" s="201" t="s">
        <v>490</v>
      </c>
      <c r="B103" s="209">
        <v>129</v>
      </c>
      <c r="C103" s="209">
        <v>35</v>
      </c>
      <c r="D103" s="219">
        <v>0.27131782945736432</v>
      </c>
      <c r="E103" s="220">
        <v>2.3030830564784055</v>
      </c>
      <c r="F103" s="220">
        <v>4.2309520000000003</v>
      </c>
      <c r="G103" s="209">
        <v>1777</v>
      </c>
      <c r="H103" s="209">
        <v>12277.735774086379</v>
      </c>
      <c r="I103" s="210">
        <v>1.2838552585818755E-3</v>
      </c>
      <c r="J103" s="209">
        <v>5</v>
      </c>
      <c r="K103" s="209">
        <v>1</v>
      </c>
      <c r="L103" s="219">
        <v>0.2</v>
      </c>
      <c r="M103" s="220">
        <v>2.4485709999999998</v>
      </c>
      <c r="N103" s="220">
        <v>4.833333333333333</v>
      </c>
      <c r="O103" s="209">
        <v>58</v>
      </c>
      <c r="P103" s="209">
        <v>142.01711799999998</v>
      </c>
      <c r="Q103" s="210">
        <v>2.137993105104537E-4</v>
      </c>
      <c r="R103" s="209">
        <v>134</v>
      </c>
      <c r="S103" s="209">
        <v>36</v>
      </c>
      <c r="T103" s="219">
        <v>0.26865671641791045</v>
      </c>
      <c r="U103" s="220">
        <v>2.3758270282392027</v>
      </c>
      <c r="V103" s="220">
        <v>4.2476848148148143</v>
      </c>
      <c r="W103" s="209">
        <v>1835</v>
      </c>
      <c r="X103" s="209">
        <v>12419.752892086379</v>
      </c>
      <c r="Y103" s="210">
        <v>1.2143569419971066E-3</v>
      </c>
      <c r="Z103" s="152">
        <v>2.5965499453447206E-2</v>
      </c>
      <c r="AA103" s="159"/>
    </row>
    <row r="104" spans="1:27" ht="15" customHeight="1" x14ac:dyDescent="0.25">
      <c r="A104" s="198" t="s">
        <v>129</v>
      </c>
      <c r="B104" s="207">
        <v>15</v>
      </c>
      <c r="C104" s="207">
        <v>7</v>
      </c>
      <c r="D104" s="217">
        <v>0.46666666666666667</v>
      </c>
      <c r="E104" s="218">
        <v>1.9045714285714286</v>
      </c>
      <c r="F104" s="218">
        <v>4.4761900000000008</v>
      </c>
      <c r="G104" s="207">
        <v>376</v>
      </c>
      <c r="H104" s="207">
        <v>2148.3565714285714</v>
      </c>
      <c r="I104" s="208">
        <v>2.2464882224937309E-4</v>
      </c>
      <c r="J104" s="223"/>
      <c r="K104" s="223"/>
      <c r="L104" s="223"/>
      <c r="M104" s="223"/>
      <c r="N104" s="223"/>
      <c r="O104" s="223"/>
      <c r="P104" s="223"/>
      <c r="Q104" s="223"/>
      <c r="R104" s="207">
        <v>15</v>
      </c>
      <c r="S104" s="207">
        <v>7</v>
      </c>
      <c r="T104" s="217">
        <v>0.46666666666666667</v>
      </c>
      <c r="U104" s="218">
        <v>1.9045714285714286</v>
      </c>
      <c r="V104" s="218">
        <v>4.4761900000000008</v>
      </c>
      <c r="W104" s="207">
        <v>376</v>
      </c>
      <c r="X104" s="207">
        <v>2148.3565714285714</v>
      </c>
      <c r="Y104" s="208">
        <v>2.1005826275832831E-4</v>
      </c>
      <c r="Z104" s="152">
        <v>1.6620961752408091E-2</v>
      </c>
      <c r="AA104" s="159"/>
    </row>
    <row r="105" spans="1:27" ht="15" customHeight="1" x14ac:dyDescent="0.25">
      <c r="A105" s="201" t="s">
        <v>272</v>
      </c>
      <c r="B105" s="209">
        <v>15</v>
      </c>
      <c r="C105" s="209">
        <v>7</v>
      </c>
      <c r="D105" s="219">
        <v>0.46666666666666667</v>
      </c>
      <c r="E105" s="220">
        <v>1.9045714285714286</v>
      </c>
      <c r="F105" s="220">
        <v>4.4761900000000008</v>
      </c>
      <c r="G105" s="209">
        <v>376</v>
      </c>
      <c r="H105" s="209">
        <v>2148.3565714285714</v>
      </c>
      <c r="I105" s="210">
        <v>2.2464882224937309E-4</v>
      </c>
      <c r="J105" s="224"/>
      <c r="K105" s="224"/>
      <c r="L105" s="224"/>
      <c r="M105" s="224"/>
      <c r="N105" s="224"/>
      <c r="O105" s="224"/>
      <c r="P105" s="224"/>
      <c r="Q105" s="224"/>
      <c r="R105" s="209">
        <v>15</v>
      </c>
      <c r="S105" s="209">
        <v>7</v>
      </c>
      <c r="T105" s="219">
        <v>0.46666666666666667</v>
      </c>
      <c r="U105" s="220">
        <v>1.9045714285714286</v>
      </c>
      <c r="V105" s="220">
        <v>4.4761900000000008</v>
      </c>
      <c r="W105" s="209">
        <v>376</v>
      </c>
      <c r="X105" s="209">
        <v>2148.3565714285714</v>
      </c>
      <c r="Y105" s="210">
        <v>2.1005826275832831E-4</v>
      </c>
      <c r="Z105" s="152">
        <v>7.0750079180758154E-4</v>
      </c>
      <c r="AA105" s="159"/>
    </row>
    <row r="106" spans="1:27" ht="15" customHeight="1" x14ac:dyDescent="0.25">
      <c r="A106" s="198" t="s">
        <v>57</v>
      </c>
      <c r="B106" s="207">
        <v>48</v>
      </c>
      <c r="C106" s="207">
        <v>40</v>
      </c>
      <c r="D106" s="217">
        <v>0.83333333333333337</v>
      </c>
      <c r="E106" s="218">
        <v>1.2</v>
      </c>
      <c r="F106" s="218">
        <v>4.479166666666667</v>
      </c>
      <c r="G106" s="207">
        <v>2150</v>
      </c>
      <c r="H106" s="207">
        <v>7740</v>
      </c>
      <c r="I106" s="208">
        <v>8.093544187843674E-4</v>
      </c>
      <c r="J106" s="223"/>
      <c r="K106" s="223"/>
      <c r="L106" s="223"/>
      <c r="M106" s="223"/>
      <c r="N106" s="223"/>
      <c r="O106" s="223"/>
      <c r="P106" s="223"/>
      <c r="Q106" s="223"/>
      <c r="R106" s="207">
        <v>48</v>
      </c>
      <c r="S106" s="207">
        <v>40</v>
      </c>
      <c r="T106" s="217">
        <v>0.83333333333333337</v>
      </c>
      <c r="U106" s="218">
        <v>1.2</v>
      </c>
      <c r="V106" s="218">
        <v>4.479166666666667</v>
      </c>
      <c r="W106" s="207">
        <v>2150</v>
      </c>
      <c r="X106" s="207">
        <v>7740</v>
      </c>
      <c r="Y106" s="208">
        <v>7.5678822378555865E-4</v>
      </c>
      <c r="Z106" s="152">
        <v>2.2245082993939446E-4</v>
      </c>
      <c r="AA106" s="159"/>
    </row>
    <row r="107" spans="1:27" ht="15" customHeight="1" x14ac:dyDescent="0.25">
      <c r="A107" s="201" t="s">
        <v>271</v>
      </c>
      <c r="B107" s="209">
        <v>48</v>
      </c>
      <c r="C107" s="209">
        <v>40</v>
      </c>
      <c r="D107" s="219">
        <v>0.83333333333333337</v>
      </c>
      <c r="E107" s="220">
        <v>1.2</v>
      </c>
      <c r="F107" s="220">
        <v>4.479166666666667</v>
      </c>
      <c r="G107" s="209">
        <v>2150</v>
      </c>
      <c r="H107" s="209">
        <v>7740</v>
      </c>
      <c r="I107" s="210">
        <v>8.093544187843674E-4</v>
      </c>
      <c r="J107" s="224"/>
      <c r="K107" s="224"/>
      <c r="L107" s="224"/>
      <c r="M107" s="224"/>
      <c r="N107" s="224"/>
      <c r="O107" s="224"/>
      <c r="P107" s="224"/>
      <c r="Q107" s="224"/>
      <c r="R107" s="209">
        <v>48</v>
      </c>
      <c r="S107" s="209">
        <v>40</v>
      </c>
      <c r="T107" s="219">
        <v>0.83333333333333337</v>
      </c>
      <c r="U107" s="220">
        <v>1.2</v>
      </c>
      <c r="V107" s="220">
        <v>4.479166666666667</v>
      </c>
      <c r="W107" s="209">
        <v>2150</v>
      </c>
      <c r="X107" s="209">
        <v>7740</v>
      </c>
      <c r="Y107" s="210">
        <v>7.5678822378555865E-4</v>
      </c>
      <c r="Z107" s="152">
        <v>2.0345496239988813E-3</v>
      </c>
      <c r="AA107" s="159"/>
    </row>
    <row r="108" spans="1:27" ht="15" customHeight="1" x14ac:dyDescent="0.25">
      <c r="A108" s="198" t="s">
        <v>58</v>
      </c>
      <c r="B108" s="207">
        <v>674</v>
      </c>
      <c r="C108" s="207">
        <v>341</v>
      </c>
      <c r="D108" s="217">
        <v>0.50593471810089019</v>
      </c>
      <c r="E108" s="218">
        <v>1.8244646036456125</v>
      </c>
      <c r="F108" s="218">
        <v>4.0618274166666666</v>
      </c>
      <c r="G108" s="207">
        <v>16621</v>
      </c>
      <c r="H108" s="207">
        <v>90973.278531581178</v>
      </c>
      <c r="I108" s="208">
        <v>9.5128714432604986E-3</v>
      </c>
      <c r="J108" s="207">
        <v>366</v>
      </c>
      <c r="K108" s="207">
        <v>138</v>
      </c>
      <c r="L108" s="217">
        <v>0.37704918032786883</v>
      </c>
      <c r="M108" s="218">
        <v>2.0873911007025763</v>
      </c>
      <c r="N108" s="218">
        <v>3.9818835833333335</v>
      </c>
      <c r="O108" s="207">
        <v>6594</v>
      </c>
      <c r="P108" s="207">
        <v>13764.256918032788</v>
      </c>
      <c r="Q108" s="208">
        <v>2.0721365707225187E-2</v>
      </c>
      <c r="R108" s="207">
        <v>1040</v>
      </c>
      <c r="S108" s="207">
        <v>479</v>
      </c>
      <c r="T108" s="217">
        <v>0.46057692307692305</v>
      </c>
      <c r="U108" s="218">
        <v>1.9559278521740944</v>
      </c>
      <c r="V108" s="218">
        <v>4.0387955815935976</v>
      </c>
      <c r="W108" s="207">
        <v>23215</v>
      </c>
      <c r="X108" s="207">
        <v>104737.53544961396</v>
      </c>
      <c r="Y108" s="208">
        <v>1.0240844110670584E-2</v>
      </c>
      <c r="Z108" s="152">
        <v>2.823726807558572E-3</v>
      </c>
      <c r="AA108" s="159"/>
    </row>
    <row r="109" spans="1:27" ht="15" customHeight="1" x14ac:dyDescent="0.25">
      <c r="A109" s="201" t="s">
        <v>270</v>
      </c>
      <c r="B109" s="209">
        <v>674</v>
      </c>
      <c r="C109" s="209">
        <v>341</v>
      </c>
      <c r="D109" s="219">
        <v>0.50593471810089019</v>
      </c>
      <c r="E109" s="220">
        <v>1.8244646036456125</v>
      </c>
      <c r="F109" s="220">
        <v>4.0618274166666666</v>
      </c>
      <c r="G109" s="209">
        <v>16621</v>
      </c>
      <c r="H109" s="209">
        <v>90973.278531581178</v>
      </c>
      <c r="I109" s="210">
        <v>9.5128714432604986E-3</v>
      </c>
      <c r="J109" s="209">
        <v>366</v>
      </c>
      <c r="K109" s="209">
        <v>138</v>
      </c>
      <c r="L109" s="219">
        <v>0.37704918032786883</v>
      </c>
      <c r="M109" s="220">
        <v>2.0873911007025763</v>
      </c>
      <c r="N109" s="220">
        <v>3.9818835833333335</v>
      </c>
      <c r="O109" s="209">
        <v>6594</v>
      </c>
      <c r="P109" s="209">
        <v>13764.256918032788</v>
      </c>
      <c r="Q109" s="210">
        <v>2.0721365707225187E-2</v>
      </c>
      <c r="R109" s="209">
        <v>1040</v>
      </c>
      <c r="S109" s="209">
        <v>479</v>
      </c>
      <c r="T109" s="219">
        <v>0.46057692307692305</v>
      </c>
      <c r="U109" s="220">
        <v>1.9559278521740944</v>
      </c>
      <c r="V109" s="220">
        <v>4.0387955815935976</v>
      </c>
      <c r="W109" s="209">
        <v>23215</v>
      </c>
      <c r="X109" s="209">
        <v>104737.53544961396</v>
      </c>
      <c r="Y109" s="210">
        <v>1.0240844110670584E-2</v>
      </c>
      <c r="Z109" s="152">
        <v>4.3752754270001033E-3</v>
      </c>
      <c r="AA109" s="159"/>
    </row>
    <row r="110" spans="1:27" ht="15" customHeight="1" x14ac:dyDescent="0.25">
      <c r="A110" s="198" t="s">
        <v>59</v>
      </c>
      <c r="B110" s="207">
        <v>1939</v>
      </c>
      <c r="C110" s="207">
        <v>1114</v>
      </c>
      <c r="D110" s="217">
        <v>0.57452294997421349</v>
      </c>
      <c r="E110" s="218">
        <v>1.6845446106240329</v>
      </c>
      <c r="F110" s="218">
        <v>4.3028870833333333</v>
      </c>
      <c r="G110" s="207">
        <v>57521</v>
      </c>
      <c r="H110" s="207">
        <v>290690.07164311502</v>
      </c>
      <c r="I110" s="208">
        <v>3.0396808007893992E-2</v>
      </c>
      <c r="J110" s="207">
        <v>390</v>
      </c>
      <c r="K110" s="207">
        <v>140</v>
      </c>
      <c r="L110" s="217">
        <v>0.35897435897435898</v>
      </c>
      <c r="M110" s="218">
        <v>2.1242637362637362</v>
      </c>
      <c r="N110" s="218">
        <v>4.1077378333333332</v>
      </c>
      <c r="O110" s="207">
        <v>6901</v>
      </c>
      <c r="P110" s="207">
        <v>14659.544043956044</v>
      </c>
      <c r="Q110" s="208">
        <v>2.2069173442848141E-2</v>
      </c>
      <c r="R110" s="207">
        <v>2329</v>
      </c>
      <c r="S110" s="207">
        <v>1254</v>
      </c>
      <c r="T110" s="217">
        <v>0.53842851009016746</v>
      </c>
      <c r="U110" s="218">
        <v>1.9044041734438846</v>
      </c>
      <c r="V110" s="218">
        <v>4.2811000857256785</v>
      </c>
      <c r="W110" s="207">
        <v>64422</v>
      </c>
      <c r="X110" s="207">
        <v>305349.61568707105</v>
      </c>
      <c r="Y110" s="208">
        <v>2.9855942285454969E-2</v>
      </c>
      <c r="Z110" s="152">
        <v>2.7597204774755773E-4</v>
      </c>
      <c r="AA110" s="159"/>
    </row>
    <row r="111" spans="1:27" ht="15" customHeight="1" x14ac:dyDescent="0.25">
      <c r="A111" s="201" t="s">
        <v>269</v>
      </c>
      <c r="B111" s="209">
        <v>1939</v>
      </c>
      <c r="C111" s="209">
        <v>1114</v>
      </c>
      <c r="D111" s="219">
        <v>0.57452294997421349</v>
      </c>
      <c r="E111" s="220">
        <v>1.6845446106240329</v>
      </c>
      <c r="F111" s="220">
        <v>4.3028870833333333</v>
      </c>
      <c r="G111" s="209">
        <v>57521</v>
      </c>
      <c r="H111" s="209">
        <v>290690.07164311502</v>
      </c>
      <c r="I111" s="210">
        <v>3.0396808007893992E-2</v>
      </c>
      <c r="J111" s="209">
        <v>390</v>
      </c>
      <c r="K111" s="209">
        <v>140</v>
      </c>
      <c r="L111" s="219">
        <v>0.35897435897435898</v>
      </c>
      <c r="M111" s="220">
        <v>2.1242637362637362</v>
      </c>
      <c r="N111" s="220">
        <v>4.1077378333333332</v>
      </c>
      <c r="O111" s="209">
        <v>6901</v>
      </c>
      <c r="P111" s="209">
        <v>14659.544043956044</v>
      </c>
      <c r="Q111" s="210">
        <v>2.2069173442848141E-2</v>
      </c>
      <c r="R111" s="209">
        <v>2329</v>
      </c>
      <c r="S111" s="209">
        <v>1254</v>
      </c>
      <c r="T111" s="219">
        <v>0.53842851009016746</v>
      </c>
      <c r="U111" s="220">
        <v>1.9044041734438846</v>
      </c>
      <c r="V111" s="220">
        <v>4.2811000857256785</v>
      </c>
      <c r="W111" s="209">
        <v>64422</v>
      </c>
      <c r="X111" s="209">
        <v>305349.61568707105</v>
      </c>
      <c r="Y111" s="210">
        <v>2.9855942285454969E-2</v>
      </c>
      <c r="Z111" s="152">
        <v>2.3218862842191851E-3</v>
      </c>
      <c r="AA111" s="159"/>
    </row>
    <row r="112" spans="1:27" ht="15" customHeight="1" x14ac:dyDescent="0.25">
      <c r="A112" s="198" t="s">
        <v>470</v>
      </c>
      <c r="B112" s="207">
        <v>370</v>
      </c>
      <c r="C112" s="207">
        <v>242</v>
      </c>
      <c r="D112" s="217">
        <v>0.65405405405405403</v>
      </c>
      <c r="E112" s="218">
        <v>1.5223011583011583</v>
      </c>
      <c r="F112" s="218">
        <v>4.235881</v>
      </c>
      <c r="G112" s="207">
        <v>12301</v>
      </c>
      <c r="H112" s="207">
        <v>56177.479644787643</v>
      </c>
      <c r="I112" s="208">
        <v>5.8743528923356249E-3</v>
      </c>
      <c r="J112" s="207">
        <v>26</v>
      </c>
      <c r="K112" s="207">
        <v>8</v>
      </c>
      <c r="L112" s="217">
        <v>0.30769230769230771</v>
      </c>
      <c r="M112" s="218">
        <v>2.228879120879121</v>
      </c>
      <c r="N112" s="218">
        <v>4.072916666666667</v>
      </c>
      <c r="O112" s="207">
        <v>391</v>
      </c>
      <c r="P112" s="207">
        <v>871.49173626373636</v>
      </c>
      <c r="Q112" s="208">
        <v>1.3119850265426807E-3</v>
      </c>
      <c r="R112" s="207">
        <v>396</v>
      </c>
      <c r="S112" s="207">
        <v>250</v>
      </c>
      <c r="T112" s="217">
        <v>0.63131313131313127</v>
      </c>
      <c r="U112" s="218">
        <v>1.8755901395901398</v>
      </c>
      <c r="V112" s="218">
        <v>4.2306661413333329</v>
      </c>
      <c r="W112" s="207">
        <v>12692</v>
      </c>
      <c r="X112" s="207">
        <v>57048.971381051379</v>
      </c>
      <c r="Y112" s="208">
        <v>5.5780348475786869E-3</v>
      </c>
      <c r="Z112" s="152">
        <v>3.5616238647455063E-2</v>
      </c>
      <c r="AA112" s="159"/>
    </row>
    <row r="113" spans="1:27" ht="15" customHeight="1" x14ac:dyDescent="0.25">
      <c r="A113" s="201" t="s">
        <v>229</v>
      </c>
      <c r="B113" s="209">
        <v>370</v>
      </c>
      <c r="C113" s="209">
        <v>242</v>
      </c>
      <c r="D113" s="219">
        <v>0.65405405405405403</v>
      </c>
      <c r="E113" s="220">
        <v>1.5223011583011583</v>
      </c>
      <c r="F113" s="220">
        <v>4.235881</v>
      </c>
      <c r="G113" s="209">
        <v>12301</v>
      </c>
      <c r="H113" s="209">
        <v>56177.479644787643</v>
      </c>
      <c r="I113" s="210">
        <v>5.8743528923356249E-3</v>
      </c>
      <c r="J113" s="209">
        <v>26</v>
      </c>
      <c r="K113" s="209">
        <v>8</v>
      </c>
      <c r="L113" s="219">
        <v>0.30769230769230771</v>
      </c>
      <c r="M113" s="220">
        <v>2.228879120879121</v>
      </c>
      <c r="N113" s="220">
        <v>4.072916666666667</v>
      </c>
      <c r="O113" s="209">
        <v>391</v>
      </c>
      <c r="P113" s="209">
        <v>871.49173626373636</v>
      </c>
      <c r="Q113" s="210">
        <v>1.3119850265426807E-3</v>
      </c>
      <c r="R113" s="209">
        <v>396</v>
      </c>
      <c r="S113" s="209">
        <v>250</v>
      </c>
      <c r="T113" s="219">
        <v>0.63131313131313127</v>
      </c>
      <c r="U113" s="220">
        <v>1.8755901395901398</v>
      </c>
      <c r="V113" s="220">
        <v>4.2306661413333329</v>
      </c>
      <c r="W113" s="209">
        <v>12692</v>
      </c>
      <c r="X113" s="209">
        <v>57048.971381051379</v>
      </c>
      <c r="Y113" s="210">
        <v>5.5780348475786869E-3</v>
      </c>
      <c r="Z113" s="152">
        <v>2.796322803635286E-4</v>
      </c>
      <c r="AA113" s="159"/>
    </row>
    <row r="114" spans="1:27" ht="15" customHeight="1" x14ac:dyDescent="0.25">
      <c r="A114" s="198" t="s">
        <v>439</v>
      </c>
      <c r="B114" s="207">
        <v>2468</v>
      </c>
      <c r="C114" s="207">
        <v>1374</v>
      </c>
      <c r="D114" s="217">
        <v>0.55672609400324147</v>
      </c>
      <c r="E114" s="218">
        <v>1.720850196804816</v>
      </c>
      <c r="F114" s="218">
        <v>4.26194775</v>
      </c>
      <c r="G114" s="207">
        <v>70271</v>
      </c>
      <c r="H114" s="207">
        <v>362777.59253901365</v>
      </c>
      <c r="I114" s="208">
        <v>3.7934838185711299E-2</v>
      </c>
      <c r="J114" s="207">
        <v>425</v>
      </c>
      <c r="K114" s="207">
        <v>183</v>
      </c>
      <c r="L114" s="217">
        <v>0.43058823529411766</v>
      </c>
      <c r="M114" s="218">
        <v>1.9781714285714287</v>
      </c>
      <c r="N114" s="218">
        <v>4.2850632500000003</v>
      </c>
      <c r="O114" s="207">
        <v>9410</v>
      </c>
      <c r="P114" s="207">
        <v>18614.593142857146</v>
      </c>
      <c r="Q114" s="208">
        <v>2.8023292089165458E-2</v>
      </c>
      <c r="R114" s="207">
        <v>2893</v>
      </c>
      <c r="S114" s="207">
        <v>1557</v>
      </c>
      <c r="T114" s="217">
        <v>0.53819564465952296</v>
      </c>
      <c r="U114" s="218">
        <v>1.8495108126881223</v>
      </c>
      <c r="V114" s="218">
        <v>4.264664600674374</v>
      </c>
      <c r="W114" s="207">
        <v>79681</v>
      </c>
      <c r="X114" s="207">
        <v>381392.18568187079</v>
      </c>
      <c r="Y114" s="208">
        <v>3.7291100099208649E-2</v>
      </c>
      <c r="Z114" s="152">
        <v>2.7791836040199264E-4</v>
      </c>
      <c r="AA114" s="159"/>
    </row>
    <row r="115" spans="1:27" ht="15" customHeight="1" x14ac:dyDescent="0.25">
      <c r="A115" s="201" t="s">
        <v>243</v>
      </c>
      <c r="B115" s="209">
        <v>2468</v>
      </c>
      <c r="C115" s="209">
        <v>1374</v>
      </c>
      <c r="D115" s="219">
        <v>0.55672609400324147</v>
      </c>
      <c r="E115" s="220">
        <v>1.720850196804816</v>
      </c>
      <c r="F115" s="220">
        <v>4.26194775</v>
      </c>
      <c r="G115" s="209">
        <v>70271</v>
      </c>
      <c r="H115" s="209">
        <v>362777.59253901365</v>
      </c>
      <c r="I115" s="210">
        <v>3.7934838185711299E-2</v>
      </c>
      <c r="J115" s="209">
        <v>425</v>
      </c>
      <c r="K115" s="209">
        <v>183</v>
      </c>
      <c r="L115" s="219">
        <v>0.43058823529411766</v>
      </c>
      <c r="M115" s="220">
        <v>1.9781714285714287</v>
      </c>
      <c r="N115" s="220">
        <v>4.2850632500000003</v>
      </c>
      <c r="O115" s="209">
        <v>9410</v>
      </c>
      <c r="P115" s="209">
        <v>18614.593142857146</v>
      </c>
      <c r="Q115" s="210">
        <v>2.8023292089165458E-2</v>
      </c>
      <c r="R115" s="209">
        <v>2893</v>
      </c>
      <c r="S115" s="209">
        <v>1557</v>
      </c>
      <c r="T115" s="219">
        <v>0.53819564465952296</v>
      </c>
      <c r="U115" s="220">
        <v>1.8495108126881223</v>
      </c>
      <c r="V115" s="220">
        <v>4.264664600674374</v>
      </c>
      <c r="W115" s="209">
        <v>79681</v>
      </c>
      <c r="X115" s="209">
        <v>381392.18568187079</v>
      </c>
      <c r="Y115" s="210">
        <v>3.7291100099208649E-2</v>
      </c>
      <c r="Z115" s="152">
        <v>9.7511694359089691E-3</v>
      </c>
      <c r="AA115" s="159"/>
    </row>
    <row r="116" spans="1:27" ht="15" customHeight="1" x14ac:dyDescent="0.25">
      <c r="A116" s="198" t="s">
        <v>60</v>
      </c>
      <c r="B116" s="207">
        <v>775</v>
      </c>
      <c r="C116" s="207">
        <v>505</v>
      </c>
      <c r="D116" s="217">
        <v>0.65161290322580645</v>
      </c>
      <c r="E116" s="218">
        <v>1.5272811059907834</v>
      </c>
      <c r="F116" s="218">
        <v>4.2632007499999993</v>
      </c>
      <c r="G116" s="207">
        <v>25835</v>
      </c>
      <c r="H116" s="207">
        <v>118371.92211981566</v>
      </c>
      <c r="I116" s="208">
        <v>1.2377886075926591E-2</v>
      </c>
      <c r="J116" s="207">
        <v>129</v>
      </c>
      <c r="K116" s="207">
        <v>53</v>
      </c>
      <c r="L116" s="217">
        <v>0.41085271317829458</v>
      </c>
      <c r="M116" s="218">
        <v>2.0184318936877079</v>
      </c>
      <c r="N116" s="218">
        <v>4.407232333333333</v>
      </c>
      <c r="O116" s="207">
        <v>2803</v>
      </c>
      <c r="P116" s="207">
        <v>5657.6645980066451</v>
      </c>
      <c r="Q116" s="208">
        <v>8.5173168360818587E-3</v>
      </c>
      <c r="R116" s="207">
        <v>904</v>
      </c>
      <c r="S116" s="207">
        <v>558</v>
      </c>
      <c r="T116" s="217">
        <v>0.61725663716814161</v>
      </c>
      <c r="U116" s="218">
        <v>1.7728564998392455</v>
      </c>
      <c r="V116" s="218">
        <v>4.2768811692054953</v>
      </c>
      <c r="W116" s="207">
        <v>28638</v>
      </c>
      <c r="X116" s="207">
        <v>124029.5867178223</v>
      </c>
      <c r="Y116" s="208">
        <v>1.2127148660082384E-2</v>
      </c>
      <c r="Z116" s="152">
        <v>9.2696033524288218E-3</v>
      </c>
      <c r="AA116" s="159"/>
    </row>
    <row r="117" spans="1:27" ht="15" customHeight="1" x14ac:dyDescent="0.25">
      <c r="A117" s="201" t="s">
        <v>268</v>
      </c>
      <c r="B117" s="209">
        <v>775</v>
      </c>
      <c r="C117" s="209">
        <v>505</v>
      </c>
      <c r="D117" s="219">
        <v>0.65161290322580645</v>
      </c>
      <c r="E117" s="220">
        <v>1.5272811059907834</v>
      </c>
      <c r="F117" s="220">
        <v>4.2632007499999993</v>
      </c>
      <c r="G117" s="209">
        <v>25835</v>
      </c>
      <c r="H117" s="209">
        <v>118371.92211981566</v>
      </c>
      <c r="I117" s="210">
        <v>1.2377886075926591E-2</v>
      </c>
      <c r="J117" s="209">
        <v>129</v>
      </c>
      <c r="K117" s="209">
        <v>53</v>
      </c>
      <c r="L117" s="219">
        <v>0.41085271317829458</v>
      </c>
      <c r="M117" s="220">
        <v>2.0184318936877079</v>
      </c>
      <c r="N117" s="220">
        <v>4.407232333333333</v>
      </c>
      <c r="O117" s="209">
        <v>2803</v>
      </c>
      <c r="P117" s="209">
        <v>5657.6645980066451</v>
      </c>
      <c r="Q117" s="210">
        <v>8.5173168360818587E-3</v>
      </c>
      <c r="R117" s="209">
        <v>904</v>
      </c>
      <c r="S117" s="209">
        <v>558</v>
      </c>
      <c r="T117" s="219">
        <v>0.61725663716814161</v>
      </c>
      <c r="U117" s="220">
        <v>1.7728564998392455</v>
      </c>
      <c r="V117" s="220">
        <v>4.2768811692054953</v>
      </c>
      <c r="W117" s="209">
        <v>28638</v>
      </c>
      <c r="X117" s="209">
        <v>124029.5867178223</v>
      </c>
      <c r="Y117" s="210">
        <v>1.2127148660082384E-2</v>
      </c>
      <c r="Z117" s="152">
        <v>1.3312930308725882E-2</v>
      </c>
      <c r="AA117" s="159"/>
    </row>
    <row r="118" spans="1:27" ht="15" customHeight="1" x14ac:dyDescent="0.25">
      <c r="A118" s="198" t="s">
        <v>474</v>
      </c>
      <c r="B118" s="207">
        <v>861</v>
      </c>
      <c r="C118" s="207">
        <v>477</v>
      </c>
      <c r="D118" s="217">
        <v>0.55400696864111498</v>
      </c>
      <c r="E118" s="218">
        <v>1.726397212543554</v>
      </c>
      <c r="F118" s="218">
        <v>4.1598527499999998</v>
      </c>
      <c r="G118" s="207">
        <v>23811</v>
      </c>
      <c r="H118" s="207">
        <v>123321.73208362369</v>
      </c>
      <c r="I118" s="208">
        <v>1.289547658837503E-2</v>
      </c>
      <c r="J118" s="207">
        <v>190</v>
      </c>
      <c r="K118" s="207">
        <v>71</v>
      </c>
      <c r="L118" s="217">
        <v>0.37368421052631579</v>
      </c>
      <c r="M118" s="218">
        <v>2.0942556390977445</v>
      </c>
      <c r="N118" s="218">
        <v>4.1701872499999997</v>
      </c>
      <c r="O118" s="207">
        <v>3553</v>
      </c>
      <c r="P118" s="207">
        <v>7440.8902857142857</v>
      </c>
      <c r="Q118" s="208">
        <v>1.1201869430061575E-2</v>
      </c>
      <c r="R118" s="207">
        <v>1051</v>
      </c>
      <c r="S118" s="207">
        <v>548</v>
      </c>
      <c r="T118" s="217">
        <v>0.52140818268315892</v>
      </c>
      <c r="U118" s="218">
        <v>1.9103264258206494</v>
      </c>
      <c r="V118" s="218">
        <v>4.1611917089416064</v>
      </c>
      <c r="W118" s="207">
        <v>27364</v>
      </c>
      <c r="X118" s="207">
        <v>130762.62236933797</v>
      </c>
      <c r="Y118" s="208">
        <v>1.2785479679642511E-2</v>
      </c>
      <c r="Z118" s="152">
        <v>1.195620991475046E-2</v>
      </c>
      <c r="AA118" s="159"/>
    </row>
    <row r="119" spans="1:27" ht="15" customHeight="1" x14ac:dyDescent="0.25">
      <c r="A119" s="201" t="s">
        <v>473</v>
      </c>
      <c r="B119" s="209">
        <v>861</v>
      </c>
      <c r="C119" s="209">
        <v>477</v>
      </c>
      <c r="D119" s="219">
        <v>0.55400696864111498</v>
      </c>
      <c r="E119" s="220">
        <v>1.726397212543554</v>
      </c>
      <c r="F119" s="220">
        <v>4.1598527499999998</v>
      </c>
      <c r="G119" s="209">
        <v>23811</v>
      </c>
      <c r="H119" s="209">
        <v>123321.73208362369</v>
      </c>
      <c r="I119" s="210">
        <v>1.289547658837503E-2</v>
      </c>
      <c r="J119" s="209">
        <v>190</v>
      </c>
      <c r="K119" s="209">
        <v>71</v>
      </c>
      <c r="L119" s="219">
        <v>0.37368421052631579</v>
      </c>
      <c r="M119" s="220">
        <v>2.0942556390977445</v>
      </c>
      <c r="N119" s="220">
        <v>4.1701872499999997</v>
      </c>
      <c r="O119" s="209">
        <v>3553</v>
      </c>
      <c r="P119" s="209">
        <v>7440.8902857142857</v>
      </c>
      <c r="Q119" s="210">
        <v>1.1201869430061575E-2</v>
      </c>
      <c r="R119" s="209">
        <v>1051</v>
      </c>
      <c r="S119" s="209">
        <v>548</v>
      </c>
      <c r="T119" s="219">
        <v>0.52140818268315892</v>
      </c>
      <c r="U119" s="220">
        <v>1.9103264258206494</v>
      </c>
      <c r="V119" s="220">
        <v>4.1611917089416064</v>
      </c>
      <c r="W119" s="209">
        <v>27364</v>
      </c>
      <c r="X119" s="209">
        <v>130762.62236933797</v>
      </c>
      <c r="Y119" s="210">
        <v>1.2785479679642511E-2</v>
      </c>
      <c r="Z119" s="152">
        <v>1.2274488892586934E-4</v>
      </c>
      <c r="AA119" s="159"/>
    </row>
    <row r="120" spans="1:27" ht="15" customHeight="1" x14ac:dyDescent="0.25">
      <c r="A120" s="198" t="s">
        <v>61</v>
      </c>
      <c r="B120" s="207">
        <v>34</v>
      </c>
      <c r="C120" s="207">
        <v>25</v>
      </c>
      <c r="D120" s="217">
        <v>0.73529411764705888</v>
      </c>
      <c r="E120" s="218">
        <v>1.36</v>
      </c>
      <c r="F120" s="218">
        <v>4.6466666666666665</v>
      </c>
      <c r="G120" s="207">
        <v>1394</v>
      </c>
      <c r="H120" s="207">
        <v>5687.52</v>
      </c>
      <c r="I120" s="208">
        <v>5.9473119430548656E-4</v>
      </c>
      <c r="J120" s="207">
        <v>38</v>
      </c>
      <c r="K120" s="207">
        <v>22</v>
      </c>
      <c r="L120" s="217">
        <v>0.57894736842105265</v>
      </c>
      <c r="M120" s="218">
        <v>1.6755187969924812</v>
      </c>
      <c r="N120" s="218">
        <v>4.2803025833333335</v>
      </c>
      <c r="O120" s="207">
        <v>1130</v>
      </c>
      <c r="P120" s="207">
        <v>1893.3362406015037</v>
      </c>
      <c r="Q120" s="208">
        <v>2.8503182468824356E-3</v>
      </c>
      <c r="R120" s="207">
        <v>72</v>
      </c>
      <c r="S120" s="207">
        <v>47</v>
      </c>
      <c r="T120" s="217">
        <v>0.65277777777777779</v>
      </c>
      <c r="U120" s="218">
        <v>1.5177593984962408</v>
      </c>
      <c r="V120" s="218">
        <v>4.4751770957446819</v>
      </c>
      <c r="W120" s="207">
        <v>2524</v>
      </c>
      <c r="X120" s="207">
        <v>7580.8562406015044</v>
      </c>
      <c r="Y120" s="208">
        <v>7.4122774277758142E-4</v>
      </c>
      <c r="Z120" s="152">
        <v>2.5132310981571249E-2</v>
      </c>
      <c r="AA120" s="159"/>
    </row>
    <row r="121" spans="1:27" ht="15" customHeight="1" x14ac:dyDescent="0.25">
      <c r="A121" s="201" t="s">
        <v>264</v>
      </c>
      <c r="B121" s="209">
        <v>34</v>
      </c>
      <c r="C121" s="209">
        <v>25</v>
      </c>
      <c r="D121" s="219">
        <v>0.73529411764705888</v>
      </c>
      <c r="E121" s="220">
        <v>1.36</v>
      </c>
      <c r="F121" s="220">
        <v>4.6466666666666665</v>
      </c>
      <c r="G121" s="209">
        <v>1394</v>
      </c>
      <c r="H121" s="209">
        <v>5687.52</v>
      </c>
      <c r="I121" s="210">
        <v>5.9473119430548656E-4</v>
      </c>
      <c r="J121" s="209">
        <v>38</v>
      </c>
      <c r="K121" s="209">
        <v>22</v>
      </c>
      <c r="L121" s="219">
        <v>0.57894736842105265</v>
      </c>
      <c r="M121" s="220">
        <v>1.6755187969924812</v>
      </c>
      <c r="N121" s="220">
        <v>4.2803025833333335</v>
      </c>
      <c r="O121" s="209">
        <v>1130</v>
      </c>
      <c r="P121" s="209">
        <v>1893.3362406015037</v>
      </c>
      <c r="Q121" s="210">
        <v>2.8503182468824356E-3</v>
      </c>
      <c r="R121" s="209">
        <v>72</v>
      </c>
      <c r="S121" s="209">
        <v>47</v>
      </c>
      <c r="T121" s="219">
        <v>0.65277777777777779</v>
      </c>
      <c r="U121" s="220">
        <v>1.5177593984962408</v>
      </c>
      <c r="V121" s="220">
        <v>4.4751770957446819</v>
      </c>
      <c r="W121" s="209">
        <v>2524</v>
      </c>
      <c r="X121" s="209">
        <v>7580.8562406015044</v>
      </c>
      <c r="Y121" s="210">
        <v>7.4122774277758142E-4</v>
      </c>
      <c r="Z121" s="152">
        <v>1.2263903115254814E-2</v>
      </c>
      <c r="AA121" s="159"/>
    </row>
    <row r="122" spans="1:27" ht="15" customHeight="1" x14ac:dyDescent="0.25">
      <c r="A122" s="198" t="s">
        <v>498</v>
      </c>
      <c r="B122" s="207">
        <v>23</v>
      </c>
      <c r="C122" s="207">
        <v>12</v>
      </c>
      <c r="D122" s="217">
        <v>0.52173913043478259</v>
      </c>
      <c r="E122" s="218">
        <v>1.792223602484472</v>
      </c>
      <c r="F122" s="218">
        <v>4.0694440833333339</v>
      </c>
      <c r="G122" s="207">
        <v>586</v>
      </c>
      <c r="H122" s="207">
        <v>3150.7290931677016</v>
      </c>
      <c r="I122" s="208">
        <v>3.2946466588472124E-4</v>
      </c>
      <c r="J122" s="223"/>
      <c r="K122" s="223"/>
      <c r="L122" s="223"/>
      <c r="M122" s="223"/>
      <c r="N122" s="223"/>
      <c r="O122" s="223"/>
      <c r="P122" s="223"/>
      <c r="Q122" s="223"/>
      <c r="R122" s="207">
        <v>23</v>
      </c>
      <c r="S122" s="207">
        <v>12</v>
      </c>
      <c r="T122" s="217">
        <v>0.52173913043478259</v>
      </c>
      <c r="U122" s="218">
        <v>1.792223602484472</v>
      </c>
      <c r="V122" s="218">
        <v>4.0694440833333339</v>
      </c>
      <c r="W122" s="207">
        <v>586</v>
      </c>
      <c r="X122" s="207">
        <v>3150.7290931677016</v>
      </c>
      <c r="Y122" s="208">
        <v>3.0806649535502183E-4</v>
      </c>
      <c r="Z122" s="152">
        <v>1.7259020108933945E-2</v>
      </c>
      <c r="AA122" s="159"/>
    </row>
    <row r="123" spans="1:27" ht="15" customHeight="1" x14ac:dyDescent="0.25">
      <c r="A123" s="201" t="s">
        <v>263</v>
      </c>
      <c r="B123" s="209">
        <v>23</v>
      </c>
      <c r="C123" s="209">
        <v>12</v>
      </c>
      <c r="D123" s="219">
        <v>0.52173913043478259</v>
      </c>
      <c r="E123" s="220">
        <v>1.792223602484472</v>
      </c>
      <c r="F123" s="220">
        <v>4.0694440833333339</v>
      </c>
      <c r="G123" s="209">
        <v>586</v>
      </c>
      <c r="H123" s="209">
        <v>3150.7290931677016</v>
      </c>
      <c r="I123" s="210">
        <v>3.2946466588472124E-4</v>
      </c>
      <c r="J123" s="224"/>
      <c r="K123" s="224"/>
      <c r="L123" s="224"/>
      <c r="M123" s="224"/>
      <c r="N123" s="224"/>
      <c r="O123" s="224"/>
      <c r="P123" s="224"/>
      <c r="Q123" s="224"/>
      <c r="R123" s="209">
        <v>23</v>
      </c>
      <c r="S123" s="209">
        <v>12</v>
      </c>
      <c r="T123" s="219">
        <v>0.52173913043478259</v>
      </c>
      <c r="U123" s="220">
        <v>1.792223602484472</v>
      </c>
      <c r="V123" s="220">
        <v>4.0694440833333339</v>
      </c>
      <c r="W123" s="209">
        <v>586</v>
      </c>
      <c r="X123" s="209">
        <v>3150.7290931677016</v>
      </c>
      <c r="Y123" s="210">
        <v>3.0806649535502183E-4</v>
      </c>
      <c r="Z123" s="152">
        <v>7.0186152321621571E-4</v>
      </c>
      <c r="AA123" s="159"/>
    </row>
    <row r="124" spans="1:27" ht="15" customHeight="1" x14ac:dyDescent="0.25">
      <c r="A124" s="198" t="s">
        <v>357</v>
      </c>
      <c r="B124" s="207">
        <v>33</v>
      </c>
      <c r="C124" s="207">
        <v>24</v>
      </c>
      <c r="D124" s="217">
        <v>0.72727272727272729</v>
      </c>
      <c r="E124" s="218">
        <v>1.3750000000000002</v>
      </c>
      <c r="F124" s="218">
        <v>4.5173607499999999</v>
      </c>
      <c r="G124" s="207">
        <v>1301</v>
      </c>
      <c r="H124" s="207">
        <v>5366.6250000000009</v>
      </c>
      <c r="I124" s="208">
        <v>5.6117592476856025E-4</v>
      </c>
      <c r="J124" s="207">
        <v>1</v>
      </c>
      <c r="K124" s="207">
        <v>1</v>
      </c>
      <c r="L124" s="217">
        <v>1</v>
      </c>
      <c r="M124" s="218">
        <v>1</v>
      </c>
      <c r="N124" s="218">
        <v>4.916666666666667</v>
      </c>
      <c r="O124" s="207">
        <v>59</v>
      </c>
      <c r="P124" s="207">
        <v>59</v>
      </c>
      <c r="Q124" s="208">
        <v>8.8821400530862555E-5</v>
      </c>
      <c r="R124" s="207">
        <v>34</v>
      </c>
      <c r="S124" s="207">
        <v>25</v>
      </c>
      <c r="T124" s="217">
        <v>0.73529411764705888</v>
      </c>
      <c r="U124" s="218">
        <v>1.1875</v>
      </c>
      <c r="V124" s="218">
        <v>4.5333329866666672</v>
      </c>
      <c r="W124" s="207">
        <v>1360</v>
      </c>
      <c r="X124" s="207">
        <v>5425.6250000000009</v>
      </c>
      <c r="Y124" s="208">
        <v>5.304973006042018E-4</v>
      </c>
      <c r="Z124" s="152">
        <v>2.2083628974423238E-3</v>
      </c>
      <c r="AA124" s="159"/>
    </row>
    <row r="125" spans="1:27" ht="15" customHeight="1" x14ac:dyDescent="0.25">
      <c r="A125" s="201" t="s">
        <v>262</v>
      </c>
      <c r="B125" s="209">
        <v>33</v>
      </c>
      <c r="C125" s="209">
        <v>24</v>
      </c>
      <c r="D125" s="219">
        <v>0.72727272727272729</v>
      </c>
      <c r="E125" s="220">
        <v>1.3750000000000002</v>
      </c>
      <c r="F125" s="220">
        <v>4.5173607499999999</v>
      </c>
      <c r="G125" s="209">
        <v>1301</v>
      </c>
      <c r="H125" s="209">
        <v>5366.6250000000009</v>
      </c>
      <c r="I125" s="210">
        <v>5.6117592476856025E-4</v>
      </c>
      <c r="J125" s="209">
        <v>1</v>
      </c>
      <c r="K125" s="209">
        <v>1</v>
      </c>
      <c r="L125" s="219">
        <v>1</v>
      </c>
      <c r="M125" s="220">
        <v>1</v>
      </c>
      <c r="N125" s="220">
        <v>4.916666666666667</v>
      </c>
      <c r="O125" s="209">
        <v>59</v>
      </c>
      <c r="P125" s="209">
        <v>59</v>
      </c>
      <c r="Q125" s="210">
        <v>8.8821400530862555E-5</v>
      </c>
      <c r="R125" s="209">
        <v>34</v>
      </c>
      <c r="S125" s="209">
        <v>25</v>
      </c>
      <c r="T125" s="219">
        <v>0.73529411764705888</v>
      </c>
      <c r="U125" s="220">
        <v>1.1875</v>
      </c>
      <c r="V125" s="220">
        <v>4.5333329866666672</v>
      </c>
      <c r="W125" s="209">
        <v>1360</v>
      </c>
      <c r="X125" s="209">
        <v>5425.6250000000009</v>
      </c>
      <c r="Y125" s="210">
        <v>5.304973006042018E-4</v>
      </c>
      <c r="Z125" s="152">
        <v>3.0615631824015598E-3</v>
      </c>
      <c r="AA125" s="159"/>
    </row>
    <row r="126" spans="1:27" ht="15" customHeight="1" x14ac:dyDescent="0.25">
      <c r="A126" s="198" t="s">
        <v>64</v>
      </c>
      <c r="B126" s="207">
        <v>85</v>
      </c>
      <c r="C126" s="207">
        <v>52</v>
      </c>
      <c r="D126" s="217">
        <v>0.61176470588235299</v>
      </c>
      <c r="E126" s="218">
        <v>1.6085714285714285</v>
      </c>
      <c r="F126" s="218">
        <v>4.1907047500000001</v>
      </c>
      <c r="G126" s="207">
        <v>2615</v>
      </c>
      <c r="H126" s="207">
        <v>12619.242857142857</v>
      </c>
      <c r="I126" s="208">
        <v>1.3195658873568006E-3</v>
      </c>
      <c r="J126" s="223"/>
      <c r="K126" s="223"/>
      <c r="L126" s="223"/>
      <c r="M126" s="223"/>
      <c r="N126" s="223"/>
      <c r="O126" s="223"/>
      <c r="P126" s="223"/>
      <c r="Q126" s="223"/>
      <c r="R126" s="207">
        <v>85</v>
      </c>
      <c r="S126" s="207">
        <v>52</v>
      </c>
      <c r="T126" s="217">
        <v>0.61176470588235299</v>
      </c>
      <c r="U126" s="218">
        <v>1.6085714285714285</v>
      </c>
      <c r="V126" s="218">
        <v>4.1907047500000001</v>
      </c>
      <c r="W126" s="207">
        <v>2615</v>
      </c>
      <c r="X126" s="207">
        <v>12619.242857142857</v>
      </c>
      <c r="Y126" s="208">
        <v>1.233862323950354E-3</v>
      </c>
      <c r="Z126" s="152">
        <v>9.2735464268982222E-3</v>
      </c>
      <c r="AA126" s="159"/>
    </row>
    <row r="127" spans="1:27" ht="15" customHeight="1" x14ac:dyDescent="0.25">
      <c r="A127" s="201" t="s">
        <v>261</v>
      </c>
      <c r="B127" s="209">
        <v>85</v>
      </c>
      <c r="C127" s="209">
        <v>52</v>
      </c>
      <c r="D127" s="219">
        <v>0.61176470588235299</v>
      </c>
      <c r="E127" s="220">
        <v>1.6085714285714285</v>
      </c>
      <c r="F127" s="220">
        <v>4.1907047500000001</v>
      </c>
      <c r="G127" s="209">
        <v>2615</v>
      </c>
      <c r="H127" s="209">
        <v>12619.242857142857</v>
      </c>
      <c r="I127" s="210">
        <v>1.3195658873568006E-3</v>
      </c>
      <c r="J127" s="224"/>
      <c r="K127" s="224"/>
      <c r="L127" s="224"/>
      <c r="M127" s="224"/>
      <c r="N127" s="224"/>
      <c r="O127" s="224"/>
      <c r="P127" s="224"/>
      <c r="Q127" s="224"/>
      <c r="R127" s="209">
        <v>85</v>
      </c>
      <c r="S127" s="209">
        <v>52</v>
      </c>
      <c r="T127" s="219">
        <v>0.61176470588235299</v>
      </c>
      <c r="U127" s="220">
        <v>1.6085714285714285</v>
      </c>
      <c r="V127" s="220">
        <v>4.1907047500000001</v>
      </c>
      <c r="W127" s="209">
        <v>2615</v>
      </c>
      <c r="X127" s="209">
        <v>12619.242857142857</v>
      </c>
      <c r="Y127" s="210">
        <v>1.233862323950354E-3</v>
      </c>
      <c r="Z127" s="152">
        <v>1.4054768215490095E-2</v>
      </c>
      <c r="AA127" s="159"/>
    </row>
    <row r="128" spans="1:27" ht="15" customHeight="1" x14ac:dyDescent="0.25">
      <c r="A128" s="198" t="s">
        <v>144</v>
      </c>
      <c r="B128" s="207">
        <v>15</v>
      </c>
      <c r="C128" s="207">
        <v>12</v>
      </c>
      <c r="D128" s="217">
        <v>0.8</v>
      </c>
      <c r="E128" s="218">
        <v>1.25</v>
      </c>
      <c r="F128" s="218">
        <v>4.7777774166666669</v>
      </c>
      <c r="G128" s="207">
        <v>688</v>
      </c>
      <c r="H128" s="207">
        <v>2580</v>
      </c>
      <c r="I128" s="208">
        <v>2.6978480626145578E-4</v>
      </c>
      <c r="J128" s="223"/>
      <c r="K128" s="223"/>
      <c r="L128" s="223"/>
      <c r="M128" s="223"/>
      <c r="N128" s="223"/>
      <c r="O128" s="223"/>
      <c r="P128" s="223"/>
      <c r="Q128" s="223"/>
      <c r="R128" s="207">
        <v>15</v>
      </c>
      <c r="S128" s="207">
        <v>12</v>
      </c>
      <c r="T128" s="217">
        <v>0.8</v>
      </c>
      <c r="U128" s="218">
        <v>1.25</v>
      </c>
      <c r="V128" s="218">
        <v>4.7777774166666669</v>
      </c>
      <c r="W128" s="207">
        <v>688</v>
      </c>
      <c r="X128" s="207">
        <v>2580</v>
      </c>
      <c r="Y128" s="208">
        <v>2.5226274126185285E-4</v>
      </c>
      <c r="Z128" s="152">
        <v>3.7101915790927077E-3</v>
      </c>
      <c r="AA128" s="159"/>
    </row>
    <row r="129" spans="1:27" ht="15" customHeight="1" x14ac:dyDescent="0.25">
      <c r="A129" s="201" t="s">
        <v>259</v>
      </c>
      <c r="B129" s="209">
        <v>15</v>
      </c>
      <c r="C129" s="209">
        <v>12</v>
      </c>
      <c r="D129" s="219">
        <v>0.8</v>
      </c>
      <c r="E129" s="220">
        <v>1.25</v>
      </c>
      <c r="F129" s="220">
        <v>4.7777774166666669</v>
      </c>
      <c r="G129" s="209">
        <v>688</v>
      </c>
      <c r="H129" s="209">
        <v>2580</v>
      </c>
      <c r="I129" s="210">
        <v>2.6978480626145578E-4</v>
      </c>
      <c r="J129" s="224"/>
      <c r="K129" s="224"/>
      <c r="L129" s="224"/>
      <c r="M129" s="224"/>
      <c r="N129" s="224"/>
      <c r="O129" s="224"/>
      <c r="P129" s="224"/>
      <c r="Q129" s="224"/>
      <c r="R129" s="209">
        <v>15</v>
      </c>
      <c r="S129" s="209">
        <v>12</v>
      </c>
      <c r="T129" s="219">
        <v>0.8</v>
      </c>
      <c r="U129" s="220">
        <v>1.25</v>
      </c>
      <c r="V129" s="220">
        <v>4.7777774166666669</v>
      </c>
      <c r="W129" s="209">
        <v>688</v>
      </c>
      <c r="X129" s="209">
        <v>2580</v>
      </c>
      <c r="Y129" s="210">
        <v>2.5226274126185285E-4</v>
      </c>
      <c r="Z129" s="152">
        <v>2.6649158120105945E-2</v>
      </c>
      <c r="AA129" s="159"/>
    </row>
    <row r="130" spans="1:27" ht="15" customHeight="1" x14ac:dyDescent="0.25">
      <c r="A130" s="198" t="s">
        <v>65</v>
      </c>
      <c r="B130" s="207">
        <v>28</v>
      </c>
      <c r="C130" s="207">
        <v>22</v>
      </c>
      <c r="D130" s="217">
        <v>0.7857142857142857</v>
      </c>
      <c r="E130" s="218">
        <v>1.2727272727272727</v>
      </c>
      <c r="F130" s="218">
        <v>4.3598480000000004</v>
      </c>
      <c r="G130" s="207">
        <v>1151</v>
      </c>
      <c r="H130" s="207">
        <v>4394.727272727273</v>
      </c>
      <c r="I130" s="208">
        <v>4.5954676195529592E-4</v>
      </c>
      <c r="J130" s="223"/>
      <c r="K130" s="223"/>
      <c r="L130" s="223"/>
      <c r="M130" s="223"/>
      <c r="N130" s="223"/>
      <c r="O130" s="223"/>
      <c r="P130" s="223"/>
      <c r="Q130" s="223"/>
      <c r="R130" s="207">
        <v>28</v>
      </c>
      <c r="S130" s="207">
        <v>22</v>
      </c>
      <c r="T130" s="217">
        <v>0.7857142857142857</v>
      </c>
      <c r="U130" s="218">
        <v>1.2727272727272727</v>
      </c>
      <c r="V130" s="218">
        <v>4.3598480000000004</v>
      </c>
      <c r="W130" s="207">
        <v>1151</v>
      </c>
      <c r="X130" s="207">
        <v>4394.727272727273</v>
      </c>
      <c r="Y130" s="208">
        <v>4.2969998020015831E-4</v>
      </c>
      <c r="Z130" s="152">
        <v>7.8225348310047532E-4</v>
      </c>
      <c r="AA130" s="159"/>
    </row>
    <row r="131" spans="1:27" ht="15" customHeight="1" x14ac:dyDescent="0.25">
      <c r="A131" s="201" t="s">
        <v>298</v>
      </c>
      <c r="B131" s="209">
        <v>28</v>
      </c>
      <c r="C131" s="209">
        <v>22</v>
      </c>
      <c r="D131" s="219">
        <v>0.7857142857142857</v>
      </c>
      <c r="E131" s="220">
        <v>1.2727272727272727</v>
      </c>
      <c r="F131" s="220">
        <v>4.3598480000000004</v>
      </c>
      <c r="G131" s="209">
        <v>1151</v>
      </c>
      <c r="H131" s="209">
        <v>4394.727272727273</v>
      </c>
      <c r="I131" s="210">
        <v>4.5954676195529592E-4</v>
      </c>
      <c r="J131" s="224"/>
      <c r="K131" s="224"/>
      <c r="L131" s="224"/>
      <c r="M131" s="224"/>
      <c r="N131" s="224"/>
      <c r="O131" s="224"/>
      <c r="P131" s="224"/>
      <c r="Q131" s="224"/>
      <c r="R131" s="209">
        <v>28</v>
      </c>
      <c r="S131" s="209">
        <v>22</v>
      </c>
      <c r="T131" s="219">
        <v>0.7857142857142857</v>
      </c>
      <c r="U131" s="220">
        <v>1.2727272727272727</v>
      </c>
      <c r="V131" s="220">
        <v>4.3598480000000004</v>
      </c>
      <c r="W131" s="209">
        <v>1151</v>
      </c>
      <c r="X131" s="209">
        <v>4394.727272727273</v>
      </c>
      <c r="Y131" s="210">
        <v>4.2969998020015831E-4</v>
      </c>
      <c r="Z131" s="152">
        <v>3.3127354661956279E-2</v>
      </c>
      <c r="AA131" s="159"/>
    </row>
    <row r="132" spans="1:27" ht="15" customHeight="1" x14ac:dyDescent="0.25">
      <c r="A132" s="198" t="s">
        <v>66</v>
      </c>
      <c r="B132" s="207">
        <v>11</v>
      </c>
      <c r="C132" s="207">
        <v>11</v>
      </c>
      <c r="D132" s="217">
        <v>1</v>
      </c>
      <c r="E132" s="218">
        <v>1</v>
      </c>
      <c r="F132" s="218">
        <v>4.4848479166666673</v>
      </c>
      <c r="G132" s="207">
        <v>592</v>
      </c>
      <c r="H132" s="207">
        <v>1776</v>
      </c>
      <c r="I132" s="208">
        <v>1.857123317520719E-4</v>
      </c>
      <c r="J132" s="207">
        <v>2</v>
      </c>
      <c r="K132" s="207">
        <v>1</v>
      </c>
      <c r="L132" s="217">
        <v>0.5</v>
      </c>
      <c r="M132" s="218">
        <v>1.8365714285714285</v>
      </c>
      <c r="N132" s="218">
        <v>5</v>
      </c>
      <c r="O132" s="207">
        <v>60</v>
      </c>
      <c r="P132" s="207">
        <v>110.19428571428571</v>
      </c>
      <c r="Q132" s="208">
        <v>1.6589170826509961E-4</v>
      </c>
      <c r="R132" s="207">
        <v>13</v>
      </c>
      <c r="S132" s="207">
        <v>12</v>
      </c>
      <c r="T132" s="217">
        <v>0.92307692307692313</v>
      </c>
      <c r="U132" s="218">
        <v>1.4182857142857141</v>
      </c>
      <c r="V132" s="218">
        <v>4.5277772569444448</v>
      </c>
      <c r="W132" s="207">
        <v>652</v>
      </c>
      <c r="X132" s="207">
        <v>1886.1942857142858</v>
      </c>
      <c r="Y132" s="208">
        <v>1.8442501591733654E-4</v>
      </c>
      <c r="Z132" s="152">
        <v>1.322615351551344E-2</v>
      </c>
      <c r="AA132" s="159"/>
    </row>
    <row r="133" spans="1:27" ht="15" customHeight="1" x14ac:dyDescent="0.25">
      <c r="A133" s="201" t="s">
        <v>258</v>
      </c>
      <c r="B133" s="209">
        <v>11</v>
      </c>
      <c r="C133" s="209">
        <v>11</v>
      </c>
      <c r="D133" s="219">
        <v>1</v>
      </c>
      <c r="E133" s="220">
        <v>1</v>
      </c>
      <c r="F133" s="220">
        <v>4.4848479166666673</v>
      </c>
      <c r="G133" s="209">
        <v>592</v>
      </c>
      <c r="H133" s="209">
        <v>1776</v>
      </c>
      <c r="I133" s="210">
        <v>1.857123317520719E-4</v>
      </c>
      <c r="J133" s="209">
        <v>2</v>
      </c>
      <c r="K133" s="209">
        <v>1</v>
      </c>
      <c r="L133" s="219">
        <v>0.5</v>
      </c>
      <c r="M133" s="220">
        <v>1.8365714285714285</v>
      </c>
      <c r="N133" s="220">
        <v>5</v>
      </c>
      <c r="O133" s="209">
        <v>60</v>
      </c>
      <c r="P133" s="209">
        <v>110.19428571428571</v>
      </c>
      <c r="Q133" s="210">
        <v>1.6589170826509961E-4</v>
      </c>
      <c r="R133" s="209">
        <v>13</v>
      </c>
      <c r="S133" s="209">
        <v>12</v>
      </c>
      <c r="T133" s="219">
        <v>0.92307692307692313</v>
      </c>
      <c r="U133" s="220">
        <v>1.4182857142857141</v>
      </c>
      <c r="V133" s="220">
        <v>4.5277772569444448</v>
      </c>
      <c r="W133" s="209">
        <v>652</v>
      </c>
      <c r="X133" s="209">
        <v>1886.1942857142858</v>
      </c>
      <c r="Y133" s="210">
        <v>1.8442501591733654E-4</v>
      </c>
      <c r="Z133" s="152">
        <v>6.8739696763082756E-3</v>
      </c>
      <c r="AA133" s="159"/>
    </row>
    <row r="134" spans="1:27" ht="15" customHeight="1" x14ac:dyDescent="0.25">
      <c r="A134" s="198" t="s">
        <v>67</v>
      </c>
      <c r="B134" s="207">
        <v>22</v>
      </c>
      <c r="C134" s="207">
        <v>12</v>
      </c>
      <c r="D134" s="217">
        <v>0.54545454545454541</v>
      </c>
      <c r="E134" s="218">
        <v>1.743844155844156</v>
      </c>
      <c r="F134" s="218">
        <v>4.3958331666666668</v>
      </c>
      <c r="G134" s="207">
        <v>633</v>
      </c>
      <c r="H134" s="207">
        <v>3311.5600519480522</v>
      </c>
      <c r="I134" s="208">
        <v>3.4628239807673716E-4</v>
      </c>
      <c r="J134" s="207">
        <v>7</v>
      </c>
      <c r="K134" s="207">
        <v>4</v>
      </c>
      <c r="L134" s="217">
        <v>0.5714285714285714</v>
      </c>
      <c r="M134" s="218">
        <v>1.6908571428571428</v>
      </c>
      <c r="N134" s="218">
        <v>4.166666666666667</v>
      </c>
      <c r="O134" s="207">
        <v>200</v>
      </c>
      <c r="P134" s="207">
        <v>338.17142857142858</v>
      </c>
      <c r="Q134" s="208">
        <v>5.0909932042774299E-4</v>
      </c>
      <c r="R134" s="207">
        <v>29</v>
      </c>
      <c r="S134" s="207">
        <v>16</v>
      </c>
      <c r="T134" s="217">
        <v>0.55172413793103448</v>
      </c>
      <c r="U134" s="218">
        <v>1.7173506493506494</v>
      </c>
      <c r="V134" s="218">
        <v>4.3385415416666673</v>
      </c>
      <c r="W134" s="207">
        <v>833</v>
      </c>
      <c r="X134" s="207">
        <v>3649.731480519481</v>
      </c>
      <c r="Y134" s="208">
        <v>3.5685708067656008E-4</v>
      </c>
      <c r="Z134" s="152">
        <v>1.8183823062423855E-3</v>
      </c>
      <c r="AA134" s="159"/>
    </row>
    <row r="135" spans="1:27" ht="15" customHeight="1" x14ac:dyDescent="0.25">
      <c r="A135" s="201" t="s">
        <v>257</v>
      </c>
      <c r="B135" s="209">
        <v>22</v>
      </c>
      <c r="C135" s="209">
        <v>12</v>
      </c>
      <c r="D135" s="219">
        <v>0.54545454545454541</v>
      </c>
      <c r="E135" s="220">
        <v>1.743844155844156</v>
      </c>
      <c r="F135" s="220">
        <v>4.3958331666666668</v>
      </c>
      <c r="G135" s="209">
        <v>633</v>
      </c>
      <c r="H135" s="209">
        <v>3311.5600519480522</v>
      </c>
      <c r="I135" s="210">
        <v>3.4628239807673716E-4</v>
      </c>
      <c r="J135" s="209">
        <v>7</v>
      </c>
      <c r="K135" s="209">
        <v>4</v>
      </c>
      <c r="L135" s="219">
        <v>0.5714285714285714</v>
      </c>
      <c r="M135" s="220">
        <v>1.6908571428571428</v>
      </c>
      <c r="N135" s="220">
        <v>4.166666666666667</v>
      </c>
      <c r="O135" s="209">
        <v>200</v>
      </c>
      <c r="P135" s="209">
        <v>338.17142857142858</v>
      </c>
      <c r="Q135" s="210">
        <v>5.0909932042774299E-4</v>
      </c>
      <c r="R135" s="209">
        <v>29</v>
      </c>
      <c r="S135" s="209">
        <v>16</v>
      </c>
      <c r="T135" s="219">
        <v>0.55172413793103448</v>
      </c>
      <c r="U135" s="220">
        <v>1.7173506493506494</v>
      </c>
      <c r="V135" s="220">
        <v>4.3385415416666673</v>
      </c>
      <c r="W135" s="209">
        <v>833</v>
      </c>
      <c r="X135" s="209">
        <v>3649.731480519481</v>
      </c>
      <c r="Y135" s="210">
        <v>3.5685708067656008E-4</v>
      </c>
      <c r="Z135" s="153">
        <v>1</v>
      </c>
    </row>
    <row r="136" spans="1:27" ht="15" customHeight="1" x14ac:dyDescent="0.25">
      <c r="A136" s="198" t="s">
        <v>469</v>
      </c>
      <c r="B136" s="207">
        <v>151</v>
      </c>
      <c r="C136" s="207">
        <v>78</v>
      </c>
      <c r="D136" s="217">
        <v>0.51655629139072845</v>
      </c>
      <c r="E136" s="218">
        <v>1.8027965941343425</v>
      </c>
      <c r="F136" s="218">
        <v>4.3386746666666669</v>
      </c>
      <c r="G136" s="207">
        <v>4061</v>
      </c>
      <c r="H136" s="207">
        <v>21963.470906338694</v>
      </c>
      <c r="I136" s="208">
        <v>2.2966708307347698E-3</v>
      </c>
      <c r="J136" s="207">
        <v>34</v>
      </c>
      <c r="K136" s="207">
        <v>12</v>
      </c>
      <c r="L136" s="217">
        <v>0.35294117647058826</v>
      </c>
      <c r="M136" s="218">
        <v>2.1365714285714286</v>
      </c>
      <c r="N136" s="218">
        <v>4.4861107500000008</v>
      </c>
      <c r="O136" s="207">
        <v>646</v>
      </c>
      <c r="P136" s="207">
        <v>1380.2251428571428</v>
      </c>
      <c r="Q136" s="208">
        <v>2.0778564446861233E-3</v>
      </c>
      <c r="R136" s="207">
        <v>185</v>
      </c>
      <c r="S136" s="207">
        <v>90</v>
      </c>
      <c r="T136" s="217">
        <v>0.48648648648648651</v>
      </c>
      <c r="U136" s="218">
        <v>1.9696840113528855</v>
      </c>
      <c r="V136" s="218">
        <v>4.3583328111111115</v>
      </c>
      <c r="W136" s="207">
        <v>4707</v>
      </c>
      <c r="X136" s="207">
        <v>23343.696049195838</v>
      </c>
      <c r="Y136" s="208">
        <v>2.2824592079665222E-3</v>
      </c>
    </row>
    <row r="137" spans="1:27" ht="15" customHeight="1" x14ac:dyDescent="0.25">
      <c r="A137" s="201" t="s">
        <v>295</v>
      </c>
      <c r="B137" s="209">
        <v>151</v>
      </c>
      <c r="C137" s="209">
        <v>78</v>
      </c>
      <c r="D137" s="219">
        <v>0.51655629139072845</v>
      </c>
      <c r="E137" s="220">
        <v>1.8027965941343425</v>
      </c>
      <c r="F137" s="220">
        <v>4.3386746666666669</v>
      </c>
      <c r="G137" s="209">
        <v>4061</v>
      </c>
      <c r="H137" s="209">
        <v>21963.470906338694</v>
      </c>
      <c r="I137" s="210">
        <v>2.2966708307347698E-3</v>
      </c>
      <c r="J137" s="209">
        <v>34</v>
      </c>
      <c r="K137" s="209">
        <v>12</v>
      </c>
      <c r="L137" s="219">
        <v>0.35294117647058826</v>
      </c>
      <c r="M137" s="220">
        <v>2.1365714285714286</v>
      </c>
      <c r="N137" s="220">
        <v>4.4861107500000008</v>
      </c>
      <c r="O137" s="209">
        <v>646</v>
      </c>
      <c r="P137" s="209">
        <v>1380.2251428571428</v>
      </c>
      <c r="Q137" s="210">
        <v>2.0778564446861233E-3</v>
      </c>
      <c r="R137" s="209">
        <v>185</v>
      </c>
      <c r="S137" s="209">
        <v>90</v>
      </c>
      <c r="T137" s="219">
        <v>0.48648648648648651</v>
      </c>
      <c r="U137" s="220">
        <v>1.9696840113528855</v>
      </c>
      <c r="V137" s="220">
        <v>4.3583328111111115</v>
      </c>
      <c r="W137" s="209">
        <v>4707</v>
      </c>
      <c r="X137" s="209">
        <v>23343.696049195838</v>
      </c>
      <c r="Y137" s="210">
        <v>2.2824592079665222E-3</v>
      </c>
    </row>
    <row r="138" spans="1:27" ht="15" customHeight="1" x14ac:dyDescent="0.25">
      <c r="A138" s="198" t="s">
        <v>68</v>
      </c>
      <c r="B138" s="207">
        <v>458</v>
      </c>
      <c r="C138" s="207">
        <v>262</v>
      </c>
      <c r="D138" s="217">
        <v>0.57205240174672489</v>
      </c>
      <c r="E138" s="218">
        <v>1.68958452900811</v>
      </c>
      <c r="F138" s="218">
        <v>4.204198083333333</v>
      </c>
      <c r="G138" s="207">
        <v>13218</v>
      </c>
      <c r="H138" s="207">
        <v>66998.784913287585</v>
      </c>
      <c r="I138" s="208">
        <v>7.0059124835597829E-3</v>
      </c>
      <c r="J138" s="207">
        <v>239</v>
      </c>
      <c r="K138" s="207">
        <v>89</v>
      </c>
      <c r="L138" s="217">
        <v>0.3723849372384937</v>
      </c>
      <c r="M138" s="218">
        <v>2.0969061566049012</v>
      </c>
      <c r="N138" s="218">
        <v>4.1938198333333334</v>
      </c>
      <c r="O138" s="207">
        <v>4479</v>
      </c>
      <c r="P138" s="207">
        <v>9392.042675433353</v>
      </c>
      <c r="Q138" s="208">
        <v>1.4139226852163046E-2</v>
      </c>
      <c r="R138" s="207">
        <v>697</v>
      </c>
      <c r="S138" s="207">
        <v>351</v>
      </c>
      <c r="T138" s="217">
        <v>0.50358680057388805</v>
      </c>
      <c r="U138" s="218">
        <v>1.8932453428065057</v>
      </c>
      <c r="V138" s="218">
        <v>4.2015665612535615</v>
      </c>
      <c r="W138" s="207">
        <v>17697</v>
      </c>
      <c r="X138" s="207">
        <v>76390.827588720946</v>
      </c>
      <c r="Y138" s="208">
        <v>7.4692091375164046E-3</v>
      </c>
    </row>
    <row r="139" spans="1:27" ht="15" customHeight="1" x14ac:dyDescent="0.25">
      <c r="A139" s="201" t="s">
        <v>256</v>
      </c>
      <c r="B139" s="209">
        <v>458</v>
      </c>
      <c r="C139" s="209">
        <v>262</v>
      </c>
      <c r="D139" s="219">
        <v>0.57205240174672489</v>
      </c>
      <c r="E139" s="220">
        <v>1.68958452900811</v>
      </c>
      <c r="F139" s="220">
        <v>4.204198083333333</v>
      </c>
      <c r="G139" s="209">
        <v>13218</v>
      </c>
      <c r="H139" s="209">
        <v>66998.784913287585</v>
      </c>
      <c r="I139" s="210">
        <v>7.0059124835597829E-3</v>
      </c>
      <c r="J139" s="209">
        <v>239</v>
      </c>
      <c r="K139" s="209">
        <v>89</v>
      </c>
      <c r="L139" s="219">
        <v>0.3723849372384937</v>
      </c>
      <c r="M139" s="220">
        <v>2.0969061566049012</v>
      </c>
      <c r="N139" s="220">
        <v>4.1938198333333334</v>
      </c>
      <c r="O139" s="209">
        <v>4479</v>
      </c>
      <c r="P139" s="209">
        <v>9392.042675433353</v>
      </c>
      <c r="Q139" s="210">
        <v>1.4139226852163046E-2</v>
      </c>
      <c r="R139" s="209">
        <v>697</v>
      </c>
      <c r="S139" s="209">
        <v>351</v>
      </c>
      <c r="T139" s="219">
        <v>0.50358680057388805</v>
      </c>
      <c r="U139" s="220">
        <v>1.8932453428065057</v>
      </c>
      <c r="V139" s="220">
        <v>4.2015665612535615</v>
      </c>
      <c r="W139" s="209">
        <v>17697</v>
      </c>
      <c r="X139" s="209">
        <v>76390.827588720946</v>
      </c>
      <c r="Y139" s="210">
        <v>7.4692091375164046E-3</v>
      </c>
    </row>
    <row r="140" spans="1:27" ht="15" customHeight="1" x14ac:dyDescent="0.25">
      <c r="A140" s="198" t="s">
        <v>69</v>
      </c>
      <c r="B140" s="207">
        <v>708</v>
      </c>
      <c r="C140" s="207">
        <v>358</v>
      </c>
      <c r="D140" s="217">
        <v>0.50564971751412424</v>
      </c>
      <c r="E140" s="218">
        <v>1.8250460048426151</v>
      </c>
      <c r="F140" s="218">
        <v>4.2739752500000003</v>
      </c>
      <c r="G140" s="207">
        <v>18361</v>
      </c>
      <c r="H140" s="207">
        <v>100529.00908474578</v>
      </c>
      <c r="I140" s="208">
        <v>1.0512092728521034E-2</v>
      </c>
      <c r="J140" s="207">
        <v>73</v>
      </c>
      <c r="K140" s="207">
        <v>23</v>
      </c>
      <c r="L140" s="217">
        <v>0.31506849315068491</v>
      </c>
      <c r="M140" s="218">
        <v>2.2138317025440313</v>
      </c>
      <c r="N140" s="218">
        <v>4.3586950833333331</v>
      </c>
      <c r="O140" s="207">
        <v>1203</v>
      </c>
      <c r="P140" s="207">
        <v>2663.2395381604697</v>
      </c>
      <c r="Q140" s="208">
        <v>4.0093672157386524E-3</v>
      </c>
      <c r="R140" s="207">
        <v>781</v>
      </c>
      <c r="S140" s="207">
        <v>381</v>
      </c>
      <c r="T140" s="217">
        <v>0.48783610755441742</v>
      </c>
      <c r="U140" s="218">
        <v>2.0194388536933232</v>
      </c>
      <c r="V140" s="218">
        <v>4.279089570647419</v>
      </c>
      <c r="W140" s="207">
        <v>19564</v>
      </c>
      <c r="X140" s="207">
        <v>103192.24862290625</v>
      </c>
      <c r="Y140" s="208">
        <v>1.0089751749840694E-2</v>
      </c>
    </row>
    <row r="141" spans="1:27" ht="15" customHeight="1" x14ac:dyDescent="0.25">
      <c r="A141" s="201" t="s">
        <v>254</v>
      </c>
      <c r="B141" s="209">
        <v>708</v>
      </c>
      <c r="C141" s="209">
        <v>358</v>
      </c>
      <c r="D141" s="219">
        <v>0.50564971751412424</v>
      </c>
      <c r="E141" s="220">
        <v>1.8250460048426151</v>
      </c>
      <c r="F141" s="220">
        <v>4.2739752500000003</v>
      </c>
      <c r="G141" s="209">
        <v>18361</v>
      </c>
      <c r="H141" s="209">
        <v>100529.00908474578</v>
      </c>
      <c r="I141" s="210">
        <v>1.0512092728521034E-2</v>
      </c>
      <c r="J141" s="209">
        <v>73</v>
      </c>
      <c r="K141" s="209">
        <v>23</v>
      </c>
      <c r="L141" s="219">
        <v>0.31506849315068491</v>
      </c>
      <c r="M141" s="220">
        <v>2.2138317025440313</v>
      </c>
      <c r="N141" s="220">
        <v>4.3586950833333331</v>
      </c>
      <c r="O141" s="209">
        <v>1203</v>
      </c>
      <c r="P141" s="209">
        <v>2663.2395381604697</v>
      </c>
      <c r="Q141" s="210">
        <v>4.0093672157386524E-3</v>
      </c>
      <c r="R141" s="209">
        <v>781</v>
      </c>
      <c r="S141" s="209">
        <v>381</v>
      </c>
      <c r="T141" s="219">
        <v>0.48783610755441742</v>
      </c>
      <c r="U141" s="220">
        <v>2.0194388536933232</v>
      </c>
      <c r="V141" s="220">
        <v>4.279089570647419</v>
      </c>
      <c r="W141" s="209">
        <v>19564</v>
      </c>
      <c r="X141" s="209">
        <v>103192.24862290625</v>
      </c>
      <c r="Y141" s="210">
        <v>1.0089751749840694E-2</v>
      </c>
    </row>
    <row r="142" spans="1:27" ht="15" customHeight="1" x14ac:dyDescent="0.25">
      <c r="A142" s="198" t="s">
        <v>70</v>
      </c>
      <c r="B142" s="207">
        <v>909</v>
      </c>
      <c r="C142" s="207">
        <v>409</v>
      </c>
      <c r="D142" s="217">
        <v>0.44994499449944997</v>
      </c>
      <c r="E142" s="218">
        <v>1.9386836397925507</v>
      </c>
      <c r="F142" s="218">
        <v>4.2701707500000001</v>
      </c>
      <c r="G142" s="207">
        <v>20958</v>
      </c>
      <c r="H142" s="207">
        <v>121892.79516831684</v>
      </c>
      <c r="I142" s="208">
        <v>1.2746055864012278E-2</v>
      </c>
      <c r="J142" s="207">
        <v>140</v>
      </c>
      <c r="K142" s="207">
        <v>57</v>
      </c>
      <c r="L142" s="217">
        <v>0.40714285714285714</v>
      </c>
      <c r="M142" s="218">
        <v>2.0259999999999998</v>
      </c>
      <c r="N142" s="218">
        <v>4.2266077499999994</v>
      </c>
      <c r="O142" s="207">
        <v>2891</v>
      </c>
      <c r="P142" s="207">
        <v>5857.1659999999993</v>
      </c>
      <c r="Q142" s="208">
        <v>8.8176557163008474E-3</v>
      </c>
      <c r="R142" s="207">
        <v>1049</v>
      </c>
      <c r="S142" s="207">
        <v>466</v>
      </c>
      <c r="T142" s="217">
        <v>0.44423260247855101</v>
      </c>
      <c r="U142" s="218">
        <v>1.9823418198962752</v>
      </c>
      <c r="V142" s="218">
        <v>4.2648422285407719</v>
      </c>
      <c r="W142" s="207">
        <v>23849</v>
      </c>
      <c r="X142" s="207">
        <v>127749.96116831683</v>
      </c>
      <c r="Y142" s="208">
        <v>1.2490912945897234E-2</v>
      </c>
    </row>
    <row r="143" spans="1:27" ht="15" customHeight="1" x14ac:dyDescent="0.25">
      <c r="A143" s="201" t="s">
        <v>253</v>
      </c>
      <c r="B143" s="209">
        <v>909</v>
      </c>
      <c r="C143" s="209">
        <v>409</v>
      </c>
      <c r="D143" s="219">
        <v>0.44994499449944997</v>
      </c>
      <c r="E143" s="220">
        <v>1.9386836397925507</v>
      </c>
      <c r="F143" s="220">
        <v>4.2701707500000001</v>
      </c>
      <c r="G143" s="209">
        <v>20958</v>
      </c>
      <c r="H143" s="209">
        <v>121892.79516831684</v>
      </c>
      <c r="I143" s="210">
        <v>1.2746055864012278E-2</v>
      </c>
      <c r="J143" s="209">
        <v>140</v>
      </c>
      <c r="K143" s="209">
        <v>57</v>
      </c>
      <c r="L143" s="219">
        <v>0.40714285714285714</v>
      </c>
      <c r="M143" s="220">
        <v>2.0259999999999998</v>
      </c>
      <c r="N143" s="220">
        <v>4.2266077499999994</v>
      </c>
      <c r="O143" s="209">
        <v>2891</v>
      </c>
      <c r="P143" s="209">
        <v>5857.1659999999993</v>
      </c>
      <c r="Q143" s="210">
        <v>8.8176557163008474E-3</v>
      </c>
      <c r="R143" s="209">
        <v>1049</v>
      </c>
      <c r="S143" s="209">
        <v>466</v>
      </c>
      <c r="T143" s="219">
        <v>0.44423260247855101</v>
      </c>
      <c r="U143" s="220">
        <v>1.9823418198962752</v>
      </c>
      <c r="V143" s="220">
        <v>4.2648422285407719</v>
      </c>
      <c r="W143" s="209">
        <v>23849</v>
      </c>
      <c r="X143" s="209">
        <v>127749.96116831683</v>
      </c>
      <c r="Y143" s="210">
        <v>1.2490912945897234E-2</v>
      </c>
    </row>
    <row r="144" spans="1:27" ht="15" customHeight="1" x14ac:dyDescent="0.25">
      <c r="A144" s="198" t="s">
        <v>71</v>
      </c>
      <c r="B144" s="207">
        <v>1995</v>
      </c>
      <c r="C144" s="207">
        <v>988</v>
      </c>
      <c r="D144" s="217">
        <v>0.49523809523809526</v>
      </c>
      <c r="E144" s="218">
        <v>1.8462857142857143</v>
      </c>
      <c r="F144" s="218">
        <v>4.215333583333333</v>
      </c>
      <c r="G144" s="207">
        <v>49977</v>
      </c>
      <c r="H144" s="207">
        <v>276815.46342857141</v>
      </c>
      <c r="I144" s="208">
        <v>2.8945971384206296E-2</v>
      </c>
      <c r="J144" s="207">
        <v>710</v>
      </c>
      <c r="K144" s="207">
        <v>120</v>
      </c>
      <c r="L144" s="217">
        <v>0.16901408450704225</v>
      </c>
      <c r="M144" s="218">
        <v>2.4485709999999998</v>
      </c>
      <c r="N144" s="218">
        <v>4.0006941666666673</v>
      </c>
      <c r="O144" s="207">
        <v>5761</v>
      </c>
      <c r="P144" s="207">
        <v>14106.217530999998</v>
      </c>
      <c r="Q144" s="208">
        <v>2.1236169445702134E-2</v>
      </c>
      <c r="R144" s="207">
        <v>2705</v>
      </c>
      <c r="S144" s="207">
        <v>1108</v>
      </c>
      <c r="T144" s="217">
        <v>0.40961182994454715</v>
      </c>
      <c r="U144" s="218">
        <v>2.1474283571428572</v>
      </c>
      <c r="V144" s="218">
        <v>4.1920874371239467</v>
      </c>
      <c r="W144" s="207">
        <v>55738</v>
      </c>
      <c r="X144" s="207">
        <v>290921.68095957139</v>
      </c>
      <c r="Y144" s="208">
        <v>2.8445232841615375E-2</v>
      </c>
    </row>
    <row r="145" spans="1:25" ht="15" customHeight="1" x14ac:dyDescent="0.25">
      <c r="A145" s="201" t="s">
        <v>252</v>
      </c>
      <c r="B145" s="209">
        <v>1995</v>
      </c>
      <c r="C145" s="209">
        <v>988</v>
      </c>
      <c r="D145" s="219">
        <v>0.49523809523809526</v>
      </c>
      <c r="E145" s="220">
        <v>1.8462857142857143</v>
      </c>
      <c r="F145" s="220">
        <v>4.215333583333333</v>
      </c>
      <c r="G145" s="209">
        <v>49977</v>
      </c>
      <c r="H145" s="209">
        <v>276815.46342857141</v>
      </c>
      <c r="I145" s="210">
        <v>2.8945971384206296E-2</v>
      </c>
      <c r="J145" s="209">
        <v>710</v>
      </c>
      <c r="K145" s="209">
        <v>120</v>
      </c>
      <c r="L145" s="219">
        <v>0.16901408450704225</v>
      </c>
      <c r="M145" s="220">
        <v>2.4485709999999998</v>
      </c>
      <c r="N145" s="220">
        <v>4.0006941666666673</v>
      </c>
      <c r="O145" s="209">
        <v>5761</v>
      </c>
      <c r="P145" s="209">
        <v>14106.217530999998</v>
      </c>
      <c r="Q145" s="210">
        <v>2.1236169445702134E-2</v>
      </c>
      <c r="R145" s="209">
        <v>2705</v>
      </c>
      <c r="S145" s="209">
        <v>1108</v>
      </c>
      <c r="T145" s="219">
        <v>0.40961182994454715</v>
      </c>
      <c r="U145" s="220">
        <v>2.1474283571428572</v>
      </c>
      <c r="V145" s="220">
        <v>4.1920874371239467</v>
      </c>
      <c r="W145" s="209">
        <v>55738</v>
      </c>
      <c r="X145" s="209">
        <v>290921.68095957139</v>
      </c>
      <c r="Y145" s="210">
        <v>2.8445232841615375E-2</v>
      </c>
    </row>
    <row r="146" spans="1:25" ht="15" customHeight="1" x14ac:dyDescent="0.25">
      <c r="A146" s="198" t="s">
        <v>499</v>
      </c>
      <c r="B146" s="207">
        <v>108</v>
      </c>
      <c r="C146" s="207">
        <v>52</v>
      </c>
      <c r="D146" s="217">
        <v>0.48148148148148145</v>
      </c>
      <c r="E146" s="218">
        <v>1.8743492063492064</v>
      </c>
      <c r="F146" s="218">
        <v>4.3012815000000009</v>
      </c>
      <c r="G146" s="207">
        <v>2684</v>
      </c>
      <c r="H146" s="207">
        <v>15092.25980952381</v>
      </c>
      <c r="I146" s="208">
        <v>1.5781637165736191E-3</v>
      </c>
      <c r="J146" s="223"/>
      <c r="K146" s="223"/>
      <c r="L146" s="223"/>
      <c r="M146" s="223"/>
      <c r="N146" s="223"/>
      <c r="O146" s="223"/>
      <c r="P146" s="223"/>
      <c r="Q146" s="223"/>
      <c r="R146" s="207">
        <v>108</v>
      </c>
      <c r="S146" s="207">
        <v>52</v>
      </c>
      <c r="T146" s="217">
        <v>0.48148148148148145</v>
      </c>
      <c r="U146" s="218">
        <v>1.8743492063492064</v>
      </c>
      <c r="V146" s="218">
        <v>4.3012815000000009</v>
      </c>
      <c r="W146" s="207">
        <v>2684</v>
      </c>
      <c r="X146" s="207">
        <v>15092.25980952381</v>
      </c>
      <c r="Y146" s="208">
        <v>1.4756646633281262E-3</v>
      </c>
    </row>
    <row r="147" spans="1:25" ht="15" customHeight="1" x14ac:dyDescent="0.25">
      <c r="A147" s="201" t="s">
        <v>250</v>
      </c>
      <c r="B147" s="209">
        <v>108</v>
      </c>
      <c r="C147" s="209">
        <v>52</v>
      </c>
      <c r="D147" s="219">
        <v>0.48148148148148145</v>
      </c>
      <c r="E147" s="220">
        <v>1.8743492063492064</v>
      </c>
      <c r="F147" s="220">
        <v>4.3012815000000009</v>
      </c>
      <c r="G147" s="209">
        <v>2684</v>
      </c>
      <c r="H147" s="209">
        <v>15092.25980952381</v>
      </c>
      <c r="I147" s="210">
        <v>1.5781637165736191E-3</v>
      </c>
      <c r="J147" s="224"/>
      <c r="K147" s="224"/>
      <c r="L147" s="224"/>
      <c r="M147" s="224"/>
      <c r="N147" s="224"/>
      <c r="O147" s="224"/>
      <c r="P147" s="224"/>
      <c r="Q147" s="224"/>
      <c r="R147" s="209">
        <v>108</v>
      </c>
      <c r="S147" s="209">
        <v>52</v>
      </c>
      <c r="T147" s="219">
        <v>0.48148148148148145</v>
      </c>
      <c r="U147" s="220">
        <v>1.8743492063492064</v>
      </c>
      <c r="V147" s="220">
        <v>4.3012815000000009</v>
      </c>
      <c r="W147" s="209">
        <v>2684</v>
      </c>
      <c r="X147" s="209">
        <v>15092.25980952381</v>
      </c>
      <c r="Y147" s="210">
        <v>1.4756646633281262E-3</v>
      </c>
    </row>
    <row r="148" spans="1:25" ht="15" customHeight="1" x14ac:dyDescent="0.25">
      <c r="A148" s="198" t="s">
        <v>73</v>
      </c>
      <c r="B148" s="207">
        <v>93</v>
      </c>
      <c r="C148" s="207">
        <v>54</v>
      </c>
      <c r="D148" s="217">
        <v>0.58064516129032262</v>
      </c>
      <c r="E148" s="218">
        <v>1.6720552995391706</v>
      </c>
      <c r="F148" s="218">
        <v>4.4398144166666667</v>
      </c>
      <c r="G148" s="207">
        <v>2877</v>
      </c>
      <c r="H148" s="207">
        <v>14431.509290322581</v>
      </c>
      <c r="I148" s="208">
        <v>1.5090705185853012E-3</v>
      </c>
      <c r="J148" s="223"/>
      <c r="K148" s="223"/>
      <c r="L148" s="223"/>
      <c r="M148" s="223"/>
      <c r="N148" s="223"/>
      <c r="O148" s="223"/>
      <c r="P148" s="223"/>
      <c r="Q148" s="223"/>
      <c r="R148" s="207">
        <v>93</v>
      </c>
      <c r="S148" s="207">
        <v>54</v>
      </c>
      <c r="T148" s="217">
        <v>0.58064516129032262</v>
      </c>
      <c r="U148" s="218">
        <v>1.6720552995391706</v>
      </c>
      <c r="V148" s="218">
        <v>4.4398144166666667</v>
      </c>
      <c r="W148" s="207">
        <v>2877</v>
      </c>
      <c r="X148" s="207">
        <v>14431.509290322581</v>
      </c>
      <c r="Y148" s="208">
        <v>1.4110589512103377E-3</v>
      </c>
    </row>
    <row r="149" spans="1:25" ht="15" customHeight="1" x14ac:dyDescent="0.25">
      <c r="A149" s="201" t="s">
        <v>246</v>
      </c>
      <c r="B149" s="209">
        <v>93</v>
      </c>
      <c r="C149" s="209">
        <v>54</v>
      </c>
      <c r="D149" s="219">
        <v>0.58064516129032262</v>
      </c>
      <c r="E149" s="220">
        <v>1.6720552995391706</v>
      </c>
      <c r="F149" s="220">
        <v>4.4398144166666667</v>
      </c>
      <c r="G149" s="209">
        <v>2877</v>
      </c>
      <c r="H149" s="209">
        <v>14431.509290322581</v>
      </c>
      <c r="I149" s="210">
        <v>1.5090705185853012E-3</v>
      </c>
      <c r="J149" s="224"/>
      <c r="K149" s="224"/>
      <c r="L149" s="224"/>
      <c r="M149" s="224"/>
      <c r="N149" s="224"/>
      <c r="O149" s="224"/>
      <c r="P149" s="224"/>
      <c r="Q149" s="224"/>
      <c r="R149" s="209">
        <v>93</v>
      </c>
      <c r="S149" s="209">
        <v>54</v>
      </c>
      <c r="T149" s="219">
        <v>0.58064516129032262</v>
      </c>
      <c r="U149" s="220">
        <v>1.6720552995391706</v>
      </c>
      <c r="V149" s="220">
        <v>4.4398144166666667</v>
      </c>
      <c r="W149" s="209">
        <v>2877</v>
      </c>
      <c r="X149" s="209">
        <v>14431.509290322581</v>
      </c>
      <c r="Y149" s="210">
        <v>1.4110589512103377E-3</v>
      </c>
    </row>
    <row r="150" spans="1:25" ht="15" customHeight="1" x14ac:dyDescent="0.25">
      <c r="A150" s="198" t="s">
        <v>74</v>
      </c>
      <c r="B150" s="207">
        <v>67</v>
      </c>
      <c r="C150" s="207">
        <v>33</v>
      </c>
      <c r="D150" s="217">
        <v>0.4925373134328358</v>
      </c>
      <c r="E150" s="218">
        <v>1.8517953091684434</v>
      </c>
      <c r="F150" s="218">
        <v>4.434342916666667</v>
      </c>
      <c r="G150" s="207">
        <v>1756</v>
      </c>
      <c r="H150" s="207">
        <v>9755.2576886993593</v>
      </c>
      <c r="I150" s="208">
        <v>1.0200853897582688E-3</v>
      </c>
      <c r="J150" s="207">
        <v>32</v>
      </c>
      <c r="K150" s="207">
        <v>13</v>
      </c>
      <c r="L150" s="217">
        <v>0.40625</v>
      </c>
      <c r="M150" s="218">
        <v>2.0278214285714284</v>
      </c>
      <c r="N150" s="218">
        <v>4.2628200833333336</v>
      </c>
      <c r="O150" s="207">
        <v>665</v>
      </c>
      <c r="P150" s="207">
        <v>1348.5012499999998</v>
      </c>
      <c r="Q150" s="208">
        <v>2.0300977905528608E-3</v>
      </c>
      <c r="R150" s="207">
        <v>99</v>
      </c>
      <c r="S150" s="207">
        <v>46</v>
      </c>
      <c r="T150" s="217">
        <v>0.46464646464646464</v>
      </c>
      <c r="U150" s="218">
        <v>1.9398083688699359</v>
      </c>
      <c r="V150" s="218">
        <v>4.3858690724637679</v>
      </c>
      <c r="W150" s="207">
        <v>2421</v>
      </c>
      <c r="X150" s="207">
        <v>11103.758938699359</v>
      </c>
      <c r="Y150" s="208">
        <v>1.0856839799174816E-3</v>
      </c>
    </row>
    <row r="151" spans="1:25" ht="15" customHeight="1" x14ac:dyDescent="0.25">
      <c r="A151" s="201" t="s">
        <v>248</v>
      </c>
      <c r="B151" s="209">
        <v>67</v>
      </c>
      <c r="C151" s="209">
        <v>33</v>
      </c>
      <c r="D151" s="219">
        <v>0.4925373134328358</v>
      </c>
      <c r="E151" s="220">
        <v>1.8517953091684434</v>
      </c>
      <c r="F151" s="220">
        <v>4.434342916666667</v>
      </c>
      <c r="G151" s="209">
        <v>1756</v>
      </c>
      <c r="H151" s="209">
        <v>9755.2576886993593</v>
      </c>
      <c r="I151" s="210">
        <v>1.0200853897582688E-3</v>
      </c>
      <c r="J151" s="209">
        <v>32</v>
      </c>
      <c r="K151" s="209">
        <v>13</v>
      </c>
      <c r="L151" s="219">
        <v>0.40625</v>
      </c>
      <c r="M151" s="220">
        <v>2.0278214285714284</v>
      </c>
      <c r="N151" s="220">
        <v>4.2628200833333336</v>
      </c>
      <c r="O151" s="209">
        <v>665</v>
      </c>
      <c r="P151" s="209">
        <v>1348.5012499999998</v>
      </c>
      <c r="Q151" s="210">
        <v>2.0300977905528608E-3</v>
      </c>
      <c r="R151" s="209">
        <v>99</v>
      </c>
      <c r="S151" s="209">
        <v>46</v>
      </c>
      <c r="T151" s="219">
        <v>0.46464646464646464</v>
      </c>
      <c r="U151" s="220">
        <v>1.9398083688699359</v>
      </c>
      <c r="V151" s="220">
        <v>4.3858690724637679</v>
      </c>
      <c r="W151" s="209">
        <v>2421</v>
      </c>
      <c r="X151" s="209">
        <v>11103.758938699359</v>
      </c>
      <c r="Y151" s="210">
        <v>1.0856839799174816E-3</v>
      </c>
    </row>
    <row r="152" spans="1:25" ht="15" customHeight="1" x14ac:dyDescent="0.25">
      <c r="A152" s="198" t="s">
        <v>442</v>
      </c>
      <c r="B152" s="207">
        <v>382</v>
      </c>
      <c r="C152" s="207">
        <v>188</v>
      </c>
      <c r="D152" s="217">
        <v>0.49214659685863876</v>
      </c>
      <c r="E152" s="218">
        <v>1.8525923709798056</v>
      </c>
      <c r="F152" s="218">
        <v>4.4773929166666662</v>
      </c>
      <c r="G152" s="207">
        <v>10101</v>
      </c>
      <c r="H152" s="207">
        <v>56139.106617801051</v>
      </c>
      <c r="I152" s="208">
        <v>5.8703403110754527E-3</v>
      </c>
      <c r="J152" s="207">
        <v>5</v>
      </c>
      <c r="K152" s="207">
        <v>3</v>
      </c>
      <c r="L152" s="217">
        <v>0.6</v>
      </c>
      <c r="M152" s="218">
        <v>1.6325714285714286</v>
      </c>
      <c r="N152" s="218">
        <v>4.5555552500000012</v>
      </c>
      <c r="O152" s="207">
        <v>164</v>
      </c>
      <c r="P152" s="207">
        <v>267.74171428571429</v>
      </c>
      <c r="Q152" s="208">
        <v>4.0307108548120666E-4</v>
      </c>
      <c r="R152" s="207">
        <v>387</v>
      </c>
      <c r="S152" s="207">
        <v>191</v>
      </c>
      <c r="T152" s="217">
        <v>0.49354005167958659</v>
      </c>
      <c r="U152" s="218">
        <v>1.7425818997756171</v>
      </c>
      <c r="V152" s="218">
        <v>4.4786205972949382</v>
      </c>
      <c r="W152" s="207">
        <v>10265</v>
      </c>
      <c r="X152" s="207">
        <v>56406.848332086767</v>
      </c>
      <c r="Y152" s="208">
        <v>5.5152504597650318E-3</v>
      </c>
    </row>
    <row r="153" spans="1:25" ht="15" customHeight="1" x14ac:dyDescent="0.25">
      <c r="A153" s="201" t="s">
        <v>279</v>
      </c>
      <c r="B153" s="209">
        <v>382</v>
      </c>
      <c r="C153" s="209">
        <v>188</v>
      </c>
      <c r="D153" s="219">
        <v>0.49214659685863876</v>
      </c>
      <c r="E153" s="220">
        <v>1.8525923709798056</v>
      </c>
      <c r="F153" s="220">
        <v>4.4773929166666662</v>
      </c>
      <c r="G153" s="209">
        <v>10101</v>
      </c>
      <c r="H153" s="209">
        <v>56139.106617801051</v>
      </c>
      <c r="I153" s="210">
        <v>5.8703403110754527E-3</v>
      </c>
      <c r="J153" s="209">
        <v>5</v>
      </c>
      <c r="K153" s="209">
        <v>3</v>
      </c>
      <c r="L153" s="219">
        <v>0.6</v>
      </c>
      <c r="M153" s="220">
        <v>1.6325714285714286</v>
      </c>
      <c r="N153" s="220">
        <v>4.5555552500000012</v>
      </c>
      <c r="O153" s="209">
        <v>164</v>
      </c>
      <c r="P153" s="209">
        <v>267.74171428571429</v>
      </c>
      <c r="Q153" s="210">
        <v>4.0307108548120666E-4</v>
      </c>
      <c r="R153" s="209">
        <v>387</v>
      </c>
      <c r="S153" s="209">
        <v>191</v>
      </c>
      <c r="T153" s="219">
        <v>0.49354005167958659</v>
      </c>
      <c r="U153" s="220">
        <v>1.7425818997756171</v>
      </c>
      <c r="V153" s="220">
        <v>4.4786205972949382</v>
      </c>
      <c r="W153" s="209">
        <v>10265</v>
      </c>
      <c r="X153" s="209">
        <v>56406.848332086767</v>
      </c>
      <c r="Y153" s="210">
        <v>5.5152504597650318E-3</v>
      </c>
    </row>
    <row r="154" spans="1:25" ht="15" customHeight="1" x14ac:dyDescent="0.25">
      <c r="A154" s="198" t="s">
        <v>75</v>
      </c>
      <c r="B154" s="207">
        <v>480</v>
      </c>
      <c r="C154" s="207">
        <v>252</v>
      </c>
      <c r="D154" s="217">
        <v>0.52500000000000002</v>
      </c>
      <c r="E154" s="218">
        <v>1.7855714285714286</v>
      </c>
      <c r="F154" s="218">
        <v>4.0671291666666667</v>
      </c>
      <c r="G154" s="207">
        <v>12299</v>
      </c>
      <c r="H154" s="207">
        <v>65882.229000000007</v>
      </c>
      <c r="I154" s="208">
        <v>6.8891567390844443E-3</v>
      </c>
      <c r="J154" s="207">
        <v>111</v>
      </c>
      <c r="K154" s="207">
        <v>37</v>
      </c>
      <c r="L154" s="217">
        <v>0.33333333333333331</v>
      </c>
      <c r="M154" s="218">
        <v>2.1765714285714286</v>
      </c>
      <c r="N154" s="218">
        <v>4.2364861666666673</v>
      </c>
      <c r="O154" s="207">
        <v>1881</v>
      </c>
      <c r="P154" s="207">
        <v>4094.1308571428572</v>
      </c>
      <c r="Q154" s="208">
        <v>6.1634989269160907E-3</v>
      </c>
      <c r="R154" s="207">
        <v>591</v>
      </c>
      <c r="S154" s="207">
        <v>289</v>
      </c>
      <c r="T154" s="217">
        <v>0.48900169204737731</v>
      </c>
      <c r="U154" s="218">
        <v>1.9810714285714286</v>
      </c>
      <c r="V154" s="218">
        <v>4.0888115507497114</v>
      </c>
      <c r="W154" s="207">
        <v>14180</v>
      </c>
      <c r="X154" s="207">
        <v>69976.359857142859</v>
      </c>
      <c r="Y154" s="208">
        <v>6.8420264965460224E-3</v>
      </c>
    </row>
    <row r="155" spans="1:25" ht="15" customHeight="1" x14ac:dyDescent="0.25">
      <c r="A155" s="201" t="s">
        <v>245</v>
      </c>
      <c r="B155" s="209">
        <v>480</v>
      </c>
      <c r="C155" s="209">
        <v>252</v>
      </c>
      <c r="D155" s="219">
        <v>0.52500000000000002</v>
      </c>
      <c r="E155" s="220">
        <v>1.7855714285714286</v>
      </c>
      <c r="F155" s="220">
        <v>4.0671291666666667</v>
      </c>
      <c r="G155" s="209">
        <v>12299</v>
      </c>
      <c r="H155" s="209">
        <v>65882.229000000007</v>
      </c>
      <c r="I155" s="210">
        <v>6.8891567390844443E-3</v>
      </c>
      <c r="J155" s="209">
        <v>111</v>
      </c>
      <c r="K155" s="209">
        <v>37</v>
      </c>
      <c r="L155" s="219">
        <v>0.33333333333333331</v>
      </c>
      <c r="M155" s="220">
        <v>2.1765714285714286</v>
      </c>
      <c r="N155" s="220">
        <v>4.2364861666666673</v>
      </c>
      <c r="O155" s="209">
        <v>1881</v>
      </c>
      <c r="P155" s="209">
        <v>4094.1308571428572</v>
      </c>
      <c r="Q155" s="210">
        <v>6.1634989269160907E-3</v>
      </c>
      <c r="R155" s="209">
        <v>591</v>
      </c>
      <c r="S155" s="209">
        <v>289</v>
      </c>
      <c r="T155" s="219">
        <v>0.48900169204737731</v>
      </c>
      <c r="U155" s="220">
        <v>1.9810714285714286</v>
      </c>
      <c r="V155" s="220">
        <v>4.0888115507497114</v>
      </c>
      <c r="W155" s="209">
        <v>14180</v>
      </c>
      <c r="X155" s="209">
        <v>69976.359857142859</v>
      </c>
      <c r="Y155" s="210">
        <v>6.8420264965460224E-3</v>
      </c>
    </row>
    <row r="156" spans="1:25" ht="15" customHeight="1" x14ac:dyDescent="0.25">
      <c r="A156" s="198" t="s">
        <v>76</v>
      </c>
      <c r="B156" s="207">
        <v>14</v>
      </c>
      <c r="C156" s="207">
        <v>12</v>
      </c>
      <c r="D156" s="217">
        <v>0.8571428571428571</v>
      </c>
      <c r="E156" s="218">
        <v>1.1666666666666667</v>
      </c>
      <c r="F156" s="218">
        <v>4.2013885000000002</v>
      </c>
      <c r="G156" s="207">
        <v>605</v>
      </c>
      <c r="H156" s="207">
        <v>2117.5</v>
      </c>
      <c r="I156" s="208">
        <v>2.2142221986768708E-4</v>
      </c>
      <c r="J156" s="223"/>
      <c r="K156" s="223"/>
      <c r="L156" s="223"/>
      <c r="M156" s="223"/>
      <c r="N156" s="223"/>
      <c r="O156" s="223"/>
      <c r="P156" s="223"/>
      <c r="Q156" s="223"/>
      <c r="R156" s="207">
        <v>14</v>
      </c>
      <c r="S156" s="207">
        <v>12</v>
      </c>
      <c r="T156" s="217">
        <v>0.8571428571428571</v>
      </c>
      <c r="U156" s="218">
        <v>1.1666666666666667</v>
      </c>
      <c r="V156" s="218">
        <v>4.2013885000000002</v>
      </c>
      <c r="W156" s="207">
        <v>605</v>
      </c>
      <c r="X156" s="207">
        <v>2117.5</v>
      </c>
      <c r="Y156" s="208">
        <v>2.0704122272169513E-4</v>
      </c>
    </row>
    <row r="157" spans="1:25" ht="15" customHeight="1" x14ac:dyDescent="0.25">
      <c r="A157" s="201" t="s">
        <v>244</v>
      </c>
      <c r="B157" s="209">
        <v>14</v>
      </c>
      <c r="C157" s="209">
        <v>12</v>
      </c>
      <c r="D157" s="219">
        <v>0.8571428571428571</v>
      </c>
      <c r="E157" s="220">
        <v>1.1666666666666667</v>
      </c>
      <c r="F157" s="220">
        <v>4.2013885000000002</v>
      </c>
      <c r="G157" s="209">
        <v>605</v>
      </c>
      <c r="H157" s="209">
        <v>2117.5</v>
      </c>
      <c r="I157" s="210">
        <v>2.2142221986768708E-4</v>
      </c>
      <c r="J157" s="224"/>
      <c r="K157" s="224"/>
      <c r="L157" s="224"/>
      <c r="M157" s="224"/>
      <c r="N157" s="224"/>
      <c r="O157" s="224"/>
      <c r="P157" s="224"/>
      <c r="Q157" s="224"/>
      <c r="R157" s="209">
        <v>14</v>
      </c>
      <c r="S157" s="209">
        <v>12</v>
      </c>
      <c r="T157" s="219">
        <v>0.8571428571428571</v>
      </c>
      <c r="U157" s="220">
        <v>1.1666666666666667</v>
      </c>
      <c r="V157" s="220">
        <v>4.2013885000000002</v>
      </c>
      <c r="W157" s="209">
        <v>605</v>
      </c>
      <c r="X157" s="209">
        <v>2117.5</v>
      </c>
      <c r="Y157" s="210">
        <v>2.0704122272169513E-4</v>
      </c>
    </row>
    <row r="158" spans="1:25" ht="15" customHeight="1" x14ac:dyDescent="0.25">
      <c r="A158" s="198" t="s">
        <v>77</v>
      </c>
      <c r="B158" s="207">
        <v>11</v>
      </c>
      <c r="C158" s="207">
        <v>10</v>
      </c>
      <c r="D158" s="217">
        <v>0.90909090909090906</v>
      </c>
      <c r="E158" s="218">
        <v>1.1000000000000001</v>
      </c>
      <c r="F158" s="218">
        <v>4.7333333333333334</v>
      </c>
      <c r="G158" s="207">
        <v>568</v>
      </c>
      <c r="H158" s="207">
        <v>1874.4</v>
      </c>
      <c r="I158" s="208">
        <v>1.960017987815786E-4</v>
      </c>
      <c r="J158" s="223"/>
      <c r="K158" s="223"/>
      <c r="L158" s="223"/>
      <c r="M158" s="223"/>
      <c r="N158" s="223"/>
      <c r="O158" s="223"/>
      <c r="P158" s="223"/>
      <c r="Q158" s="223"/>
      <c r="R158" s="207">
        <v>11</v>
      </c>
      <c r="S158" s="207">
        <v>10</v>
      </c>
      <c r="T158" s="217">
        <v>0.90909090909090906</v>
      </c>
      <c r="U158" s="218">
        <v>1.1000000000000001</v>
      </c>
      <c r="V158" s="218">
        <v>4.7333333333333334</v>
      </c>
      <c r="W158" s="207">
        <v>568</v>
      </c>
      <c r="X158" s="207">
        <v>1874.4</v>
      </c>
      <c r="Y158" s="208">
        <v>1.832718148144252E-4</v>
      </c>
    </row>
    <row r="159" spans="1:25" ht="15" customHeight="1" x14ac:dyDescent="0.25">
      <c r="A159" s="201" t="s">
        <v>240</v>
      </c>
      <c r="B159" s="209">
        <v>11</v>
      </c>
      <c r="C159" s="209">
        <v>10</v>
      </c>
      <c r="D159" s="219">
        <v>0.90909090909090906</v>
      </c>
      <c r="E159" s="220">
        <v>1.1000000000000001</v>
      </c>
      <c r="F159" s="220">
        <v>4.7333333333333334</v>
      </c>
      <c r="G159" s="209">
        <v>568</v>
      </c>
      <c r="H159" s="209">
        <v>1874.4</v>
      </c>
      <c r="I159" s="210">
        <v>1.960017987815786E-4</v>
      </c>
      <c r="J159" s="224"/>
      <c r="K159" s="224"/>
      <c r="L159" s="224"/>
      <c r="M159" s="224"/>
      <c r="N159" s="224"/>
      <c r="O159" s="224"/>
      <c r="P159" s="224"/>
      <c r="Q159" s="224"/>
      <c r="R159" s="209">
        <v>11</v>
      </c>
      <c r="S159" s="209">
        <v>10</v>
      </c>
      <c r="T159" s="219">
        <v>0.90909090909090906</v>
      </c>
      <c r="U159" s="220">
        <v>1.1000000000000001</v>
      </c>
      <c r="V159" s="220">
        <v>4.7333333333333334</v>
      </c>
      <c r="W159" s="209">
        <v>568</v>
      </c>
      <c r="X159" s="209">
        <v>1874.4</v>
      </c>
      <c r="Y159" s="210">
        <v>1.832718148144252E-4</v>
      </c>
    </row>
    <row r="160" spans="1:25" ht="15" customHeight="1" x14ac:dyDescent="0.25">
      <c r="A160" s="198" t="s">
        <v>78</v>
      </c>
      <c r="B160" s="207">
        <v>54</v>
      </c>
      <c r="C160" s="207">
        <v>30</v>
      </c>
      <c r="D160" s="217">
        <v>0.55555555555555558</v>
      </c>
      <c r="E160" s="218">
        <v>1.7232380952380952</v>
      </c>
      <c r="F160" s="218">
        <v>4.3416662500000003</v>
      </c>
      <c r="G160" s="207">
        <v>1563</v>
      </c>
      <c r="H160" s="207">
        <v>8080.2634285714284</v>
      </c>
      <c r="I160" s="208">
        <v>8.4493500140258508E-4</v>
      </c>
      <c r="J160" s="207">
        <v>12</v>
      </c>
      <c r="K160" s="207">
        <v>6</v>
      </c>
      <c r="L160" s="217">
        <v>0.5</v>
      </c>
      <c r="M160" s="218">
        <v>1.8365714285714285</v>
      </c>
      <c r="N160" s="218">
        <v>4.2916662500000013</v>
      </c>
      <c r="O160" s="207">
        <v>309</v>
      </c>
      <c r="P160" s="207">
        <v>567.50057142857145</v>
      </c>
      <c r="Q160" s="208">
        <v>8.5434229756526303E-4</v>
      </c>
      <c r="R160" s="207">
        <v>66</v>
      </c>
      <c r="S160" s="207">
        <v>36</v>
      </c>
      <c r="T160" s="217">
        <v>0.54545454545454541</v>
      </c>
      <c r="U160" s="218">
        <v>1.7799047619047619</v>
      </c>
      <c r="V160" s="218">
        <v>4.3333329166666674</v>
      </c>
      <c r="W160" s="207">
        <v>1872</v>
      </c>
      <c r="X160" s="207">
        <v>8647.7639999999992</v>
      </c>
      <c r="Y160" s="208">
        <v>8.4554598931223474E-4</v>
      </c>
    </row>
    <row r="161" spans="1:25" ht="15" customHeight="1" x14ac:dyDescent="0.25">
      <c r="A161" s="201" t="s">
        <v>239</v>
      </c>
      <c r="B161" s="209">
        <v>54</v>
      </c>
      <c r="C161" s="209">
        <v>30</v>
      </c>
      <c r="D161" s="219">
        <v>0.55555555555555558</v>
      </c>
      <c r="E161" s="220">
        <v>1.7232380952380952</v>
      </c>
      <c r="F161" s="220">
        <v>4.3416662500000003</v>
      </c>
      <c r="G161" s="209">
        <v>1563</v>
      </c>
      <c r="H161" s="209">
        <v>8080.2634285714284</v>
      </c>
      <c r="I161" s="210">
        <v>8.4493500140258508E-4</v>
      </c>
      <c r="J161" s="209">
        <v>12</v>
      </c>
      <c r="K161" s="209">
        <v>6</v>
      </c>
      <c r="L161" s="219">
        <v>0.5</v>
      </c>
      <c r="M161" s="220">
        <v>1.8365714285714285</v>
      </c>
      <c r="N161" s="220">
        <v>4.2916662500000013</v>
      </c>
      <c r="O161" s="209">
        <v>309</v>
      </c>
      <c r="P161" s="209">
        <v>567.50057142857145</v>
      </c>
      <c r="Q161" s="210">
        <v>8.5434229756526303E-4</v>
      </c>
      <c r="R161" s="209">
        <v>66</v>
      </c>
      <c r="S161" s="209">
        <v>36</v>
      </c>
      <c r="T161" s="219">
        <v>0.54545454545454541</v>
      </c>
      <c r="U161" s="220">
        <v>1.7799047619047619</v>
      </c>
      <c r="V161" s="220">
        <v>4.3333329166666674</v>
      </c>
      <c r="W161" s="209">
        <v>1872</v>
      </c>
      <c r="X161" s="209">
        <v>8647.7639999999992</v>
      </c>
      <c r="Y161" s="210">
        <v>8.4554598931223474E-4</v>
      </c>
    </row>
    <row r="162" spans="1:25" ht="15" customHeight="1" x14ac:dyDescent="0.25">
      <c r="A162" s="198" t="s">
        <v>79</v>
      </c>
      <c r="B162" s="207">
        <v>68</v>
      </c>
      <c r="C162" s="207">
        <v>35</v>
      </c>
      <c r="D162" s="217">
        <v>0.51470588235294112</v>
      </c>
      <c r="E162" s="218">
        <v>1.8065714285714287</v>
      </c>
      <c r="F162" s="218">
        <v>4.3499993333333338</v>
      </c>
      <c r="G162" s="207">
        <v>1827</v>
      </c>
      <c r="H162" s="207">
        <v>9901.8180000000011</v>
      </c>
      <c r="I162" s="208">
        <v>1.0354108723899984E-3</v>
      </c>
      <c r="J162" s="207">
        <v>12</v>
      </c>
      <c r="K162" s="207">
        <v>10</v>
      </c>
      <c r="L162" s="217">
        <v>0.83333333333333337</v>
      </c>
      <c r="M162" s="218">
        <v>1.2</v>
      </c>
      <c r="N162" s="218">
        <v>4.5083333333333337</v>
      </c>
      <c r="O162" s="207">
        <v>541</v>
      </c>
      <c r="P162" s="207">
        <v>649.19999999999993</v>
      </c>
      <c r="Q162" s="208">
        <v>9.7733649533281283E-4</v>
      </c>
      <c r="R162" s="207">
        <v>80</v>
      </c>
      <c r="S162" s="207">
        <v>45</v>
      </c>
      <c r="T162" s="217">
        <v>0.5625</v>
      </c>
      <c r="U162" s="218">
        <v>1.5032857142857143</v>
      </c>
      <c r="V162" s="218">
        <v>4.3851846666666674</v>
      </c>
      <c r="W162" s="207">
        <v>2368</v>
      </c>
      <c r="X162" s="207">
        <v>10551.018000000002</v>
      </c>
      <c r="Y162" s="208">
        <v>1.0316390402260282E-3</v>
      </c>
    </row>
    <row r="163" spans="1:25" ht="15" customHeight="1" x14ac:dyDescent="0.25">
      <c r="A163" s="201" t="s">
        <v>238</v>
      </c>
      <c r="B163" s="209">
        <v>68</v>
      </c>
      <c r="C163" s="209">
        <v>35</v>
      </c>
      <c r="D163" s="219">
        <v>0.51470588235294112</v>
      </c>
      <c r="E163" s="220">
        <v>1.8065714285714287</v>
      </c>
      <c r="F163" s="220">
        <v>4.3499993333333338</v>
      </c>
      <c r="G163" s="209">
        <v>1827</v>
      </c>
      <c r="H163" s="209">
        <v>9901.8180000000011</v>
      </c>
      <c r="I163" s="210">
        <v>1.0354108723899984E-3</v>
      </c>
      <c r="J163" s="209">
        <v>12</v>
      </c>
      <c r="K163" s="209">
        <v>10</v>
      </c>
      <c r="L163" s="219">
        <v>0.83333333333333337</v>
      </c>
      <c r="M163" s="220">
        <v>1.2</v>
      </c>
      <c r="N163" s="220">
        <v>4.5083333333333337</v>
      </c>
      <c r="O163" s="209">
        <v>541</v>
      </c>
      <c r="P163" s="209">
        <v>649.19999999999993</v>
      </c>
      <c r="Q163" s="210">
        <v>9.7733649533281283E-4</v>
      </c>
      <c r="R163" s="209">
        <v>80</v>
      </c>
      <c r="S163" s="209">
        <v>45</v>
      </c>
      <c r="T163" s="219">
        <v>0.5625</v>
      </c>
      <c r="U163" s="220">
        <v>1.5032857142857143</v>
      </c>
      <c r="V163" s="220">
        <v>4.3851846666666674</v>
      </c>
      <c r="W163" s="209">
        <v>2368</v>
      </c>
      <c r="X163" s="209">
        <v>10551.018000000002</v>
      </c>
      <c r="Y163" s="210">
        <v>1.0316390402260282E-3</v>
      </c>
    </row>
    <row r="164" spans="1:25" ht="15" customHeight="1" x14ac:dyDescent="0.25">
      <c r="A164" s="198" t="s">
        <v>80</v>
      </c>
      <c r="B164" s="207">
        <v>281</v>
      </c>
      <c r="C164" s="207">
        <v>120</v>
      </c>
      <c r="D164" s="217">
        <v>0.42704626334519574</v>
      </c>
      <c r="E164" s="218">
        <v>1.9853970513472292</v>
      </c>
      <c r="F164" s="218">
        <v>4.1208330000000011</v>
      </c>
      <c r="G164" s="207">
        <v>5934</v>
      </c>
      <c r="H164" s="207">
        <v>35344.038308083378</v>
      </c>
      <c r="I164" s="208">
        <v>3.6958467160634677E-3</v>
      </c>
      <c r="J164" s="207">
        <v>189</v>
      </c>
      <c r="K164" s="207">
        <v>41</v>
      </c>
      <c r="L164" s="217">
        <v>0.21693121693121692</v>
      </c>
      <c r="M164" s="218">
        <v>2.4140317460317462</v>
      </c>
      <c r="N164" s="218">
        <v>4.4430889166666674</v>
      </c>
      <c r="O164" s="207">
        <v>2186</v>
      </c>
      <c r="P164" s="207">
        <v>5277.0733968253971</v>
      </c>
      <c r="Q164" s="208">
        <v>7.9443567764438637E-3</v>
      </c>
      <c r="R164" s="207">
        <v>470</v>
      </c>
      <c r="S164" s="207">
        <v>161</v>
      </c>
      <c r="T164" s="217">
        <v>0.3425531914893617</v>
      </c>
      <c r="U164" s="218">
        <v>2.1997143986894878</v>
      </c>
      <c r="V164" s="218">
        <v>4.2028981713250522</v>
      </c>
      <c r="W164" s="207">
        <v>8120</v>
      </c>
      <c r="X164" s="207">
        <v>40621.111704908777</v>
      </c>
      <c r="Y164" s="208">
        <v>3.9717802293737312E-3</v>
      </c>
    </row>
    <row r="165" spans="1:25" ht="15" customHeight="1" x14ac:dyDescent="0.25">
      <c r="A165" s="201" t="s">
        <v>237</v>
      </c>
      <c r="B165" s="209">
        <v>281</v>
      </c>
      <c r="C165" s="209">
        <v>120</v>
      </c>
      <c r="D165" s="219">
        <v>0.42704626334519574</v>
      </c>
      <c r="E165" s="220">
        <v>1.9853970513472292</v>
      </c>
      <c r="F165" s="220">
        <v>4.1208330000000011</v>
      </c>
      <c r="G165" s="209">
        <v>5934</v>
      </c>
      <c r="H165" s="209">
        <v>35344.038308083378</v>
      </c>
      <c r="I165" s="210">
        <v>3.6958467160634677E-3</v>
      </c>
      <c r="J165" s="209">
        <v>189</v>
      </c>
      <c r="K165" s="209">
        <v>41</v>
      </c>
      <c r="L165" s="219">
        <v>0.21693121693121692</v>
      </c>
      <c r="M165" s="220">
        <v>2.4140317460317462</v>
      </c>
      <c r="N165" s="220">
        <v>4.4430889166666674</v>
      </c>
      <c r="O165" s="209">
        <v>2186</v>
      </c>
      <c r="P165" s="209">
        <v>5277.0733968253971</v>
      </c>
      <c r="Q165" s="210">
        <v>7.9443567764438637E-3</v>
      </c>
      <c r="R165" s="209">
        <v>470</v>
      </c>
      <c r="S165" s="209">
        <v>161</v>
      </c>
      <c r="T165" s="219">
        <v>0.3425531914893617</v>
      </c>
      <c r="U165" s="220">
        <v>2.1997143986894878</v>
      </c>
      <c r="V165" s="220">
        <v>4.2028981713250522</v>
      </c>
      <c r="W165" s="209">
        <v>8120</v>
      </c>
      <c r="X165" s="209">
        <v>40621.111704908777</v>
      </c>
      <c r="Y165" s="210">
        <v>3.9717802293737312E-3</v>
      </c>
    </row>
    <row r="166" spans="1:25" ht="15" customHeight="1" x14ac:dyDescent="0.25">
      <c r="A166" s="198" t="s">
        <v>81</v>
      </c>
      <c r="B166" s="207">
        <v>547</v>
      </c>
      <c r="C166" s="207">
        <v>366</v>
      </c>
      <c r="D166" s="217">
        <v>0.66910420475319932</v>
      </c>
      <c r="E166" s="218">
        <v>1.4915988508749021</v>
      </c>
      <c r="F166" s="218">
        <v>4.4055096666666671</v>
      </c>
      <c r="G166" s="207">
        <v>19349</v>
      </c>
      <c r="H166" s="207">
        <v>86582.838496735436</v>
      </c>
      <c r="I166" s="208">
        <v>9.0537729881429024E-3</v>
      </c>
      <c r="J166" s="207">
        <v>58</v>
      </c>
      <c r="K166" s="207">
        <v>28</v>
      </c>
      <c r="L166" s="217">
        <v>0.48275862068965519</v>
      </c>
      <c r="M166" s="218">
        <v>1.8717438423645321</v>
      </c>
      <c r="N166" s="218">
        <v>4.5922615000000002</v>
      </c>
      <c r="O166" s="207">
        <v>1543</v>
      </c>
      <c r="P166" s="207">
        <v>2888.1007487684728</v>
      </c>
      <c r="Q166" s="208">
        <v>4.3478839555906538E-3</v>
      </c>
      <c r="R166" s="207">
        <v>605</v>
      </c>
      <c r="S166" s="207">
        <v>394</v>
      </c>
      <c r="T166" s="217">
        <v>0.65123966942148759</v>
      </c>
      <c r="U166" s="218">
        <v>1.6816713466197171</v>
      </c>
      <c r="V166" s="218">
        <v>4.4187813705583752</v>
      </c>
      <c r="W166" s="207">
        <v>20892</v>
      </c>
      <c r="X166" s="207">
        <v>89470.939245503905</v>
      </c>
      <c r="Y166" s="208">
        <v>8.7481334873424459E-3</v>
      </c>
    </row>
    <row r="167" spans="1:25" ht="15" customHeight="1" x14ac:dyDescent="0.25">
      <c r="A167" s="201" t="s">
        <v>236</v>
      </c>
      <c r="B167" s="209">
        <v>547</v>
      </c>
      <c r="C167" s="209">
        <v>366</v>
      </c>
      <c r="D167" s="219">
        <v>0.66910420475319932</v>
      </c>
      <c r="E167" s="220">
        <v>1.4915988508749021</v>
      </c>
      <c r="F167" s="220">
        <v>4.4055096666666671</v>
      </c>
      <c r="G167" s="209">
        <v>19349</v>
      </c>
      <c r="H167" s="209">
        <v>86582.838496735436</v>
      </c>
      <c r="I167" s="210">
        <v>9.0537729881429024E-3</v>
      </c>
      <c r="J167" s="209">
        <v>58</v>
      </c>
      <c r="K167" s="209">
        <v>28</v>
      </c>
      <c r="L167" s="219">
        <v>0.48275862068965519</v>
      </c>
      <c r="M167" s="220">
        <v>1.8717438423645321</v>
      </c>
      <c r="N167" s="220">
        <v>4.5922615000000002</v>
      </c>
      <c r="O167" s="209">
        <v>1543</v>
      </c>
      <c r="P167" s="209">
        <v>2888.1007487684728</v>
      </c>
      <c r="Q167" s="210">
        <v>4.3478839555906538E-3</v>
      </c>
      <c r="R167" s="209">
        <v>605</v>
      </c>
      <c r="S167" s="209">
        <v>394</v>
      </c>
      <c r="T167" s="219">
        <v>0.65123966942148759</v>
      </c>
      <c r="U167" s="220">
        <v>1.6816713466197171</v>
      </c>
      <c r="V167" s="220">
        <v>4.4187813705583752</v>
      </c>
      <c r="W167" s="209">
        <v>20892</v>
      </c>
      <c r="X167" s="209">
        <v>89470.939245503905</v>
      </c>
      <c r="Y167" s="210">
        <v>8.7481334873424459E-3</v>
      </c>
    </row>
    <row r="168" spans="1:25" ht="15" customHeight="1" x14ac:dyDescent="0.25">
      <c r="A168" s="198" t="s">
        <v>500</v>
      </c>
      <c r="B168" s="207">
        <v>40</v>
      </c>
      <c r="C168" s="207">
        <v>21</v>
      </c>
      <c r="D168" s="217">
        <v>0.52500000000000002</v>
      </c>
      <c r="E168" s="218">
        <v>1.7855714285714286</v>
      </c>
      <c r="F168" s="218">
        <v>4.1984123333333345</v>
      </c>
      <c r="G168" s="207">
        <v>1058</v>
      </c>
      <c r="H168" s="207">
        <v>5667.4037142857142</v>
      </c>
      <c r="I168" s="208">
        <v>5.9262767948218078E-4</v>
      </c>
      <c r="J168" s="223"/>
      <c r="K168" s="223"/>
      <c r="L168" s="223"/>
      <c r="M168" s="223"/>
      <c r="N168" s="223"/>
      <c r="O168" s="223"/>
      <c r="P168" s="223"/>
      <c r="Q168" s="223"/>
      <c r="R168" s="207">
        <v>40</v>
      </c>
      <c r="S168" s="207">
        <v>21</v>
      </c>
      <c r="T168" s="217">
        <v>0.52500000000000002</v>
      </c>
      <c r="U168" s="218">
        <v>1.7855714285714286</v>
      </c>
      <c r="V168" s="218">
        <v>4.1984123333333345</v>
      </c>
      <c r="W168" s="207">
        <v>1058</v>
      </c>
      <c r="X168" s="207">
        <v>5667.4037142857142</v>
      </c>
      <c r="Y168" s="208">
        <v>5.5413751814082214E-4</v>
      </c>
    </row>
    <row r="169" spans="1:25" ht="15" customHeight="1" x14ac:dyDescent="0.25">
      <c r="A169" s="201" t="s">
        <v>235</v>
      </c>
      <c r="B169" s="209">
        <v>40</v>
      </c>
      <c r="C169" s="209">
        <v>21</v>
      </c>
      <c r="D169" s="219">
        <v>0.52500000000000002</v>
      </c>
      <c r="E169" s="220">
        <v>1.7855714285714286</v>
      </c>
      <c r="F169" s="220">
        <v>4.1984123333333345</v>
      </c>
      <c r="G169" s="209">
        <v>1058</v>
      </c>
      <c r="H169" s="209">
        <v>5667.4037142857142</v>
      </c>
      <c r="I169" s="210">
        <v>5.9262767948218078E-4</v>
      </c>
      <c r="J169" s="224"/>
      <c r="K169" s="224"/>
      <c r="L169" s="224"/>
      <c r="M169" s="224"/>
      <c r="N169" s="224"/>
      <c r="O169" s="224"/>
      <c r="P169" s="224"/>
      <c r="Q169" s="224"/>
      <c r="R169" s="209">
        <v>40</v>
      </c>
      <c r="S169" s="209">
        <v>21</v>
      </c>
      <c r="T169" s="219">
        <v>0.52500000000000002</v>
      </c>
      <c r="U169" s="220">
        <v>1.7855714285714286</v>
      </c>
      <c r="V169" s="220">
        <v>4.1984123333333345</v>
      </c>
      <c r="W169" s="209">
        <v>1058</v>
      </c>
      <c r="X169" s="209">
        <v>5667.4037142857142</v>
      </c>
      <c r="Y169" s="210">
        <v>5.5413751814082214E-4</v>
      </c>
    </row>
    <row r="170" spans="1:25" ht="15" customHeight="1" x14ac:dyDescent="0.25">
      <c r="A170" s="198" t="s">
        <v>83</v>
      </c>
      <c r="B170" s="207">
        <v>1851</v>
      </c>
      <c r="C170" s="207">
        <v>1660</v>
      </c>
      <c r="D170" s="217">
        <v>0.89681253376553216</v>
      </c>
      <c r="E170" s="218">
        <v>1.1150602409638555</v>
      </c>
      <c r="F170" s="218">
        <v>4.3219372500000004</v>
      </c>
      <c r="G170" s="207">
        <v>86093</v>
      </c>
      <c r="H170" s="207">
        <v>287996.64397590363</v>
      </c>
      <c r="I170" s="208">
        <v>3.011516232518939E-2</v>
      </c>
      <c r="J170" s="207">
        <v>590</v>
      </c>
      <c r="K170" s="207">
        <v>443</v>
      </c>
      <c r="L170" s="217">
        <v>0.75084745762711869</v>
      </c>
      <c r="M170" s="218">
        <v>1.3318284424379234</v>
      </c>
      <c r="N170" s="218">
        <v>4.2293072499999997</v>
      </c>
      <c r="O170" s="207">
        <v>22483</v>
      </c>
      <c r="P170" s="207">
        <v>29943.498871331831</v>
      </c>
      <c r="Q170" s="208">
        <v>4.5078364517728731E-2</v>
      </c>
      <c r="R170" s="207">
        <v>2441</v>
      </c>
      <c r="S170" s="207">
        <v>2103</v>
      </c>
      <c r="T170" s="217">
        <v>0.86153215895124946</v>
      </c>
      <c r="U170" s="218">
        <v>1.2234443417008896</v>
      </c>
      <c r="V170" s="218">
        <v>4.302424606157869</v>
      </c>
      <c r="W170" s="207">
        <v>108576</v>
      </c>
      <c r="X170" s="207">
        <v>317940.14284723543</v>
      </c>
      <c r="Y170" s="208">
        <v>3.1086996896057633E-2</v>
      </c>
    </row>
    <row r="171" spans="1:25" ht="15" customHeight="1" x14ac:dyDescent="0.25">
      <c r="A171" s="201" t="s">
        <v>242</v>
      </c>
      <c r="B171" s="209">
        <v>1851</v>
      </c>
      <c r="C171" s="209">
        <v>1660</v>
      </c>
      <c r="D171" s="219">
        <v>0.89681253376553216</v>
      </c>
      <c r="E171" s="220">
        <v>1.1150602409638555</v>
      </c>
      <c r="F171" s="220">
        <v>4.3219372500000004</v>
      </c>
      <c r="G171" s="209">
        <v>86093</v>
      </c>
      <c r="H171" s="209">
        <v>287996.64397590363</v>
      </c>
      <c r="I171" s="210">
        <v>3.011516232518939E-2</v>
      </c>
      <c r="J171" s="209">
        <v>590</v>
      </c>
      <c r="K171" s="209">
        <v>443</v>
      </c>
      <c r="L171" s="219">
        <v>0.75084745762711869</v>
      </c>
      <c r="M171" s="220">
        <v>1.3318284424379234</v>
      </c>
      <c r="N171" s="220">
        <v>4.2293072499999997</v>
      </c>
      <c r="O171" s="209">
        <v>22483</v>
      </c>
      <c r="P171" s="209">
        <v>29943.498871331831</v>
      </c>
      <c r="Q171" s="210">
        <v>4.5078364517728731E-2</v>
      </c>
      <c r="R171" s="209">
        <v>2441</v>
      </c>
      <c r="S171" s="209">
        <v>2103</v>
      </c>
      <c r="T171" s="219">
        <v>0.86153215895124946</v>
      </c>
      <c r="U171" s="220">
        <v>1.2234443417008896</v>
      </c>
      <c r="V171" s="220">
        <v>4.302424606157869</v>
      </c>
      <c r="W171" s="209">
        <v>108576</v>
      </c>
      <c r="X171" s="209">
        <v>317940.14284723543</v>
      </c>
      <c r="Y171" s="210">
        <v>3.1086996896057633E-2</v>
      </c>
    </row>
    <row r="172" spans="1:25" ht="15" customHeight="1" x14ac:dyDescent="0.25">
      <c r="A172" s="198" t="s">
        <v>493</v>
      </c>
      <c r="B172" s="207">
        <v>73</v>
      </c>
      <c r="C172" s="207">
        <v>41</v>
      </c>
      <c r="D172" s="217">
        <v>0.56164383561643838</v>
      </c>
      <c r="E172" s="218">
        <v>1.7108180039138943</v>
      </c>
      <c r="F172" s="218">
        <v>4.3333329166666674</v>
      </c>
      <c r="G172" s="207">
        <v>2132</v>
      </c>
      <c r="H172" s="207">
        <v>10942.391953033268</v>
      </c>
      <c r="I172" s="208">
        <v>1.1442213539092996E-3</v>
      </c>
      <c r="J172" s="207">
        <v>8</v>
      </c>
      <c r="K172" s="207">
        <v>5</v>
      </c>
      <c r="L172" s="217">
        <v>0.625</v>
      </c>
      <c r="M172" s="218">
        <v>1.5815714285714284</v>
      </c>
      <c r="N172" s="218">
        <v>4.3499999999999996</v>
      </c>
      <c r="O172" s="207">
        <v>261</v>
      </c>
      <c r="P172" s="207">
        <v>412.79014285714283</v>
      </c>
      <c r="Q172" s="208">
        <v>6.2143387481197038E-4</v>
      </c>
      <c r="R172" s="207">
        <v>81</v>
      </c>
      <c r="S172" s="207">
        <v>46</v>
      </c>
      <c r="T172" s="217">
        <v>0.5679012345679012</v>
      </c>
      <c r="U172" s="218">
        <v>1.6461947162426613</v>
      </c>
      <c r="V172" s="218">
        <v>4.3351445561594204</v>
      </c>
      <c r="W172" s="207">
        <v>2393</v>
      </c>
      <c r="X172" s="207">
        <v>11355.18209589041</v>
      </c>
      <c r="Y172" s="208">
        <v>1.1102671949755143E-3</v>
      </c>
    </row>
    <row r="173" spans="1:25" ht="15" customHeight="1" x14ac:dyDescent="0.25">
      <c r="A173" s="201" t="s">
        <v>232</v>
      </c>
      <c r="B173" s="209">
        <v>73</v>
      </c>
      <c r="C173" s="209">
        <v>41</v>
      </c>
      <c r="D173" s="219">
        <v>0.56164383561643838</v>
      </c>
      <c r="E173" s="220">
        <v>1.7108180039138943</v>
      </c>
      <c r="F173" s="220">
        <v>4.3333329166666674</v>
      </c>
      <c r="G173" s="209">
        <v>2132</v>
      </c>
      <c r="H173" s="209">
        <v>10942.391953033268</v>
      </c>
      <c r="I173" s="210">
        <v>1.1442213539092996E-3</v>
      </c>
      <c r="J173" s="209">
        <v>8</v>
      </c>
      <c r="K173" s="209">
        <v>5</v>
      </c>
      <c r="L173" s="219">
        <v>0.625</v>
      </c>
      <c r="M173" s="220">
        <v>1.5815714285714284</v>
      </c>
      <c r="N173" s="220">
        <v>4.3499999999999996</v>
      </c>
      <c r="O173" s="209">
        <v>261</v>
      </c>
      <c r="P173" s="209">
        <v>412.79014285714283</v>
      </c>
      <c r="Q173" s="210">
        <v>6.2143387481197038E-4</v>
      </c>
      <c r="R173" s="209">
        <v>81</v>
      </c>
      <c r="S173" s="209">
        <v>46</v>
      </c>
      <c r="T173" s="219">
        <v>0.5679012345679012</v>
      </c>
      <c r="U173" s="220">
        <v>1.6461947162426613</v>
      </c>
      <c r="V173" s="220">
        <v>4.3351445561594204</v>
      </c>
      <c r="W173" s="209">
        <v>2393</v>
      </c>
      <c r="X173" s="209">
        <v>11355.18209589041</v>
      </c>
      <c r="Y173" s="210">
        <v>1.1102671949755143E-3</v>
      </c>
    </row>
    <row r="174" spans="1:25" ht="15" customHeight="1" x14ac:dyDescent="0.25">
      <c r="A174" s="198" t="s">
        <v>85</v>
      </c>
      <c r="B174" s="207">
        <v>15</v>
      </c>
      <c r="C174" s="207">
        <v>12</v>
      </c>
      <c r="D174" s="217">
        <v>0.8</v>
      </c>
      <c r="E174" s="218">
        <v>1.25</v>
      </c>
      <c r="F174" s="218">
        <v>4.368055166666668</v>
      </c>
      <c r="G174" s="207">
        <v>629</v>
      </c>
      <c r="H174" s="207">
        <v>2358.75</v>
      </c>
      <c r="I174" s="208">
        <v>2.4664919060822049E-4</v>
      </c>
      <c r="J174" s="207">
        <v>26</v>
      </c>
      <c r="K174" s="207">
        <v>23</v>
      </c>
      <c r="L174" s="217">
        <v>0.88461538461538458</v>
      </c>
      <c r="M174" s="218">
        <v>1.1304347826086956</v>
      </c>
      <c r="N174" s="218">
        <v>4.5760864166666666</v>
      </c>
      <c r="O174" s="207">
        <v>1263</v>
      </c>
      <c r="P174" s="207">
        <v>1427.7391304347825</v>
      </c>
      <c r="Q174" s="208">
        <v>2.1493862569141224E-3</v>
      </c>
      <c r="R174" s="207">
        <v>41</v>
      </c>
      <c r="S174" s="207">
        <v>35</v>
      </c>
      <c r="T174" s="217">
        <v>0.85365853658536583</v>
      </c>
      <c r="U174" s="218">
        <v>1.1902173913043477</v>
      </c>
      <c r="V174" s="218">
        <v>4.5047614166666667</v>
      </c>
      <c r="W174" s="207">
        <v>1892</v>
      </c>
      <c r="X174" s="207">
        <v>3786.4891304347825</v>
      </c>
      <c r="Y174" s="208">
        <v>3.7022873170608055E-4</v>
      </c>
    </row>
    <row r="175" spans="1:25" ht="15" customHeight="1" x14ac:dyDescent="0.25">
      <c r="A175" s="201" t="s">
        <v>231</v>
      </c>
      <c r="B175" s="209">
        <v>15</v>
      </c>
      <c r="C175" s="209">
        <v>12</v>
      </c>
      <c r="D175" s="219">
        <v>0.8</v>
      </c>
      <c r="E175" s="220">
        <v>1.25</v>
      </c>
      <c r="F175" s="220">
        <v>4.368055166666668</v>
      </c>
      <c r="G175" s="209">
        <v>629</v>
      </c>
      <c r="H175" s="209">
        <v>2358.75</v>
      </c>
      <c r="I175" s="210">
        <v>2.4664919060822049E-4</v>
      </c>
      <c r="J175" s="209">
        <v>26</v>
      </c>
      <c r="K175" s="209">
        <v>23</v>
      </c>
      <c r="L175" s="219">
        <v>0.88461538461538458</v>
      </c>
      <c r="M175" s="220">
        <v>1.1304347826086956</v>
      </c>
      <c r="N175" s="220">
        <v>4.5760864166666666</v>
      </c>
      <c r="O175" s="209">
        <v>1263</v>
      </c>
      <c r="P175" s="209">
        <v>1427.7391304347825</v>
      </c>
      <c r="Q175" s="210">
        <v>2.1493862569141224E-3</v>
      </c>
      <c r="R175" s="209">
        <v>41</v>
      </c>
      <c r="S175" s="209">
        <v>35</v>
      </c>
      <c r="T175" s="219">
        <v>0.85365853658536583</v>
      </c>
      <c r="U175" s="220">
        <v>1.1902173913043477</v>
      </c>
      <c r="V175" s="220">
        <v>4.5047614166666667</v>
      </c>
      <c r="W175" s="209">
        <v>1892</v>
      </c>
      <c r="X175" s="209">
        <v>3786.4891304347825</v>
      </c>
      <c r="Y175" s="210">
        <v>3.7022873170608055E-4</v>
      </c>
    </row>
    <row r="176" spans="1:25" ht="15" customHeight="1" x14ac:dyDescent="0.25">
      <c r="A176" s="198" t="s">
        <v>86</v>
      </c>
      <c r="B176" s="207">
        <v>214</v>
      </c>
      <c r="C176" s="207">
        <v>134</v>
      </c>
      <c r="D176" s="217">
        <v>0.62616822429906538</v>
      </c>
      <c r="E176" s="218">
        <v>1.5791882510013351</v>
      </c>
      <c r="F176" s="218">
        <v>4.4278603333333342</v>
      </c>
      <c r="G176" s="207">
        <v>7120</v>
      </c>
      <c r="H176" s="207">
        <v>33731.461041388517</v>
      </c>
      <c r="I176" s="208">
        <v>3.5272231325452889E-3</v>
      </c>
      <c r="J176" s="207">
        <v>10</v>
      </c>
      <c r="K176" s="207">
        <v>3</v>
      </c>
      <c r="L176" s="217">
        <v>0.3</v>
      </c>
      <c r="M176" s="218">
        <v>2.2445714285714287</v>
      </c>
      <c r="N176" s="218">
        <v>4.5277775000000009</v>
      </c>
      <c r="O176" s="207">
        <v>163</v>
      </c>
      <c r="P176" s="207">
        <v>365.86514285714287</v>
      </c>
      <c r="Q176" s="208">
        <v>5.5079075244060223E-4</v>
      </c>
      <c r="R176" s="207">
        <v>224</v>
      </c>
      <c r="S176" s="207">
        <v>137</v>
      </c>
      <c r="T176" s="217">
        <v>0.6116071428571429</v>
      </c>
      <c r="U176" s="218">
        <v>1.9118798397863819</v>
      </c>
      <c r="V176" s="218">
        <v>4.430048300486618</v>
      </c>
      <c r="W176" s="207">
        <v>7283</v>
      </c>
      <c r="X176" s="207">
        <v>34097.326184245656</v>
      </c>
      <c r="Y176" s="208">
        <v>3.3339089042392881E-3</v>
      </c>
    </row>
    <row r="177" spans="1:25" ht="15" customHeight="1" x14ac:dyDescent="0.25">
      <c r="A177" s="201" t="s">
        <v>230</v>
      </c>
      <c r="B177" s="209">
        <v>214</v>
      </c>
      <c r="C177" s="209">
        <v>134</v>
      </c>
      <c r="D177" s="219">
        <v>0.62616822429906538</v>
      </c>
      <c r="E177" s="220">
        <v>1.5791882510013351</v>
      </c>
      <c r="F177" s="220">
        <v>4.4278603333333342</v>
      </c>
      <c r="G177" s="209">
        <v>7120</v>
      </c>
      <c r="H177" s="209">
        <v>33731.461041388517</v>
      </c>
      <c r="I177" s="210">
        <v>3.5272231325452889E-3</v>
      </c>
      <c r="J177" s="209">
        <v>10</v>
      </c>
      <c r="K177" s="209">
        <v>3</v>
      </c>
      <c r="L177" s="219">
        <v>0.3</v>
      </c>
      <c r="M177" s="220">
        <v>2.2445714285714287</v>
      </c>
      <c r="N177" s="220">
        <v>4.5277775000000009</v>
      </c>
      <c r="O177" s="209">
        <v>163</v>
      </c>
      <c r="P177" s="209">
        <v>365.86514285714287</v>
      </c>
      <c r="Q177" s="210">
        <v>5.5079075244060223E-4</v>
      </c>
      <c r="R177" s="209">
        <v>224</v>
      </c>
      <c r="S177" s="209">
        <v>137</v>
      </c>
      <c r="T177" s="219">
        <v>0.6116071428571429</v>
      </c>
      <c r="U177" s="220">
        <v>1.9118798397863819</v>
      </c>
      <c r="V177" s="220">
        <v>4.430048300486618</v>
      </c>
      <c r="W177" s="209">
        <v>7283</v>
      </c>
      <c r="X177" s="209">
        <v>34097.326184245656</v>
      </c>
      <c r="Y177" s="210">
        <v>3.3339089042392881E-3</v>
      </c>
    </row>
    <row r="178" spans="1:25" ht="15" customHeight="1" x14ac:dyDescent="0.25">
      <c r="A178" s="198" t="s">
        <v>87</v>
      </c>
      <c r="B178" s="207">
        <v>56</v>
      </c>
      <c r="C178" s="207">
        <v>24</v>
      </c>
      <c r="D178" s="217">
        <v>0.42857142857142855</v>
      </c>
      <c r="E178" s="218">
        <v>1.9822857142857144</v>
      </c>
      <c r="F178" s="218">
        <v>4.5069440833333339</v>
      </c>
      <c r="G178" s="207">
        <v>1298</v>
      </c>
      <c r="H178" s="207">
        <v>7719.0205714285721</v>
      </c>
      <c r="I178" s="208">
        <v>8.0716064705079426E-4</v>
      </c>
      <c r="J178" s="207">
        <v>14</v>
      </c>
      <c r="K178" s="207">
        <v>4</v>
      </c>
      <c r="L178" s="217">
        <v>0.2857142857142857</v>
      </c>
      <c r="M178" s="218">
        <v>2.2737142857142856</v>
      </c>
      <c r="N178" s="218">
        <v>4.125</v>
      </c>
      <c r="O178" s="207">
        <v>198</v>
      </c>
      <c r="P178" s="207">
        <v>450.19542857142852</v>
      </c>
      <c r="Q178" s="208">
        <v>6.7774556742891819E-4</v>
      </c>
      <c r="R178" s="207">
        <v>70</v>
      </c>
      <c r="S178" s="207">
        <v>28</v>
      </c>
      <c r="T178" s="217">
        <v>0.4</v>
      </c>
      <c r="U178" s="218">
        <v>2.1280000000000001</v>
      </c>
      <c r="V178" s="218">
        <v>4.4523806428571433</v>
      </c>
      <c r="W178" s="207">
        <v>1496</v>
      </c>
      <c r="X178" s="207">
        <v>8169.2160000000003</v>
      </c>
      <c r="Y178" s="208">
        <v>7.9875535741092589E-4</v>
      </c>
    </row>
    <row r="179" spans="1:25" ht="15" customHeight="1" x14ac:dyDescent="0.25">
      <c r="A179" s="201" t="s">
        <v>234</v>
      </c>
      <c r="B179" s="209">
        <v>56</v>
      </c>
      <c r="C179" s="209">
        <v>24</v>
      </c>
      <c r="D179" s="219">
        <v>0.42857142857142855</v>
      </c>
      <c r="E179" s="220">
        <v>1.9822857142857144</v>
      </c>
      <c r="F179" s="220">
        <v>4.5069440833333339</v>
      </c>
      <c r="G179" s="209">
        <v>1298</v>
      </c>
      <c r="H179" s="209">
        <v>7719.0205714285721</v>
      </c>
      <c r="I179" s="210">
        <v>8.0716064705079426E-4</v>
      </c>
      <c r="J179" s="209">
        <v>14</v>
      </c>
      <c r="K179" s="209">
        <v>4</v>
      </c>
      <c r="L179" s="219">
        <v>0.2857142857142857</v>
      </c>
      <c r="M179" s="220">
        <v>2.2737142857142856</v>
      </c>
      <c r="N179" s="220">
        <v>4.125</v>
      </c>
      <c r="O179" s="209">
        <v>198</v>
      </c>
      <c r="P179" s="209">
        <v>450.19542857142852</v>
      </c>
      <c r="Q179" s="210">
        <v>6.7774556742891819E-4</v>
      </c>
      <c r="R179" s="209">
        <v>70</v>
      </c>
      <c r="S179" s="209">
        <v>28</v>
      </c>
      <c r="T179" s="219">
        <v>0.4</v>
      </c>
      <c r="U179" s="220">
        <v>2.1280000000000001</v>
      </c>
      <c r="V179" s="220">
        <v>4.4523806428571433</v>
      </c>
      <c r="W179" s="209">
        <v>1496</v>
      </c>
      <c r="X179" s="209">
        <v>8169.2160000000003</v>
      </c>
      <c r="Y179" s="210">
        <v>7.9875535741092589E-4</v>
      </c>
    </row>
    <row r="180" spans="1:25" ht="15" customHeight="1" x14ac:dyDescent="0.25">
      <c r="A180" s="198" t="s">
        <v>88</v>
      </c>
      <c r="B180" s="207">
        <v>9</v>
      </c>
      <c r="C180" s="207">
        <v>3</v>
      </c>
      <c r="D180" s="217">
        <v>0.33333333333333331</v>
      </c>
      <c r="E180" s="218">
        <v>2.1765714285714286</v>
      </c>
      <c r="F180" s="218">
        <v>4.5277773333333338</v>
      </c>
      <c r="G180" s="207">
        <v>163</v>
      </c>
      <c r="H180" s="207">
        <v>1064.3434285714286</v>
      </c>
      <c r="I180" s="208">
        <v>1.1129600219875833E-4</v>
      </c>
      <c r="J180" s="223"/>
      <c r="K180" s="223"/>
      <c r="L180" s="223"/>
      <c r="M180" s="223"/>
      <c r="N180" s="223"/>
      <c r="O180" s="223"/>
      <c r="P180" s="223"/>
      <c r="Q180" s="223"/>
      <c r="R180" s="207">
        <v>9</v>
      </c>
      <c r="S180" s="207">
        <v>3</v>
      </c>
      <c r="T180" s="217">
        <v>0.33333333333333331</v>
      </c>
      <c r="U180" s="218">
        <v>2.1765714285714286</v>
      </c>
      <c r="V180" s="218">
        <v>4.5277773333333338</v>
      </c>
      <c r="W180" s="207">
        <v>163</v>
      </c>
      <c r="X180" s="207">
        <v>1064.3434285714286</v>
      </c>
      <c r="Y180" s="208">
        <v>1.0406751586646034E-4</v>
      </c>
    </row>
    <row r="181" spans="1:25" ht="15" customHeight="1" x14ac:dyDescent="0.25">
      <c r="A181" s="201" t="s">
        <v>233</v>
      </c>
      <c r="B181" s="209">
        <v>9</v>
      </c>
      <c r="C181" s="209">
        <v>3</v>
      </c>
      <c r="D181" s="219">
        <v>0.33333333333333331</v>
      </c>
      <c r="E181" s="220">
        <v>2.1765714285714286</v>
      </c>
      <c r="F181" s="220">
        <v>4.5277773333333338</v>
      </c>
      <c r="G181" s="209">
        <v>163</v>
      </c>
      <c r="H181" s="209">
        <v>1064.3434285714286</v>
      </c>
      <c r="I181" s="210">
        <v>1.1129600219875833E-4</v>
      </c>
      <c r="J181" s="224"/>
      <c r="K181" s="224"/>
      <c r="L181" s="224"/>
      <c r="M181" s="224"/>
      <c r="N181" s="224"/>
      <c r="O181" s="224"/>
      <c r="P181" s="224"/>
      <c r="Q181" s="224"/>
      <c r="R181" s="209">
        <v>9</v>
      </c>
      <c r="S181" s="209">
        <v>3</v>
      </c>
      <c r="T181" s="219">
        <v>0.33333333333333331</v>
      </c>
      <c r="U181" s="220">
        <v>2.1765714285714286</v>
      </c>
      <c r="V181" s="220">
        <v>4.5277773333333338</v>
      </c>
      <c r="W181" s="209">
        <v>163</v>
      </c>
      <c r="X181" s="209">
        <v>1064.3434285714286</v>
      </c>
      <c r="Y181" s="210">
        <v>1.0406751586646034E-4</v>
      </c>
    </row>
    <row r="182" spans="1:25" ht="15" customHeight="1" x14ac:dyDescent="0.25">
      <c r="A182" s="198" t="s">
        <v>89</v>
      </c>
      <c r="B182" s="207">
        <v>114</v>
      </c>
      <c r="C182" s="207">
        <v>71</v>
      </c>
      <c r="D182" s="217">
        <v>0.6228070175438597</v>
      </c>
      <c r="E182" s="218">
        <v>1.5860451127819548</v>
      </c>
      <c r="F182" s="218">
        <v>4.3661965833333332</v>
      </c>
      <c r="G182" s="207">
        <v>3720</v>
      </c>
      <c r="H182" s="207">
        <v>17700.263458646616</v>
      </c>
      <c r="I182" s="208">
        <v>1.8508768015378693E-3</v>
      </c>
      <c r="J182" s="223"/>
      <c r="K182" s="223"/>
      <c r="L182" s="223"/>
      <c r="M182" s="223"/>
      <c r="N182" s="223"/>
      <c r="O182" s="223"/>
      <c r="P182" s="223"/>
      <c r="Q182" s="223"/>
      <c r="R182" s="207">
        <v>114</v>
      </c>
      <c r="S182" s="207">
        <v>71</v>
      </c>
      <c r="T182" s="217">
        <v>0.6228070175438597</v>
      </c>
      <c r="U182" s="218">
        <v>1.5860451127819548</v>
      </c>
      <c r="V182" s="218">
        <v>4.3661965833333332</v>
      </c>
      <c r="W182" s="207">
        <v>3720</v>
      </c>
      <c r="X182" s="207">
        <v>17700.263458646616</v>
      </c>
      <c r="Y182" s="208">
        <v>1.7306654965640312E-3</v>
      </c>
    </row>
    <row r="183" spans="1:25" ht="15" customHeight="1" x14ac:dyDescent="0.25">
      <c r="A183" s="201" t="s">
        <v>228</v>
      </c>
      <c r="B183" s="209">
        <v>114</v>
      </c>
      <c r="C183" s="209">
        <v>71</v>
      </c>
      <c r="D183" s="219">
        <v>0.6228070175438597</v>
      </c>
      <c r="E183" s="220">
        <v>1.5860451127819548</v>
      </c>
      <c r="F183" s="220">
        <v>4.3661965833333332</v>
      </c>
      <c r="G183" s="209">
        <v>3720</v>
      </c>
      <c r="H183" s="209">
        <v>17700.263458646616</v>
      </c>
      <c r="I183" s="210">
        <v>1.8508768015378693E-3</v>
      </c>
      <c r="J183" s="224"/>
      <c r="K183" s="224"/>
      <c r="L183" s="224"/>
      <c r="M183" s="224"/>
      <c r="N183" s="224"/>
      <c r="O183" s="224"/>
      <c r="P183" s="224"/>
      <c r="Q183" s="224"/>
      <c r="R183" s="209">
        <v>114</v>
      </c>
      <c r="S183" s="209">
        <v>71</v>
      </c>
      <c r="T183" s="219">
        <v>0.6228070175438597</v>
      </c>
      <c r="U183" s="220">
        <v>1.5860451127819548</v>
      </c>
      <c r="V183" s="220">
        <v>4.3661965833333332</v>
      </c>
      <c r="W183" s="209">
        <v>3720</v>
      </c>
      <c r="X183" s="209">
        <v>17700.263458646616</v>
      </c>
      <c r="Y183" s="210">
        <v>1.7306654965640312E-3</v>
      </c>
    </row>
    <row r="184" spans="1:25" ht="15" customHeight="1" x14ac:dyDescent="0.25">
      <c r="A184" s="198" t="s">
        <v>90</v>
      </c>
      <c r="B184" s="207">
        <v>736</v>
      </c>
      <c r="C184" s="207">
        <v>454</v>
      </c>
      <c r="D184" s="217">
        <v>0.61684782608695654</v>
      </c>
      <c r="E184" s="218">
        <v>1.5982018633540371</v>
      </c>
      <c r="F184" s="218">
        <v>4.2909319166666666</v>
      </c>
      <c r="G184" s="207">
        <v>23377</v>
      </c>
      <c r="H184" s="207">
        <v>112083.49487888197</v>
      </c>
      <c r="I184" s="208">
        <v>1.1720319360855058E-2</v>
      </c>
      <c r="J184" s="207">
        <v>265</v>
      </c>
      <c r="K184" s="207">
        <v>95</v>
      </c>
      <c r="L184" s="217">
        <v>0.35849056603773582</v>
      </c>
      <c r="M184" s="218">
        <v>2.1252506738544477</v>
      </c>
      <c r="N184" s="218">
        <v>3.984210083333334</v>
      </c>
      <c r="O184" s="207">
        <v>4542</v>
      </c>
      <c r="P184" s="207">
        <v>9652.8885606469012</v>
      </c>
      <c r="Q184" s="208">
        <v>1.4531916629237283E-2</v>
      </c>
      <c r="R184" s="207">
        <v>1001</v>
      </c>
      <c r="S184" s="207">
        <v>549</v>
      </c>
      <c r="T184" s="217">
        <v>0.54845154845154842</v>
      </c>
      <c r="U184" s="218">
        <v>1.8617262686042424</v>
      </c>
      <c r="V184" s="218">
        <v>4.2378561895871272</v>
      </c>
      <c r="W184" s="207">
        <v>27919</v>
      </c>
      <c r="X184" s="207">
        <v>121736.38343952887</v>
      </c>
      <c r="Y184" s="208">
        <v>1.1902927828588986E-2</v>
      </c>
    </row>
    <row r="185" spans="1:25" ht="15" customHeight="1" x14ac:dyDescent="0.25">
      <c r="A185" s="201" t="s">
        <v>227</v>
      </c>
      <c r="B185" s="209">
        <v>736</v>
      </c>
      <c r="C185" s="209">
        <v>454</v>
      </c>
      <c r="D185" s="219">
        <v>0.61684782608695654</v>
      </c>
      <c r="E185" s="220">
        <v>1.5982018633540371</v>
      </c>
      <c r="F185" s="220">
        <v>4.2909319166666666</v>
      </c>
      <c r="G185" s="209">
        <v>23377</v>
      </c>
      <c r="H185" s="209">
        <v>112083.49487888197</v>
      </c>
      <c r="I185" s="210">
        <v>1.1720319360855058E-2</v>
      </c>
      <c r="J185" s="209">
        <v>265</v>
      </c>
      <c r="K185" s="209">
        <v>95</v>
      </c>
      <c r="L185" s="219">
        <v>0.35849056603773582</v>
      </c>
      <c r="M185" s="220">
        <v>2.1252506738544477</v>
      </c>
      <c r="N185" s="220">
        <v>3.984210083333334</v>
      </c>
      <c r="O185" s="209">
        <v>4542</v>
      </c>
      <c r="P185" s="209">
        <v>9652.8885606469012</v>
      </c>
      <c r="Q185" s="210">
        <v>1.4531916629237283E-2</v>
      </c>
      <c r="R185" s="209">
        <v>1001</v>
      </c>
      <c r="S185" s="209">
        <v>549</v>
      </c>
      <c r="T185" s="219">
        <v>0.54845154845154842</v>
      </c>
      <c r="U185" s="220">
        <v>1.8617262686042424</v>
      </c>
      <c r="V185" s="220">
        <v>4.2378561895871272</v>
      </c>
      <c r="W185" s="209">
        <v>27919</v>
      </c>
      <c r="X185" s="209">
        <v>121736.38343952887</v>
      </c>
      <c r="Y185" s="210">
        <v>1.1902927828588986E-2</v>
      </c>
    </row>
    <row r="186" spans="1:25" ht="15" customHeight="1" x14ac:dyDescent="0.25">
      <c r="A186" s="198" t="s">
        <v>91</v>
      </c>
      <c r="B186" s="207">
        <v>40</v>
      </c>
      <c r="C186" s="207">
        <v>36</v>
      </c>
      <c r="D186" s="217">
        <v>0.9</v>
      </c>
      <c r="E186" s="218">
        <v>1.1111111111111112</v>
      </c>
      <c r="F186" s="218">
        <v>4.4027771666666675</v>
      </c>
      <c r="G186" s="207">
        <v>1902</v>
      </c>
      <c r="H186" s="207">
        <v>6340</v>
      </c>
      <c r="I186" s="208">
        <v>6.6295956267349988E-4</v>
      </c>
      <c r="J186" s="223"/>
      <c r="K186" s="223"/>
      <c r="L186" s="223"/>
      <c r="M186" s="223"/>
      <c r="N186" s="223"/>
      <c r="O186" s="223"/>
      <c r="P186" s="223"/>
      <c r="Q186" s="223"/>
      <c r="R186" s="207">
        <v>40</v>
      </c>
      <c r="S186" s="207">
        <v>36</v>
      </c>
      <c r="T186" s="217">
        <v>0.9</v>
      </c>
      <c r="U186" s="218">
        <v>1.1111111111111112</v>
      </c>
      <c r="V186" s="218">
        <v>4.4027771666666675</v>
      </c>
      <c r="W186" s="207">
        <v>1902</v>
      </c>
      <c r="X186" s="207">
        <v>6340</v>
      </c>
      <c r="Y186" s="208">
        <v>6.199014649612974E-4</v>
      </c>
    </row>
    <row r="187" spans="1:25" ht="15" customHeight="1" x14ac:dyDescent="0.25">
      <c r="A187" s="201" t="s">
        <v>226</v>
      </c>
      <c r="B187" s="209">
        <v>40</v>
      </c>
      <c r="C187" s="209">
        <v>36</v>
      </c>
      <c r="D187" s="219">
        <v>0.9</v>
      </c>
      <c r="E187" s="220">
        <v>1.1111111111111112</v>
      </c>
      <c r="F187" s="220">
        <v>4.4027771666666675</v>
      </c>
      <c r="G187" s="209">
        <v>1902</v>
      </c>
      <c r="H187" s="209">
        <v>6340</v>
      </c>
      <c r="I187" s="210">
        <v>6.6295956267349988E-4</v>
      </c>
      <c r="J187" s="224"/>
      <c r="K187" s="224"/>
      <c r="L187" s="224"/>
      <c r="M187" s="224"/>
      <c r="N187" s="224"/>
      <c r="O187" s="224"/>
      <c r="P187" s="224"/>
      <c r="Q187" s="224"/>
      <c r="R187" s="209">
        <v>40</v>
      </c>
      <c r="S187" s="209">
        <v>36</v>
      </c>
      <c r="T187" s="219">
        <v>0.9</v>
      </c>
      <c r="U187" s="220">
        <v>1.1111111111111112</v>
      </c>
      <c r="V187" s="220">
        <v>4.4027771666666675</v>
      </c>
      <c r="W187" s="209">
        <v>1902</v>
      </c>
      <c r="X187" s="209">
        <v>6340</v>
      </c>
      <c r="Y187" s="210">
        <v>6.199014649612974E-4</v>
      </c>
    </row>
    <row r="188" spans="1:25" ht="15" customHeight="1" x14ac:dyDescent="0.25">
      <c r="A188" s="198" t="s">
        <v>437</v>
      </c>
      <c r="B188" s="207">
        <v>1258</v>
      </c>
      <c r="C188" s="207">
        <v>725</v>
      </c>
      <c r="D188" s="217">
        <v>0.57631160572337048</v>
      </c>
      <c r="E188" s="218">
        <v>1.6808957528957529</v>
      </c>
      <c r="F188" s="218">
        <v>4.4413787499999993</v>
      </c>
      <c r="G188" s="207">
        <v>38640</v>
      </c>
      <c r="H188" s="207">
        <v>194849.43567567566</v>
      </c>
      <c r="I188" s="208">
        <v>2.0374967927874479E-2</v>
      </c>
      <c r="J188" s="207">
        <v>5</v>
      </c>
      <c r="K188" s="207">
        <v>2</v>
      </c>
      <c r="L188" s="217">
        <v>0.4</v>
      </c>
      <c r="M188" s="218">
        <v>2.0405714285714285</v>
      </c>
      <c r="N188" s="218">
        <v>3.4166666666666665</v>
      </c>
      <c r="O188" s="207">
        <v>82</v>
      </c>
      <c r="P188" s="207">
        <v>167.32685714285714</v>
      </c>
      <c r="Q188" s="208">
        <v>2.5190179318400227E-4</v>
      </c>
      <c r="R188" s="207">
        <v>1263</v>
      </c>
      <c r="S188" s="207">
        <v>727</v>
      </c>
      <c r="T188" s="217">
        <v>0.57561361836896274</v>
      </c>
      <c r="U188" s="218">
        <v>1.8607335907335907</v>
      </c>
      <c r="V188" s="218">
        <v>4.4385597346400729</v>
      </c>
      <c r="W188" s="207">
        <v>38722</v>
      </c>
      <c r="X188" s="207">
        <v>195016.76253281851</v>
      </c>
      <c r="Y188" s="208">
        <v>1.9068008956798683E-2</v>
      </c>
    </row>
    <row r="189" spans="1:25" ht="15" customHeight="1" x14ac:dyDescent="0.25">
      <c r="A189" s="201" t="s">
        <v>249</v>
      </c>
      <c r="B189" s="209">
        <v>1258</v>
      </c>
      <c r="C189" s="209">
        <v>725</v>
      </c>
      <c r="D189" s="219">
        <v>0.57631160572337048</v>
      </c>
      <c r="E189" s="220">
        <v>1.6808957528957529</v>
      </c>
      <c r="F189" s="220">
        <v>4.4413787499999993</v>
      </c>
      <c r="G189" s="209">
        <v>38640</v>
      </c>
      <c r="H189" s="209">
        <v>194849.43567567566</v>
      </c>
      <c r="I189" s="210">
        <v>2.0374967927874479E-2</v>
      </c>
      <c r="J189" s="209">
        <v>5</v>
      </c>
      <c r="K189" s="209">
        <v>2</v>
      </c>
      <c r="L189" s="219">
        <v>0.4</v>
      </c>
      <c r="M189" s="220">
        <v>2.0405714285714285</v>
      </c>
      <c r="N189" s="220">
        <v>3.4166666666666665</v>
      </c>
      <c r="O189" s="209">
        <v>82</v>
      </c>
      <c r="P189" s="209">
        <v>167.32685714285714</v>
      </c>
      <c r="Q189" s="210">
        <v>2.5190179318400227E-4</v>
      </c>
      <c r="R189" s="209">
        <v>1263</v>
      </c>
      <c r="S189" s="209">
        <v>727</v>
      </c>
      <c r="T189" s="219">
        <v>0.57561361836896274</v>
      </c>
      <c r="U189" s="220">
        <v>1.8607335907335907</v>
      </c>
      <c r="V189" s="220">
        <v>4.4385597346400729</v>
      </c>
      <c r="W189" s="209">
        <v>38722</v>
      </c>
      <c r="X189" s="209">
        <v>195016.76253281851</v>
      </c>
      <c r="Y189" s="210">
        <v>1.9068008956798683E-2</v>
      </c>
    </row>
    <row r="190" spans="1:25" ht="15" customHeight="1" x14ac:dyDescent="0.25">
      <c r="A190" s="198" t="s">
        <v>541</v>
      </c>
      <c r="B190" s="207">
        <v>22</v>
      </c>
      <c r="C190" s="207">
        <v>9</v>
      </c>
      <c r="D190" s="217">
        <v>0.40909090909090912</v>
      </c>
      <c r="E190" s="218">
        <v>2.0220259740259743</v>
      </c>
      <c r="F190" s="218">
        <v>4.1759255000000008</v>
      </c>
      <c r="G190" s="207">
        <v>451</v>
      </c>
      <c r="H190" s="207">
        <v>2735.8011428571431</v>
      </c>
      <c r="I190" s="208">
        <v>2.860765818975131E-4</v>
      </c>
      <c r="J190" s="207">
        <v>1</v>
      </c>
      <c r="K190" s="207">
        <v>1</v>
      </c>
      <c r="L190" s="217">
        <v>1</v>
      </c>
      <c r="M190" s="218">
        <v>1</v>
      </c>
      <c r="N190" s="218">
        <v>5</v>
      </c>
      <c r="O190" s="207">
        <v>60</v>
      </c>
      <c r="P190" s="207">
        <v>60</v>
      </c>
      <c r="Q190" s="208">
        <v>9.0326847997487336E-5</v>
      </c>
      <c r="R190" s="207">
        <v>23</v>
      </c>
      <c r="S190" s="207">
        <v>10</v>
      </c>
      <c r="T190" s="217">
        <v>0.43478260869565216</v>
      </c>
      <c r="U190" s="218">
        <v>1.5110129870129871</v>
      </c>
      <c r="V190" s="218">
        <v>4.2583329500000007</v>
      </c>
      <c r="W190" s="207">
        <v>511</v>
      </c>
      <c r="X190" s="207">
        <v>2795.8011428571431</v>
      </c>
      <c r="Y190" s="208">
        <v>2.7336296911634265E-4</v>
      </c>
    </row>
    <row r="191" spans="1:25" ht="15" customHeight="1" x14ac:dyDescent="0.25">
      <c r="A191" s="201" t="s">
        <v>225</v>
      </c>
      <c r="B191" s="209">
        <v>22</v>
      </c>
      <c r="C191" s="209">
        <v>9</v>
      </c>
      <c r="D191" s="219">
        <v>0.40909090909090912</v>
      </c>
      <c r="E191" s="220">
        <v>2.0220259740259743</v>
      </c>
      <c r="F191" s="220">
        <v>4.1759255000000008</v>
      </c>
      <c r="G191" s="209">
        <v>451</v>
      </c>
      <c r="H191" s="209">
        <v>2735.8011428571431</v>
      </c>
      <c r="I191" s="210">
        <v>2.860765818975131E-4</v>
      </c>
      <c r="J191" s="209">
        <v>1</v>
      </c>
      <c r="K191" s="209">
        <v>1</v>
      </c>
      <c r="L191" s="219">
        <v>1</v>
      </c>
      <c r="M191" s="220">
        <v>1</v>
      </c>
      <c r="N191" s="220">
        <v>5</v>
      </c>
      <c r="O191" s="209">
        <v>60</v>
      </c>
      <c r="P191" s="209">
        <v>60</v>
      </c>
      <c r="Q191" s="210">
        <v>9.0326847997487336E-5</v>
      </c>
      <c r="R191" s="209">
        <v>23</v>
      </c>
      <c r="S191" s="209">
        <v>10</v>
      </c>
      <c r="T191" s="219">
        <v>0.43478260869565216</v>
      </c>
      <c r="U191" s="220">
        <v>1.5110129870129871</v>
      </c>
      <c r="V191" s="220">
        <v>4.2583329500000007</v>
      </c>
      <c r="W191" s="209">
        <v>511</v>
      </c>
      <c r="X191" s="209">
        <v>2795.8011428571431</v>
      </c>
      <c r="Y191" s="210">
        <v>2.7336296911634265E-4</v>
      </c>
    </row>
    <row r="192" spans="1:25" ht="15" customHeight="1" x14ac:dyDescent="0.25">
      <c r="A192" s="198" t="s">
        <v>93</v>
      </c>
      <c r="B192" s="207">
        <v>27</v>
      </c>
      <c r="C192" s="207">
        <v>13</v>
      </c>
      <c r="D192" s="217">
        <v>0.48148148148148145</v>
      </c>
      <c r="E192" s="218">
        <v>1.8743492063492064</v>
      </c>
      <c r="F192" s="218">
        <v>4.4807686666666671</v>
      </c>
      <c r="G192" s="207">
        <v>699</v>
      </c>
      <c r="H192" s="207">
        <v>3930.5102857142861</v>
      </c>
      <c r="I192" s="208">
        <v>4.1100463408530545E-4</v>
      </c>
      <c r="J192" s="223"/>
      <c r="K192" s="223"/>
      <c r="L192" s="223"/>
      <c r="M192" s="223"/>
      <c r="N192" s="223"/>
      <c r="O192" s="223"/>
      <c r="P192" s="223"/>
      <c r="Q192" s="223"/>
      <c r="R192" s="207">
        <v>27</v>
      </c>
      <c r="S192" s="207">
        <v>13</v>
      </c>
      <c r="T192" s="217">
        <v>0.48148148148148145</v>
      </c>
      <c r="U192" s="218">
        <v>1.8743492063492064</v>
      </c>
      <c r="V192" s="218">
        <v>4.4807686666666671</v>
      </c>
      <c r="W192" s="207">
        <v>699</v>
      </c>
      <c r="X192" s="207">
        <v>3930.5102857142861</v>
      </c>
      <c r="Y192" s="208">
        <v>3.8431058109774974E-4</v>
      </c>
    </row>
    <row r="193" spans="1:25" ht="15" customHeight="1" x14ac:dyDescent="0.25">
      <c r="A193" s="201" t="s">
        <v>224</v>
      </c>
      <c r="B193" s="209">
        <v>27</v>
      </c>
      <c r="C193" s="209">
        <v>13</v>
      </c>
      <c r="D193" s="219">
        <v>0.48148148148148145</v>
      </c>
      <c r="E193" s="220">
        <v>1.8743492063492064</v>
      </c>
      <c r="F193" s="220">
        <v>4.4807686666666671</v>
      </c>
      <c r="G193" s="209">
        <v>699</v>
      </c>
      <c r="H193" s="209">
        <v>3930.5102857142861</v>
      </c>
      <c r="I193" s="210">
        <v>4.1100463408530545E-4</v>
      </c>
      <c r="J193" s="224"/>
      <c r="K193" s="224"/>
      <c r="L193" s="224"/>
      <c r="M193" s="224"/>
      <c r="N193" s="224"/>
      <c r="O193" s="224"/>
      <c r="P193" s="224"/>
      <c r="Q193" s="224"/>
      <c r="R193" s="209">
        <v>27</v>
      </c>
      <c r="S193" s="209">
        <v>13</v>
      </c>
      <c r="T193" s="219">
        <v>0.48148148148148145</v>
      </c>
      <c r="U193" s="220">
        <v>1.8743492063492064</v>
      </c>
      <c r="V193" s="220">
        <v>4.4807686666666671</v>
      </c>
      <c r="W193" s="209">
        <v>699</v>
      </c>
      <c r="X193" s="209">
        <v>3930.5102857142861</v>
      </c>
      <c r="Y193" s="210">
        <v>3.8431058109774974E-4</v>
      </c>
    </row>
    <row r="194" spans="1:25" ht="15" customHeight="1" x14ac:dyDescent="0.25">
      <c r="A194" s="198" t="s">
        <v>94</v>
      </c>
      <c r="B194" s="207">
        <v>1289</v>
      </c>
      <c r="C194" s="207">
        <v>750</v>
      </c>
      <c r="D194" s="217">
        <v>0.58184639255236614</v>
      </c>
      <c r="E194" s="218">
        <v>1.6696047877646016</v>
      </c>
      <c r="F194" s="218">
        <v>4.2587776666666661</v>
      </c>
      <c r="G194" s="207">
        <v>38329</v>
      </c>
      <c r="H194" s="207">
        <v>191982.84573068825</v>
      </c>
      <c r="I194" s="208">
        <v>2.0075215054642128E-2</v>
      </c>
      <c r="J194" s="207">
        <v>235</v>
      </c>
      <c r="K194" s="207">
        <v>75</v>
      </c>
      <c r="L194" s="217">
        <v>0.31914893617021278</v>
      </c>
      <c r="M194" s="218">
        <v>2.2055075987841946</v>
      </c>
      <c r="N194" s="218">
        <v>4.1233329166666666</v>
      </c>
      <c r="O194" s="207">
        <v>3711</v>
      </c>
      <c r="P194" s="207">
        <v>8184.6386990881456</v>
      </c>
      <c r="Q194" s="208">
        <v>1.2321543594781457E-2</v>
      </c>
      <c r="R194" s="207">
        <v>1524</v>
      </c>
      <c r="S194" s="207">
        <v>825</v>
      </c>
      <c r="T194" s="217">
        <v>0.54133858267716539</v>
      </c>
      <c r="U194" s="218">
        <v>1.9375561932743981</v>
      </c>
      <c r="V194" s="218">
        <v>4.2464645075757579</v>
      </c>
      <c r="W194" s="207">
        <v>42040</v>
      </c>
      <c r="X194" s="207">
        <v>200167.48442977641</v>
      </c>
      <c r="Y194" s="208">
        <v>1.9571627261141335E-2</v>
      </c>
    </row>
    <row r="195" spans="1:25" ht="15" customHeight="1" x14ac:dyDescent="0.25">
      <c r="A195" s="201" t="s">
        <v>223</v>
      </c>
      <c r="B195" s="209">
        <v>1289</v>
      </c>
      <c r="C195" s="209">
        <v>750</v>
      </c>
      <c r="D195" s="219">
        <v>0.58184639255236614</v>
      </c>
      <c r="E195" s="220">
        <v>1.6696047877646016</v>
      </c>
      <c r="F195" s="220">
        <v>4.2587776666666661</v>
      </c>
      <c r="G195" s="209">
        <v>38329</v>
      </c>
      <c r="H195" s="209">
        <v>191982.84573068825</v>
      </c>
      <c r="I195" s="210">
        <v>2.0075215054642128E-2</v>
      </c>
      <c r="J195" s="209">
        <v>235</v>
      </c>
      <c r="K195" s="209">
        <v>75</v>
      </c>
      <c r="L195" s="219">
        <v>0.31914893617021278</v>
      </c>
      <c r="M195" s="220">
        <v>2.2055075987841946</v>
      </c>
      <c r="N195" s="220">
        <v>4.1233329166666666</v>
      </c>
      <c r="O195" s="209">
        <v>3711</v>
      </c>
      <c r="P195" s="209">
        <v>8184.6386990881456</v>
      </c>
      <c r="Q195" s="210">
        <v>1.2321543594781457E-2</v>
      </c>
      <c r="R195" s="209">
        <v>1524</v>
      </c>
      <c r="S195" s="209">
        <v>825</v>
      </c>
      <c r="T195" s="219">
        <v>0.54133858267716539</v>
      </c>
      <c r="U195" s="220">
        <v>1.9375561932743981</v>
      </c>
      <c r="V195" s="220">
        <v>4.2464645075757579</v>
      </c>
      <c r="W195" s="209">
        <v>42040</v>
      </c>
      <c r="X195" s="209">
        <v>200167.48442977641</v>
      </c>
      <c r="Y195" s="210">
        <v>1.9571627261141335E-2</v>
      </c>
    </row>
    <row r="196" spans="1:25" ht="15" customHeight="1" x14ac:dyDescent="0.25">
      <c r="A196" s="198" t="s">
        <v>95</v>
      </c>
      <c r="B196" s="207">
        <v>717</v>
      </c>
      <c r="C196" s="207">
        <v>380</v>
      </c>
      <c r="D196" s="217">
        <v>0.52998605299860535</v>
      </c>
      <c r="E196" s="218">
        <v>1.7753998804542739</v>
      </c>
      <c r="F196" s="218">
        <v>4.3657891666666675</v>
      </c>
      <c r="G196" s="207">
        <v>19908</v>
      </c>
      <c r="H196" s="207">
        <v>106033.98246025105</v>
      </c>
      <c r="I196" s="208">
        <v>1.1087735432236213E-2</v>
      </c>
      <c r="J196" s="207">
        <v>196</v>
      </c>
      <c r="K196" s="207">
        <v>58</v>
      </c>
      <c r="L196" s="217">
        <v>0.29591836734693877</v>
      </c>
      <c r="M196" s="218">
        <v>2.2528979591836737</v>
      </c>
      <c r="N196" s="218">
        <v>4.3347698333333344</v>
      </c>
      <c r="O196" s="207">
        <v>3017</v>
      </c>
      <c r="P196" s="207">
        <v>6796.9931428571435</v>
      </c>
      <c r="Q196" s="208">
        <v>1.023251610758035E-2</v>
      </c>
      <c r="R196" s="207">
        <v>913</v>
      </c>
      <c r="S196" s="207">
        <v>438</v>
      </c>
      <c r="T196" s="217">
        <v>0.47973713033953996</v>
      </c>
      <c r="U196" s="218">
        <v>2.0141489198189739</v>
      </c>
      <c r="V196" s="218">
        <v>4.3616815837138514</v>
      </c>
      <c r="W196" s="207">
        <v>22925</v>
      </c>
      <c r="X196" s="207">
        <v>112830.97560310819</v>
      </c>
      <c r="Y196" s="208">
        <v>1.1032190389491983E-2</v>
      </c>
    </row>
    <row r="197" spans="1:25" ht="15" customHeight="1" x14ac:dyDescent="0.25">
      <c r="A197" s="201" t="s">
        <v>221</v>
      </c>
      <c r="B197" s="209">
        <v>717</v>
      </c>
      <c r="C197" s="209">
        <v>380</v>
      </c>
      <c r="D197" s="219">
        <v>0.52998605299860535</v>
      </c>
      <c r="E197" s="220">
        <v>1.7753998804542739</v>
      </c>
      <c r="F197" s="220">
        <v>4.3657891666666675</v>
      </c>
      <c r="G197" s="209">
        <v>19908</v>
      </c>
      <c r="H197" s="209">
        <v>106033.98246025105</v>
      </c>
      <c r="I197" s="210">
        <v>1.1087735432236213E-2</v>
      </c>
      <c r="J197" s="209">
        <v>196</v>
      </c>
      <c r="K197" s="209">
        <v>58</v>
      </c>
      <c r="L197" s="219">
        <v>0.29591836734693877</v>
      </c>
      <c r="M197" s="220">
        <v>2.2528979591836737</v>
      </c>
      <c r="N197" s="220">
        <v>4.3347698333333344</v>
      </c>
      <c r="O197" s="209">
        <v>3017</v>
      </c>
      <c r="P197" s="209">
        <v>6796.9931428571435</v>
      </c>
      <c r="Q197" s="210">
        <v>1.023251610758035E-2</v>
      </c>
      <c r="R197" s="209">
        <v>913</v>
      </c>
      <c r="S197" s="209">
        <v>438</v>
      </c>
      <c r="T197" s="219">
        <v>0.47973713033953996</v>
      </c>
      <c r="U197" s="220">
        <v>2.0141489198189739</v>
      </c>
      <c r="V197" s="220">
        <v>4.3616815837138514</v>
      </c>
      <c r="W197" s="209">
        <v>22925</v>
      </c>
      <c r="X197" s="209">
        <v>112830.97560310819</v>
      </c>
      <c r="Y197" s="210">
        <v>1.1032190389491983E-2</v>
      </c>
    </row>
    <row r="198" spans="1:25" ht="15" customHeight="1" x14ac:dyDescent="0.25">
      <c r="A198" s="198" t="s">
        <v>96</v>
      </c>
      <c r="B198" s="207">
        <v>1647</v>
      </c>
      <c r="C198" s="207">
        <v>538</v>
      </c>
      <c r="D198" s="217">
        <v>0.32665452337583484</v>
      </c>
      <c r="E198" s="218">
        <v>2.1901962008847256</v>
      </c>
      <c r="F198" s="218">
        <v>4.2139090833333324</v>
      </c>
      <c r="G198" s="207">
        <v>27205</v>
      </c>
      <c r="H198" s="207">
        <v>178752.86293520688</v>
      </c>
      <c r="I198" s="208">
        <v>1.8691785463432309E-2</v>
      </c>
      <c r="J198" s="207">
        <v>199</v>
      </c>
      <c r="K198" s="207">
        <v>45</v>
      </c>
      <c r="L198" s="217">
        <v>0.22613065326633167</v>
      </c>
      <c r="M198" s="218">
        <v>2.3952648959081122</v>
      </c>
      <c r="N198" s="218">
        <v>4.1518515833333334</v>
      </c>
      <c r="O198" s="207">
        <v>2242</v>
      </c>
      <c r="P198" s="207">
        <v>5370.1838966259875</v>
      </c>
      <c r="Q198" s="208">
        <v>8.0845297424848306E-3</v>
      </c>
      <c r="R198" s="207">
        <v>1846</v>
      </c>
      <c r="S198" s="207">
        <v>583</v>
      </c>
      <c r="T198" s="217">
        <v>0.31581798483206935</v>
      </c>
      <c r="U198" s="218">
        <v>2.2927305483964187</v>
      </c>
      <c r="V198" s="218">
        <v>4.2091190533161802</v>
      </c>
      <c r="W198" s="207">
        <v>29447</v>
      </c>
      <c r="X198" s="207">
        <v>184123.04683183288</v>
      </c>
      <c r="Y198" s="208">
        <v>1.8002862218326619E-2</v>
      </c>
    </row>
    <row r="199" spans="1:25" ht="15" customHeight="1" x14ac:dyDescent="0.25">
      <c r="A199" s="201" t="s">
        <v>220</v>
      </c>
      <c r="B199" s="209">
        <v>1647</v>
      </c>
      <c r="C199" s="209">
        <v>538</v>
      </c>
      <c r="D199" s="219">
        <v>0.32665452337583484</v>
      </c>
      <c r="E199" s="220">
        <v>2.1901962008847256</v>
      </c>
      <c r="F199" s="220">
        <v>4.2139090833333324</v>
      </c>
      <c r="G199" s="209">
        <v>27205</v>
      </c>
      <c r="H199" s="209">
        <v>178752.86293520688</v>
      </c>
      <c r="I199" s="210">
        <v>1.8691785463432309E-2</v>
      </c>
      <c r="J199" s="209">
        <v>199</v>
      </c>
      <c r="K199" s="209">
        <v>45</v>
      </c>
      <c r="L199" s="219">
        <v>0.22613065326633167</v>
      </c>
      <c r="M199" s="220">
        <v>2.3952648959081122</v>
      </c>
      <c r="N199" s="220">
        <v>4.1518515833333334</v>
      </c>
      <c r="O199" s="209">
        <v>2242</v>
      </c>
      <c r="P199" s="209">
        <v>5370.1838966259875</v>
      </c>
      <c r="Q199" s="210">
        <v>8.0845297424848306E-3</v>
      </c>
      <c r="R199" s="209">
        <v>1846</v>
      </c>
      <c r="S199" s="209">
        <v>583</v>
      </c>
      <c r="T199" s="219">
        <v>0.31581798483206935</v>
      </c>
      <c r="U199" s="220">
        <v>2.2927305483964187</v>
      </c>
      <c r="V199" s="220">
        <v>4.2091190533161802</v>
      </c>
      <c r="W199" s="209">
        <v>29447</v>
      </c>
      <c r="X199" s="209">
        <v>184123.04683183288</v>
      </c>
      <c r="Y199" s="210">
        <v>1.8002862218326619E-2</v>
      </c>
    </row>
    <row r="200" spans="1:25" ht="15" customHeight="1" x14ac:dyDescent="0.25">
      <c r="A200" s="198" t="s">
        <v>97</v>
      </c>
      <c r="B200" s="207">
        <v>959</v>
      </c>
      <c r="C200" s="207">
        <v>490</v>
      </c>
      <c r="D200" s="217">
        <v>0.51094890510948909</v>
      </c>
      <c r="E200" s="218">
        <v>1.8142356621480709</v>
      </c>
      <c r="F200" s="218">
        <v>4.3935370000000002</v>
      </c>
      <c r="G200" s="207">
        <v>25834</v>
      </c>
      <c r="H200" s="207">
        <v>140606.8922877998</v>
      </c>
      <c r="I200" s="208">
        <v>1.4702946974763355E-2</v>
      </c>
      <c r="J200" s="207">
        <v>304</v>
      </c>
      <c r="K200" s="207">
        <v>91</v>
      </c>
      <c r="L200" s="217">
        <v>0.29934210526315791</v>
      </c>
      <c r="M200" s="218">
        <v>2.2459135338345866</v>
      </c>
      <c r="N200" s="218">
        <v>4.3470691666666657</v>
      </c>
      <c r="O200" s="207">
        <v>4747</v>
      </c>
      <c r="P200" s="207">
        <v>10661.351545112782</v>
      </c>
      <c r="Q200" s="208">
        <v>1.6050104674386317E-2</v>
      </c>
      <c r="R200" s="207">
        <v>1263</v>
      </c>
      <c r="S200" s="207">
        <v>581</v>
      </c>
      <c r="T200" s="217">
        <v>0.46001583531274742</v>
      </c>
      <c r="U200" s="218">
        <v>2.0300745979913288</v>
      </c>
      <c r="V200" s="218">
        <v>4.3862589056224897</v>
      </c>
      <c r="W200" s="207">
        <v>30581</v>
      </c>
      <c r="X200" s="207">
        <v>151268.24383291259</v>
      </c>
      <c r="Y200" s="208">
        <v>1.4790442579518177E-2</v>
      </c>
    </row>
    <row r="201" spans="1:25" ht="15" customHeight="1" x14ac:dyDescent="0.25">
      <c r="A201" s="201" t="s">
        <v>219</v>
      </c>
      <c r="B201" s="209">
        <v>959</v>
      </c>
      <c r="C201" s="209">
        <v>490</v>
      </c>
      <c r="D201" s="219">
        <v>0.51094890510948909</v>
      </c>
      <c r="E201" s="220">
        <v>1.8142356621480709</v>
      </c>
      <c r="F201" s="220">
        <v>4.3935370000000002</v>
      </c>
      <c r="G201" s="209">
        <v>25834</v>
      </c>
      <c r="H201" s="209">
        <v>140606.8922877998</v>
      </c>
      <c r="I201" s="210">
        <v>1.4702946974763355E-2</v>
      </c>
      <c r="J201" s="209">
        <v>304</v>
      </c>
      <c r="K201" s="209">
        <v>91</v>
      </c>
      <c r="L201" s="219">
        <v>0.29934210526315791</v>
      </c>
      <c r="M201" s="220">
        <v>2.2459135338345866</v>
      </c>
      <c r="N201" s="220">
        <v>4.3470691666666657</v>
      </c>
      <c r="O201" s="209">
        <v>4747</v>
      </c>
      <c r="P201" s="209">
        <v>10661.351545112782</v>
      </c>
      <c r="Q201" s="210">
        <v>1.6050104674386317E-2</v>
      </c>
      <c r="R201" s="209">
        <v>1263</v>
      </c>
      <c r="S201" s="209">
        <v>581</v>
      </c>
      <c r="T201" s="219">
        <v>0.46001583531274742</v>
      </c>
      <c r="U201" s="220">
        <v>2.0300745979913288</v>
      </c>
      <c r="V201" s="220">
        <v>4.3862589056224897</v>
      </c>
      <c r="W201" s="209">
        <v>30581</v>
      </c>
      <c r="X201" s="209">
        <v>151268.24383291259</v>
      </c>
      <c r="Y201" s="210">
        <v>1.4790442579518177E-2</v>
      </c>
    </row>
    <row r="202" spans="1:25" ht="15" customHeight="1" x14ac:dyDescent="0.25">
      <c r="A202" s="198" t="s">
        <v>98</v>
      </c>
      <c r="B202" s="207">
        <v>2349</v>
      </c>
      <c r="C202" s="207">
        <v>1296</v>
      </c>
      <c r="D202" s="217">
        <v>0.55172413793103448</v>
      </c>
      <c r="E202" s="218">
        <v>1.7310541871921183</v>
      </c>
      <c r="F202" s="218">
        <v>4.3139785000000002</v>
      </c>
      <c r="G202" s="207">
        <v>67091</v>
      </c>
      <c r="H202" s="207">
        <v>348414.46941871924</v>
      </c>
      <c r="I202" s="208">
        <v>3.6432918655355459E-2</v>
      </c>
      <c r="J202" s="207">
        <v>583</v>
      </c>
      <c r="K202" s="207">
        <v>194</v>
      </c>
      <c r="L202" s="217">
        <v>0.33276157804459694</v>
      </c>
      <c r="M202" s="218">
        <v>2.1777378093604507</v>
      </c>
      <c r="N202" s="218">
        <v>4.2955321666666659</v>
      </c>
      <c r="O202" s="207">
        <v>10000</v>
      </c>
      <c r="P202" s="207">
        <v>21777.378093604508</v>
      </c>
      <c r="Q202" s="208">
        <v>3.2784698680747085E-2</v>
      </c>
      <c r="R202" s="207">
        <v>2932</v>
      </c>
      <c r="S202" s="207">
        <v>1490</v>
      </c>
      <c r="T202" s="217">
        <v>0.50818553888130968</v>
      </c>
      <c r="U202" s="218">
        <v>1.9543959982762846</v>
      </c>
      <c r="V202" s="218">
        <v>4.3115767626398211</v>
      </c>
      <c r="W202" s="207">
        <v>77091</v>
      </c>
      <c r="X202" s="207">
        <v>370191.84751232376</v>
      </c>
      <c r="Y202" s="208">
        <v>3.6195972963662254E-2</v>
      </c>
    </row>
    <row r="203" spans="1:25" ht="15" customHeight="1" x14ac:dyDescent="0.25">
      <c r="A203" s="201" t="s">
        <v>218</v>
      </c>
      <c r="B203" s="209">
        <v>2349</v>
      </c>
      <c r="C203" s="209">
        <v>1296</v>
      </c>
      <c r="D203" s="219">
        <v>0.55172413793103448</v>
      </c>
      <c r="E203" s="220">
        <v>1.7310541871921183</v>
      </c>
      <c r="F203" s="220">
        <v>4.3139785000000002</v>
      </c>
      <c r="G203" s="209">
        <v>67091</v>
      </c>
      <c r="H203" s="209">
        <v>348414.46941871924</v>
      </c>
      <c r="I203" s="210">
        <v>3.6432918655355459E-2</v>
      </c>
      <c r="J203" s="209">
        <v>583</v>
      </c>
      <c r="K203" s="209">
        <v>194</v>
      </c>
      <c r="L203" s="219">
        <v>0.33276157804459694</v>
      </c>
      <c r="M203" s="220">
        <v>2.1777378093604507</v>
      </c>
      <c r="N203" s="220">
        <v>4.2955321666666659</v>
      </c>
      <c r="O203" s="209">
        <v>10000</v>
      </c>
      <c r="P203" s="209">
        <v>21777.378093604508</v>
      </c>
      <c r="Q203" s="210">
        <v>3.2784698680747085E-2</v>
      </c>
      <c r="R203" s="209">
        <v>2932</v>
      </c>
      <c r="S203" s="209">
        <v>1490</v>
      </c>
      <c r="T203" s="219">
        <v>0.50818553888130968</v>
      </c>
      <c r="U203" s="220">
        <v>1.9543959982762846</v>
      </c>
      <c r="V203" s="220">
        <v>4.3115767626398211</v>
      </c>
      <c r="W203" s="209">
        <v>77091</v>
      </c>
      <c r="X203" s="209">
        <v>370191.84751232376</v>
      </c>
      <c r="Y203" s="210">
        <v>3.6195972963662254E-2</v>
      </c>
    </row>
    <row r="204" spans="1:25" ht="15" customHeight="1" x14ac:dyDescent="0.25">
      <c r="A204" s="198" t="s">
        <v>99</v>
      </c>
      <c r="B204" s="207">
        <v>1929</v>
      </c>
      <c r="C204" s="207">
        <v>1037</v>
      </c>
      <c r="D204" s="217">
        <v>0.53758424053913945</v>
      </c>
      <c r="E204" s="218">
        <v>1.759899577871584</v>
      </c>
      <c r="F204" s="218">
        <v>4.3203949166666664</v>
      </c>
      <c r="G204" s="207">
        <v>53763</v>
      </c>
      <c r="H204" s="207">
        <v>283852.44301532989</v>
      </c>
      <c r="I204" s="208">
        <v>2.968181253710531E-2</v>
      </c>
      <c r="J204" s="207">
        <v>328</v>
      </c>
      <c r="K204" s="207">
        <v>103</v>
      </c>
      <c r="L204" s="217">
        <v>0.31402439024390244</v>
      </c>
      <c r="M204" s="218">
        <v>2.2159616724738678</v>
      </c>
      <c r="N204" s="218">
        <v>4.2977340833333333</v>
      </c>
      <c r="O204" s="207">
        <v>5312</v>
      </c>
      <c r="P204" s="207">
        <v>11771.188404181186</v>
      </c>
      <c r="Q204" s="208">
        <v>1.772090576223766E-2</v>
      </c>
      <c r="R204" s="207">
        <v>2257</v>
      </c>
      <c r="S204" s="207">
        <v>1140</v>
      </c>
      <c r="T204" s="217">
        <v>0.50509525919361986</v>
      </c>
      <c r="U204" s="218">
        <v>1.987930625172726</v>
      </c>
      <c r="V204" s="218">
        <v>4.3183474904970751</v>
      </c>
      <c r="W204" s="207">
        <v>59075</v>
      </c>
      <c r="X204" s="207">
        <v>295623.63141951105</v>
      </c>
      <c r="Y204" s="208">
        <v>2.8904971954910649E-2</v>
      </c>
    </row>
    <row r="205" spans="1:25" ht="15" customHeight="1" x14ac:dyDescent="0.25">
      <c r="A205" s="201" t="s">
        <v>217</v>
      </c>
      <c r="B205" s="209">
        <v>1929</v>
      </c>
      <c r="C205" s="209">
        <v>1037</v>
      </c>
      <c r="D205" s="219">
        <v>0.53758424053913945</v>
      </c>
      <c r="E205" s="220">
        <v>1.759899577871584</v>
      </c>
      <c r="F205" s="220">
        <v>4.3203949166666664</v>
      </c>
      <c r="G205" s="209">
        <v>53763</v>
      </c>
      <c r="H205" s="209">
        <v>283852.44301532989</v>
      </c>
      <c r="I205" s="210">
        <v>2.968181253710531E-2</v>
      </c>
      <c r="J205" s="209">
        <v>328</v>
      </c>
      <c r="K205" s="209">
        <v>103</v>
      </c>
      <c r="L205" s="219">
        <v>0.31402439024390244</v>
      </c>
      <c r="M205" s="220">
        <v>2.2159616724738678</v>
      </c>
      <c r="N205" s="220">
        <v>4.2977340833333333</v>
      </c>
      <c r="O205" s="209">
        <v>5312</v>
      </c>
      <c r="P205" s="209">
        <v>11771.188404181186</v>
      </c>
      <c r="Q205" s="210">
        <v>1.772090576223766E-2</v>
      </c>
      <c r="R205" s="209">
        <v>2257</v>
      </c>
      <c r="S205" s="209">
        <v>1140</v>
      </c>
      <c r="T205" s="219">
        <v>0.50509525919361986</v>
      </c>
      <c r="U205" s="220">
        <v>1.987930625172726</v>
      </c>
      <c r="V205" s="220">
        <v>4.3183474904970751</v>
      </c>
      <c r="W205" s="209">
        <v>59075</v>
      </c>
      <c r="X205" s="209">
        <v>295623.63141951105</v>
      </c>
      <c r="Y205" s="210">
        <v>2.8904971954910649E-2</v>
      </c>
    </row>
    <row r="206" spans="1:25" ht="15" customHeight="1" x14ac:dyDescent="0.25">
      <c r="A206" s="198" t="s">
        <v>100</v>
      </c>
      <c r="B206" s="207">
        <v>844</v>
      </c>
      <c r="C206" s="207">
        <v>432</v>
      </c>
      <c r="D206" s="217">
        <v>0.51184834123222744</v>
      </c>
      <c r="E206" s="218">
        <v>1.8124008124576847</v>
      </c>
      <c r="F206" s="218">
        <v>4.4944327777777771</v>
      </c>
      <c r="G206" s="207">
        <v>22856</v>
      </c>
      <c r="H206" s="207">
        <v>124272.69890859853</v>
      </c>
      <c r="I206" s="208">
        <v>1.2994917053738172E-2</v>
      </c>
      <c r="J206" s="207">
        <v>216</v>
      </c>
      <c r="K206" s="207">
        <v>71</v>
      </c>
      <c r="L206" s="217">
        <v>0.32870370370370372</v>
      </c>
      <c r="M206" s="218">
        <v>2.1860158730158727</v>
      </c>
      <c r="N206" s="218">
        <v>4.3814548333333327</v>
      </c>
      <c r="O206" s="207">
        <v>3733</v>
      </c>
      <c r="P206" s="207">
        <v>8160.3972539682527</v>
      </c>
      <c r="Q206" s="208">
        <v>1.2285049372638392E-2</v>
      </c>
      <c r="R206" s="207">
        <v>1060</v>
      </c>
      <c r="S206" s="207">
        <v>503</v>
      </c>
      <c r="T206" s="217">
        <v>0.47452830188679246</v>
      </c>
      <c r="U206" s="218">
        <v>1.9992083427367788</v>
      </c>
      <c r="V206" s="218">
        <v>4.4832764021789524</v>
      </c>
      <c r="W206" s="207">
        <v>26589</v>
      </c>
      <c r="X206" s="207">
        <v>132433.09616256677</v>
      </c>
      <c r="Y206" s="208">
        <v>1.2948812353396767E-2</v>
      </c>
    </row>
    <row r="207" spans="1:25" ht="15" customHeight="1" x14ac:dyDescent="0.25">
      <c r="A207" s="201" t="s">
        <v>216</v>
      </c>
      <c r="B207" s="209">
        <v>844</v>
      </c>
      <c r="C207" s="209">
        <v>432</v>
      </c>
      <c r="D207" s="219">
        <v>0.51184834123222744</v>
      </c>
      <c r="E207" s="220">
        <v>1.8124008124576847</v>
      </c>
      <c r="F207" s="220">
        <v>4.4944327777777771</v>
      </c>
      <c r="G207" s="209">
        <v>22856</v>
      </c>
      <c r="H207" s="209">
        <v>124272.69890859853</v>
      </c>
      <c r="I207" s="210">
        <v>1.2994917053738172E-2</v>
      </c>
      <c r="J207" s="209">
        <v>216</v>
      </c>
      <c r="K207" s="209">
        <v>71</v>
      </c>
      <c r="L207" s="219">
        <v>0.32870370370370372</v>
      </c>
      <c r="M207" s="220">
        <v>2.1860158730158727</v>
      </c>
      <c r="N207" s="220">
        <v>4.3814548333333327</v>
      </c>
      <c r="O207" s="209">
        <v>3733</v>
      </c>
      <c r="P207" s="209">
        <v>8160.3972539682527</v>
      </c>
      <c r="Q207" s="210">
        <v>1.2285049372638392E-2</v>
      </c>
      <c r="R207" s="209">
        <v>1060</v>
      </c>
      <c r="S207" s="209">
        <v>503</v>
      </c>
      <c r="T207" s="219">
        <v>0.47452830188679246</v>
      </c>
      <c r="U207" s="220">
        <v>1.9992083427367788</v>
      </c>
      <c r="V207" s="220">
        <v>4.4832764021789524</v>
      </c>
      <c r="W207" s="209">
        <v>26589</v>
      </c>
      <c r="X207" s="209">
        <v>132433.09616256677</v>
      </c>
      <c r="Y207" s="210">
        <v>1.2948812353396767E-2</v>
      </c>
    </row>
    <row r="208" spans="1:25" ht="15" customHeight="1" x14ac:dyDescent="0.25">
      <c r="A208" s="198" t="s">
        <v>101</v>
      </c>
      <c r="B208" s="207">
        <v>10</v>
      </c>
      <c r="C208" s="207">
        <v>3</v>
      </c>
      <c r="D208" s="217">
        <v>0.3</v>
      </c>
      <c r="E208" s="218">
        <v>2.2445714285714287</v>
      </c>
      <c r="F208" s="218">
        <v>3.4722220000000004</v>
      </c>
      <c r="G208" s="207">
        <v>125</v>
      </c>
      <c r="H208" s="207">
        <v>841.71428571428578</v>
      </c>
      <c r="I208" s="208">
        <v>8.8016172674003194E-5</v>
      </c>
      <c r="J208" s="223"/>
      <c r="K208" s="223"/>
      <c r="L208" s="223"/>
      <c r="M208" s="223"/>
      <c r="N208" s="223"/>
      <c r="O208" s="223"/>
      <c r="P208" s="223"/>
      <c r="Q208" s="223"/>
      <c r="R208" s="207">
        <v>10</v>
      </c>
      <c r="S208" s="207">
        <v>3</v>
      </c>
      <c r="T208" s="217">
        <v>0.3</v>
      </c>
      <c r="U208" s="218">
        <v>2.2445714285714287</v>
      </c>
      <c r="V208" s="218">
        <v>3.4722220000000004</v>
      </c>
      <c r="W208" s="207">
        <v>125</v>
      </c>
      <c r="X208" s="207">
        <v>841.71428571428578</v>
      </c>
      <c r="Y208" s="208">
        <v>8.2299671733933403E-5</v>
      </c>
    </row>
    <row r="209" spans="1:25" ht="15" customHeight="1" x14ac:dyDescent="0.25">
      <c r="A209" s="201" t="s">
        <v>213</v>
      </c>
      <c r="B209" s="209">
        <v>10</v>
      </c>
      <c r="C209" s="209">
        <v>3</v>
      </c>
      <c r="D209" s="219">
        <v>0.3</v>
      </c>
      <c r="E209" s="220">
        <v>2.2445714285714287</v>
      </c>
      <c r="F209" s="220">
        <v>3.4722220000000004</v>
      </c>
      <c r="G209" s="209">
        <v>125</v>
      </c>
      <c r="H209" s="209">
        <v>841.71428571428578</v>
      </c>
      <c r="I209" s="210">
        <v>8.8016172674003194E-5</v>
      </c>
      <c r="J209" s="224"/>
      <c r="K209" s="224"/>
      <c r="L209" s="224"/>
      <c r="M209" s="224"/>
      <c r="N209" s="224"/>
      <c r="O209" s="224"/>
      <c r="P209" s="224"/>
      <c r="Q209" s="224"/>
      <c r="R209" s="209">
        <v>10</v>
      </c>
      <c r="S209" s="209">
        <v>3</v>
      </c>
      <c r="T209" s="219">
        <v>0.3</v>
      </c>
      <c r="U209" s="220">
        <v>2.2445714285714287</v>
      </c>
      <c r="V209" s="220">
        <v>3.4722220000000004</v>
      </c>
      <c r="W209" s="209">
        <v>125</v>
      </c>
      <c r="X209" s="209">
        <v>841.71428571428578</v>
      </c>
      <c r="Y209" s="210">
        <v>8.2299671733933403E-5</v>
      </c>
    </row>
    <row r="210" spans="1:25" ht="15" customHeight="1" x14ac:dyDescent="0.25">
      <c r="A210" s="198" t="s">
        <v>130</v>
      </c>
      <c r="B210" s="207">
        <v>14</v>
      </c>
      <c r="C210" s="207">
        <v>12</v>
      </c>
      <c r="D210" s="217">
        <v>0.8571428571428571</v>
      </c>
      <c r="E210" s="218">
        <v>1.1666666666666667</v>
      </c>
      <c r="F210" s="218">
        <v>4.6111108333333339</v>
      </c>
      <c r="G210" s="207">
        <v>664</v>
      </c>
      <c r="H210" s="207">
        <v>2324</v>
      </c>
      <c r="I210" s="208">
        <v>2.4301546114404004E-4</v>
      </c>
      <c r="J210" s="223"/>
      <c r="K210" s="223"/>
      <c r="L210" s="223"/>
      <c r="M210" s="223"/>
      <c r="N210" s="223"/>
      <c r="O210" s="223"/>
      <c r="P210" s="223"/>
      <c r="Q210" s="223"/>
      <c r="R210" s="207">
        <v>14</v>
      </c>
      <c r="S210" s="207">
        <v>12</v>
      </c>
      <c r="T210" s="217">
        <v>0.8571428571428571</v>
      </c>
      <c r="U210" s="218">
        <v>1.1666666666666667</v>
      </c>
      <c r="V210" s="218">
        <v>4.6111108333333339</v>
      </c>
      <c r="W210" s="207">
        <v>664</v>
      </c>
      <c r="X210" s="207">
        <v>2324</v>
      </c>
      <c r="Y210" s="208">
        <v>2.2723201964827366E-4</v>
      </c>
    </row>
    <row r="211" spans="1:25" ht="15" customHeight="1" x14ac:dyDescent="0.25">
      <c r="A211" s="201" t="s">
        <v>212</v>
      </c>
      <c r="B211" s="209">
        <v>14</v>
      </c>
      <c r="C211" s="209">
        <v>12</v>
      </c>
      <c r="D211" s="219">
        <v>0.8571428571428571</v>
      </c>
      <c r="E211" s="220">
        <v>1.1666666666666667</v>
      </c>
      <c r="F211" s="220">
        <v>4.6111108333333339</v>
      </c>
      <c r="G211" s="209">
        <v>664</v>
      </c>
      <c r="H211" s="209">
        <v>2324</v>
      </c>
      <c r="I211" s="210">
        <v>2.4301546114404004E-4</v>
      </c>
      <c r="J211" s="224"/>
      <c r="K211" s="224"/>
      <c r="L211" s="224"/>
      <c r="M211" s="224"/>
      <c r="N211" s="224"/>
      <c r="O211" s="224"/>
      <c r="P211" s="224"/>
      <c r="Q211" s="224"/>
      <c r="R211" s="209">
        <v>14</v>
      </c>
      <c r="S211" s="209">
        <v>12</v>
      </c>
      <c r="T211" s="219">
        <v>0.8571428571428571</v>
      </c>
      <c r="U211" s="220">
        <v>1.1666666666666667</v>
      </c>
      <c r="V211" s="220">
        <v>4.6111108333333339</v>
      </c>
      <c r="W211" s="209">
        <v>664</v>
      </c>
      <c r="X211" s="209">
        <v>2324</v>
      </c>
      <c r="Y211" s="210">
        <v>2.2723201964827366E-4</v>
      </c>
    </row>
    <row r="212" spans="1:25" ht="15" customHeight="1" x14ac:dyDescent="0.25">
      <c r="A212" s="198" t="s">
        <v>468</v>
      </c>
      <c r="B212" s="207">
        <v>36</v>
      </c>
      <c r="C212" s="207">
        <v>21</v>
      </c>
      <c r="D212" s="217">
        <v>0.58333333333333337</v>
      </c>
      <c r="E212" s="218">
        <v>1.6665714285714286</v>
      </c>
      <c r="F212" s="218">
        <v>4.488094666666667</v>
      </c>
      <c r="G212" s="207">
        <v>1131</v>
      </c>
      <c r="H212" s="207">
        <v>5654.6768571428574</v>
      </c>
      <c r="I212" s="208">
        <v>5.9129686061062936E-4</v>
      </c>
      <c r="J212" s="223"/>
      <c r="K212" s="223"/>
      <c r="L212" s="223"/>
      <c r="M212" s="223"/>
      <c r="N212" s="223"/>
      <c r="O212" s="223"/>
      <c r="P212" s="223"/>
      <c r="Q212" s="223"/>
      <c r="R212" s="207">
        <v>36</v>
      </c>
      <c r="S212" s="207">
        <v>21</v>
      </c>
      <c r="T212" s="217">
        <v>0.58333333333333337</v>
      </c>
      <c r="U212" s="218">
        <v>1.6665714285714286</v>
      </c>
      <c r="V212" s="218">
        <v>4.488094666666667</v>
      </c>
      <c r="W212" s="207">
        <v>1131</v>
      </c>
      <c r="X212" s="207">
        <v>5654.6768571428574</v>
      </c>
      <c r="Y212" s="208">
        <v>5.5289313369488995E-4</v>
      </c>
    </row>
    <row r="213" spans="1:25" ht="15" customHeight="1" x14ac:dyDescent="0.25">
      <c r="A213" s="201" t="s">
        <v>211</v>
      </c>
      <c r="B213" s="209">
        <v>36</v>
      </c>
      <c r="C213" s="209">
        <v>21</v>
      </c>
      <c r="D213" s="219">
        <v>0.58333333333333337</v>
      </c>
      <c r="E213" s="220">
        <v>1.6665714285714286</v>
      </c>
      <c r="F213" s="220">
        <v>4.488094666666667</v>
      </c>
      <c r="G213" s="209">
        <v>1131</v>
      </c>
      <c r="H213" s="209">
        <v>5654.6768571428574</v>
      </c>
      <c r="I213" s="210">
        <v>5.9129686061062936E-4</v>
      </c>
      <c r="J213" s="224"/>
      <c r="K213" s="224"/>
      <c r="L213" s="224"/>
      <c r="M213" s="224"/>
      <c r="N213" s="224"/>
      <c r="O213" s="224"/>
      <c r="P213" s="224"/>
      <c r="Q213" s="224"/>
      <c r="R213" s="209">
        <v>36</v>
      </c>
      <c r="S213" s="209">
        <v>21</v>
      </c>
      <c r="T213" s="219">
        <v>0.58333333333333337</v>
      </c>
      <c r="U213" s="220">
        <v>1.6665714285714286</v>
      </c>
      <c r="V213" s="220">
        <v>4.488094666666667</v>
      </c>
      <c r="W213" s="209">
        <v>1131</v>
      </c>
      <c r="X213" s="209">
        <v>5654.6768571428574</v>
      </c>
      <c r="Y213" s="210">
        <v>5.5289313369488995E-4</v>
      </c>
    </row>
    <row r="214" spans="1:25" ht="15" customHeight="1" x14ac:dyDescent="0.25">
      <c r="A214" s="198" t="s">
        <v>103</v>
      </c>
      <c r="B214" s="207">
        <v>187</v>
      </c>
      <c r="C214" s="207">
        <v>100</v>
      </c>
      <c r="D214" s="217">
        <v>0.53475935828877008</v>
      </c>
      <c r="E214" s="218">
        <v>1.7656623376623377</v>
      </c>
      <c r="F214" s="218">
        <v>4.2741666666666669</v>
      </c>
      <c r="G214" s="207">
        <v>5129</v>
      </c>
      <c r="H214" s="207">
        <v>27168.246389610391</v>
      </c>
      <c r="I214" s="208">
        <v>2.8409225149940058E-3</v>
      </c>
      <c r="J214" s="207">
        <v>31</v>
      </c>
      <c r="K214" s="207">
        <v>9</v>
      </c>
      <c r="L214" s="217">
        <v>0.29032258064516131</v>
      </c>
      <c r="M214" s="218">
        <v>2.2643133640552997</v>
      </c>
      <c r="N214" s="218">
        <v>4.5092586666666676</v>
      </c>
      <c r="O214" s="207">
        <v>487</v>
      </c>
      <c r="P214" s="207">
        <v>1102.720608294931</v>
      </c>
      <c r="Q214" s="208">
        <v>1.6600879461525502E-3</v>
      </c>
      <c r="R214" s="207">
        <v>218</v>
      </c>
      <c r="S214" s="207">
        <v>109</v>
      </c>
      <c r="T214" s="217">
        <v>0.5</v>
      </c>
      <c r="U214" s="218">
        <v>2.0149878508588186</v>
      </c>
      <c r="V214" s="218">
        <v>4.2935779327217114</v>
      </c>
      <c r="W214" s="207">
        <v>5616</v>
      </c>
      <c r="X214" s="207">
        <v>28270.966997905321</v>
      </c>
      <c r="Y214" s="208">
        <v>2.7642293151220821E-3</v>
      </c>
    </row>
    <row r="215" spans="1:25" ht="15" customHeight="1" x14ac:dyDescent="0.25">
      <c r="A215" s="201" t="s">
        <v>210</v>
      </c>
      <c r="B215" s="209">
        <v>187</v>
      </c>
      <c r="C215" s="209">
        <v>100</v>
      </c>
      <c r="D215" s="219">
        <v>0.53475935828877008</v>
      </c>
      <c r="E215" s="220">
        <v>1.7656623376623377</v>
      </c>
      <c r="F215" s="220">
        <v>4.2741666666666669</v>
      </c>
      <c r="G215" s="209">
        <v>5129</v>
      </c>
      <c r="H215" s="209">
        <v>27168.246389610391</v>
      </c>
      <c r="I215" s="210">
        <v>2.8409225149940058E-3</v>
      </c>
      <c r="J215" s="209">
        <v>31</v>
      </c>
      <c r="K215" s="209">
        <v>9</v>
      </c>
      <c r="L215" s="219">
        <v>0.29032258064516131</v>
      </c>
      <c r="M215" s="220">
        <v>2.2643133640552997</v>
      </c>
      <c r="N215" s="220">
        <v>4.5092586666666676</v>
      </c>
      <c r="O215" s="209">
        <v>487</v>
      </c>
      <c r="P215" s="209">
        <v>1102.720608294931</v>
      </c>
      <c r="Q215" s="210">
        <v>1.6600879461525502E-3</v>
      </c>
      <c r="R215" s="209">
        <v>218</v>
      </c>
      <c r="S215" s="209">
        <v>109</v>
      </c>
      <c r="T215" s="219">
        <v>0.5</v>
      </c>
      <c r="U215" s="220">
        <v>2.0149878508588186</v>
      </c>
      <c r="V215" s="220">
        <v>4.2935779327217114</v>
      </c>
      <c r="W215" s="209">
        <v>5616</v>
      </c>
      <c r="X215" s="209">
        <v>28270.966997905321</v>
      </c>
      <c r="Y215" s="210">
        <v>2.7642293151220821E-3</v>
      </c>
    </row>
    <row r="216" spans="1:25" ht="15" customHeight="1" x14ac:dyDescent="0.25">
      <c r="A216" s="198" t="s">
        <v>104</v>
      </c>
      <c r="B216" s="207">
        <v>189</v>
      </c>
      <c r="C216" s="207">
        <v>146</v>
      </c>
      <c r="D216" s="217">
        <v>0.77248677248677244</v>
      </c>
      <c r="E216" s="218">
        <v>1.2945205479452055</v>
      </c>
      <c r="F216" s="218">
        <v>4.3333328333333334</v>
      </c>
      <c r="G216" s="207">
        <v>7592</v>
      </c>
      <c r="H216" s="207">
        <v>29484</v>
      </c>
      <c r="I216" s="208">
        <v>3.0830756696948692E-3</v>
      </c>
      <c r="J216" s="207">
        <v>10</v>
      </c>
      <c r="K216" s="207">
        <v>4</v>
      </c>
      <c r="L216" s="217">
        <v>0.4</v>
      </c>
      <c r="M216" s="218">
        <v>2.0405714285714285</v>
      </c>
      <c r="N216" s="218">
        <v>4.479166666666667</v>
      </c>
      <c r="O216" s="207">
        <v>215</v>
      </c>
      <c r="P216" s="207">
        <v>438.72285714285715</v>
      </c>
      <c r="Q216" s="208">
        <v>6.6047421383610353E-4</v>
      </c>
      <c r="R216" s="207">
        <v>199</v>
      </c>
      <c r="S216" s="207">
        <v>150</v>
      </c>
      <c r="T216" s="217">
        <v>0.75376884422110557</v>
      </c>
      <c r="U216" s="218">
        <v>1.667545988258317</v>
      </c>
      <c r="V216" s="218">
        <v>4.3372217355555565</v>
      </c>
      <c r="W216" s="207">
        <v>7807</v>
      </c>
      <c r="X216" s="207">
        <v>29922.722857142857</v>
      </c>
      <c r="Y216" s="208">
        <v>2.9257318193649457E-3</v>
      </c>
    </row>
    <row r="217" spans="1:25" ht="15" customHeight="1" x14ac:dyDescent="0.25">
      <c r="A217" s="201" t="s">
        <v>209</v>
      </c>
      <c r="B217" s="209">
        <v>189</v>
      </c>
      <c r="C217" s="209">
        <v>146</v>
      </c>
      <c r="D217" s="219">
        <v>0.77248677248677244</v>
      </c>
      <c r="E217" s="220">
        <v>1.2945205479452055</v>
      </c>
      <c r="F217" s="220">
        <v>4.3333328333333334</v>
      </c>
      <c r="G217" s="209">
        <v>7592</v>
      </c>
      <c r="H217" s="209">
        <v>29484</v>
      </c>
      <c r="I217" s="210">
        <v>3.0830756696948692E-3</v>
      </c>
      <c r="J217" s="209">
        <v>10</v>
      </c>
      <c r="K217" s="209">
        <v>4</v>
      </c>
      <c r="L217" s="219">
        <v>0.4</v>
      </c>
      <c r="M217" s="220">
        <v>2.0405714285714285</v>
      </c>
      <c r="N217" s="220">
        <v>4.479166666666667</v>
      </c>
      <c r="O217" s="209">
        <v>215</v>
      </c>
      <c r="P217" s="209">
        <v>438.72285714285715</v>
      </c>
      <c r="Q217" s="210">
        <v>6.6047421383610353E-4</v>
      </c>
      <c r="R217" s="209">
        <v>199</v>
      </c>
      <c r="S217" s="209">
        <v>150</v>
      </c>
      <c r="T217" s="219">
        <v>0.75376884422110557</v>
      </c>
      <c r="U217" s="220">
        <v>1.667545988258317</v>
      </c>
      <c r="V217" s="220">
        <v>4.3372217355555565</v>
      </c>
      <c r="W217" s="209">
        <v>7807</v>
      </c>
      <c r="X217" s="209">
        <v>29922.722857142857</v>
      </c>
      <c r="Y217" s="210">
        <v>2.9257318193649457E-3</v>
      </c>
    </row>
    <row r="218" spans="1:25" ht="15" customHeight="1" x14ac:dyDescent="0.25">
      <c r="A218" s="198" t="s">
        <v>434</v>
      </c>
      <c r="B218" s="207">
        <v>609</v>
      </c>
      <c r="C218" s="207">
        <v>364</v>
      </c>
      <c r="D218" s="217">
        <v>0.5977011494252874</v>
      </c>
      <c r="E218" s="218">
        <v>1.6372610837438424</v>
      </c>
      <c r="F218" s="218">
        <v>4.481226583333334</v>
      </c>
      <c r="G218" s="207">
        <v>19574</v>
      </c>
      <c r="H218" s="207">
        <v>96143.245359605906</v>
      </c>
      <c r="I218" s="208">
        <v>1.0053483264608096E-2</v>
      </c>
      <c r="J218" s="207">
        <v>255</v>
      </c>
      <c r="K218" s="207">
        <v>136</v>
      </c>
      <c r="L218" s="217">
        <v>0.53333333333333333</v>
      </c>
      <c r="M218" s="218">
        <v>1.7685714285714285</v>
      </c>
      <c r="N218" s="218">
        <v>4.2904405833333339</v>
      </c>
      <c r="O218" s="207">
        <v>7002</v>
      </c>
      <c r="P218" s="207">
        <v>12383.537142857142</v>
      </c>
      <c r="Q218" s="208">
        <v>1.864276461956826E-2</v>
      </c>
      <c r="R218" s="207">
        <v>864</v>
      </c>
      <c r="S218" s="207">
        <v>500</v>
      </c>
      <c r="T218" s="217">
        <v>0.57870370370370372</v>
      </c>
      <c r="U218" s="218">
        <v>1.7029162561576354</v>
      </c>
      <c r="V218" s="218">
        <v>4.4293327913333327</v>
      </c>
      <c r="W218" s="207">
        <v>26576</v>
      </c>
      <c r="X218" s="207">
        <v>108526.78250246304</v>
      </c>
      <c r="Y218" s="208">
        <v>1.061134250170551E-2</v>
      </c>
    </row>
    <row r="219" spans="1:25" ht="15" customHeight="1" x14ac:dyDescent="0.25">
      <c r="A219" s="201" t="s">
        <v>208</v>
      </c>
      <c r="B219" s="209">
        <v>609</v>
      </c>
      <c r="C219" s="209">
        <v>364</v>
      </c>
      <c r="D219" s="219">
        <v>0.5977011494252874</v>
      </c>
      <c r="E219" s="220">
        <v>1.6372610837438424</v>
      </c>
      <c r="F219" s="220">
        <v>4.481226583333334</v>
      </c>
      <c r="G219" s="209">
        <v>19574</v>
      </c>
      <c r="H219" s="209">
        <v>96143.245359605906</v>
      </c>
      <c r="I219" s="210">
        <v>1.0053483264608096E-2</v>
      </c>
      <c r="J219" s="209">
        <v>255</v>
      </c>
      <c r="K219" s="209">
        <v>136</v>
      </c>
      <c r="L219" s="219">
        <v>0.53333333333333333</v>
      </c>
      <c r="M219" s="220">
        <v>1.7685714285714285</v>
      </c>
      <c r="N219" s="220">
        <v>4.2904405833333339</v>
      </c>
      <c r="O219" s="209">
        <v>7002</v>
      </c>
      <c r="P219" s="209">
        <v>12383.537142857142</v>
      </c>
      <c r="Q219" s="210">
        <v>1.864276461956826E-2</v>
      </c>
      <c r="R219" s="209">
        <v>864</v>
      </c>
      <c r="S219" s="209">
        <v>500</v>
      </c>
      <c r="T219" s="219">
        <v>0.57870370370370372</v>
      </c>
      <c r="U219" s="220">
        <v>1.7029162561576354</v>
      </c>
      <c r="V219" s="220">
        <v>4.4293327913333327</v>
      </c>
      <c r="W219" s="209">
        <v>26576</v>
      </c>
      <c r="X219" s="209">
        <v>108526.78250246304</v>
      </c>
      <c r="Y219" s="210">
        <v>1.061134250170551E-2</v>
      </c>
    </row>
    <row r="220" spans="1:25" ht="15" customHeight="1" x14ac:dyDescent="0.25">
      <c r="A220" s="198" t="s">
        <v>105</v>
      </c>
      <c r="B220" s="207">
        <v>159</v>
      </c>
      <c r="C220" s="207">
        <v>111</v>
      </c>
      <c r="D220" s="217">
        <v>0.69811320754716977</v>
      </c>
      <c r="E220" s="218">
        <v>1.432420485175202</v>
      </c>
      <c r="F220" s="218">
        <v>4.1171167500000001</v>
      </c>
      <c r="G220" s="207">
        <v>5484</v>
      </c>
      <c r="H220" s="207">
        <v>23566.181822102422</v>
      </c>
      <c r="I220" s="208">
        <v>2.4642627120923036E-3</v>
      </c>
      <c r="J220" s="207">
        <v>43</v>
      </c>
      <c r="K220" s="207">
        <v>21</v>
      </c>
      <c r="L220" s="217">
        <v>0.48837209302325579</v>
      </c>
      <c r="M220" s="218">
        <v>1.8602923588039866</v>
      </c>
      <c r="N220" s="218">
        <v>4.3333329166666674</v>
      </c>
      <c r="O220" s="207">
        <v>1092</v>
      </c>
      <c r="P220" s="207">
        <v>2031.4392558139534</v>
      </c>
      <c r="Q220" s="208">
        <v>3.0582250812672628E-3</v>
      </c>
      <c r="R220" s="207">
        <v>202</v>
      </c>
      <c r="S220" s="207">
        <v>132</v>
      </c>
      <c r="T220" s="217">
        <v>0.65346534653465349</v>
      </c>
      <c r="U220" s="218">
        <v>1.6463564219895943</v>
      </c>
      <c r="V220" s="218">
        <v>4.1515147765151514</v>
      </c>
      <c r="W220" s="207">
        <v>6576</v>
      </c>
      <c r="X220" s="207">
        <v>25597.621077916374</v>
      </c>
      <c r="Y220" s="208">
        <v>2.5028395592625462E-3</v>
      </c>
    </row>
    <row r="221" spans="1:25" ht="15" customHeight="1" x14ac:dyDescent="0.25">
      <c r="A221" s="201" t="s">
        <v>207</v>
      </c>
      <c r="B221" s="209">
        <v>159</v>
      </c>
      <c r="C221" s="209">
        <v>111</v>
      </c>
      <c r="D221" s="219">
        <v>0.69811320754716977</v>
      </c>
      <c r="E221" s="220">
        <v>1.432420485175202</v>
      </c>
      <c r="F221" s="220">
        <v>4.1171167500000001</v>
      </c>
      <c r="G221" s="209">
        <v>5484</v>
      </c>
      <c r="H221" s="209">
        <v>23566.181822102422</v>
      </c>
      <c r="I221" s="210">
        <v>2.4642627120923036E-3</v>
      </c>
      <c r="J221" s="209">
        <v>43</v>
      </c>
      <c r="K221" s="209">
        <v>21</v>
      </c>
      <c r="L221" s="219">
        <v>0.48837209302325579</v>
      </c>
      <c r="M221" s="220">
        <v>1.8602923588039866</v>
      </c>
      <c r="N221" s="220">
        <v>4.3333329166666674</v>
      </c>
      <c r="O221" s="209">
        <v>1092</v>
      </c>
      <c r="P221" s="209">
        <v>2031.4392558139534</v>
      </c>
      <c r="Q221" s="210">
        <v>3.0582250812672628E-3</v>
      </c>
      <c r="R221" s="209">
        <v>202</v>
      </c>
      <c r="S221" s="209">
        <v>132</v>
      </c>
      <c r="T221" s="219">
        <v>0.65346534653465349</v>
      </c>
      <c r="U221" s="220">
        <v>1.6463564219895943</v>
      </c>
      <c r="V221" s="220">
        <v>4.1515147765151514</v>
      </c>
      <c r="W221" s="209">
        <v>6576</v>
      </c>
      <c r="X221" s="209">
        <v>25597.621077916374</v>
      </c>
      <c r="Y221" s="210">
        <v>2.5028395592625462E-3</v>
      </c>
    </row>
    <row r="222" spans="1:25" ht="15" customHeight="1" x14ac:dyDescent="0.25">
      <c r="A222" s="198" t="s">
        <v>106</v>
      </c>
      <c r="B222" s="207">
        <v>321</v>
      </c>
      <c r="C222" s="207">
        <v>226</v>
      </c>
      <c r="D222" s="217">
        <v>0.70404984423676009</v>
      </c>
      <c r="E222" s="218">
        <v>1.4203539823008851</v>
      </c>
      <c r="F222" s="218">
        <v>3.8266957499999998</v>
      </c>
      <c r="G222" s="207">
        <v>10378</v>
      </c>
      <c r="H222" s="207">
        <v>44221.300884955752</v>
      </c>
      <c r="I222" s="208">
        <v>4.6241221286346251E-3</v>
      </c>
      <c r="J222" s="207">
        <v>43</v>
      </c>
      <c r="K222" s="207">
        <v>28</v>
      </c>
      <c r="L222" s="217">
        <v>0.65116279069767447</v>
      </c>
      <c r="M222" s="218">
        <v>1.5281993355481727</v>
      </c>
      <c r="N222" s="218">
        <v>4.2083330000000005</v>
      </c>
      <c r="O222" s="207">
        <v>1414</v>
      </c>
      <c r="P222" s="207">
        <v>2160.8738604651162</v>
      </c>
      <c r="Q222" s="208">
        <v>3.253082078932937E-3</v>
      </c>
      <c r="R222" s="207">
        <v>364</v>
      </c>
      <c r="S222" s="207">
        <v>254</v>
      </c>
      <c r="T222" s="217">
        <v>0.69780219780219777</v>
      </c>
      <c r="U222" s="218">
        <v>1.4742766589245289</v>
      </c>
      <c r="V222" s="218">
        <v>3.8687659980314946</v>
      </c>
      <c r="W222" s="207">
        <v>11792</v>
      </c>
      <c r="X222" s="207">
        <v>46382.174745420867</v>
      </c>
      <c r="Y222" s="208">
        <v>4.5350754058008334E-3</v>
      </c>
    </row>
    <row r="223" spans="1:25" ht="15" customHeight="1" x14ac:dyDescent="0.25">
      <c r="A223" s="201" t="s">
        <v>206</v>
      </c>
      <c r="B223" s="209">
        <v>321</v>
      </c>
      <c r="C223" s="209">
        <v>226</v>
      </c>
      <c r="D223" s="219">
        <v>0.70404984423676009</v>
      </c>
      <c r="E223" s="220">
        <v>1.4203539823008851</v>
      </c>
      <c r="F223" s="220">
        <v>3.8266957499999998</v>
      </c>
      <c r="G223" s="209">
        <v>10378</v>
      </c>
      <c r="H223" s="209">
        <v>44221.300884955752</v>
      </c>
      <c r="I223" s="210">
        <v>4.6241221286346251E-3</v>
      </c>
      <c r="J223" s="209">
        <v>43</v>
      </c>
      <c r="K223" s="209">
        <v>28</v>
      </c>
      <c r="L223" s="219">
        <v>0.65116279069767447</v>
      </c>
      <c r="M223" s="220">
        <v>1.5281993355481727</v>
      </c>
      <c r="N223" s="220">
        <v>4.2083330000000005</v>
      </c>
      <c r="O223" s="209">
        <v>1414</v>
      </c>
      <c r="P223" s="209">
        <v>2160.8738604651162</v>
      </c>
      <c r="Q223" s="210">
        <v>3.253082078932937E-3</v>
      </c>
      <c r="R223" s="209">
        <v>364</v>
      </c>
      <c r="S223" s="209">
        <v>254</v>
      </c>
      <c r="T223" s="219">
        <v>0.69780219780219777</v>
      </c>
      <c r="U223" s="220">
        <v>1.4742766589245289</v>
      </c>
      <c r="V223" s="220">
        <v>3.8687659980314946</v>
      </c>
      <c r="W223" s="209">
        <v>11792</v>
      </c>
      <c r="X223" s="209">
        <v>46382.174745420867</v>
      </c>
      <c r="Y223" s="210">
        <v>4.5350754058008334E-3</v>
      </c>
    </row>
    <row r="224" spans="1:25" ht="15" customHeight="1" x14ac:dyDescent="0.25">
      <c r="A224" s="198" t="s">
        <v>107</v>
      </c>
      <c r="B224" s="207">
        <v>579</v>
      </c>
      <c r="C224" s="207">
        <v>281</v>
      </c>
      <c r="D224" s="217">
        <v>0.48531951640759929</v>
      </c>
      <c r="E224" s="218">
        <v>1.8665196150999259</v>
      </c>
      <c r="F224" s="218">
        <v>4.1144717499999999</v>
      </c>
      <c r="G224" s="207">
        <v>13874</v>
      </c>
      <c r="H224" s="207">
        <v>77688.279419689119</v>
      </c>
      <c r="I224" s="208">
        <v>8.1236889193901842E-3</v>
      </c>
      <c r="J224" s="207">
        <v>111</v>
      </c>
      <c r="K224" s="207">
        <v>47</v>
      </c>
      <c r="L224" s="217">
        <v>0.42342342342342343</v>
      </c>
      <c r="M224" s="218">
        <v>1.9927876447876447</v>
      </c>
      <c r="N224" s="218">
        <v>4.1081555000000005</v>
      </c>
      <c r="O224" s="207">
        <v>2317</v>
      </c>
      <c r="P224" s="207">
        <v>4617.2889729729732</v>
      </c>
      <c r="Q224" s="208">
        <v>6.9510859870367363E-3</v>
      </c>
      <c r="R224" s="207">
        <v>690</v>
      </c>
      <c r="S224" s="207">
        <v>328</v>
      </c>
      <c r="T224" s="217">
        <v>0.47536231884057972</v>
      </c>
      <c r="U224" s="218">
        <v>1.9296536299437852</v>
      </c>
      <c r="V224" s="218">
        <v>4.1135666775914634</v>
      </c>
      <c r="W224" s="207">
        <v>16191</v>
      </c>
      <c r="X224" s="207">
        <v>82305.568392662099</v>
      </c>
      <c r="Y224" s="208">
        <v>8.0475303503286261E-3</v>
      </c>
    </row>
    <row r="225" spans="1:25" ht="15" customHeight="1" x14ac:dyDescent="0.25">
      <c r="A225" s="201" t="s">
        <v>205</v>
      </c>
      <c r="B225" s="209">
        <v>579</v>
      </c>
      <c r="C225" s="209">
        <v>281</v>
      </c>
      <c r="D225" s="219">
        <v>0.48531951640759929</v>
      </c>
      <c r="E225" s="220">
        <v>1.8665196150999259</v>
      </c>
      <c r="F225" s="220">
        <v>4.1144717499999999</v>
      </c>
      <c r="G225" s="209">
        <v>13874</v>
      </c>
      <c r="H225" s="209">
        <v>77688.279419689119</v>
      </c>
      <c r="I225" s="210">
        <v>8.1236889193901842E-3</v>
      </c>
      <c r="J225" s="209">
        <v>111</v>
      </c>
      <c r="K225" s="209">
        <v>47</v>
      </c>
      <c r="L225" s="219">
        <v>0.42342342342342343</v>
      </c>
      <c r="M225" s="220">
        <v>1.9927876447876447</v>
      </c>
      <c r="N225" s="220">
        <v>4.1081555000000005</v>
      </c>
      <c r="O225" s="209">
        <v>2317</v>
      </c>
      <c r="P225" s="209">
        <v>4617.2889729729732</v>
      </c>
      <c r="Q225" s="210">
        <v>6.9510859870367363E-3</v>
      </c>
      <c r="R225" s="209">
        <v>690</v>
      </c>
      <c r="S225" s="209">
        <v>328</v>
      </c>
      <c r="T225" s="219">
        <v>0.47536231884057972</v>
      </c>
      <c r="U225" s="220">
        <v>1.9296536299437852</v>
      </c>
      <c r="V225" s="220">
        <v>4.1135666775914634</v>
      </c>
      <c r="W225" s="209">
        <v>16191</v>
      </c>
      <c r="X225" s="209">
        <v>82305.568392662099</v>
      </c>
      <c r="Y225" s="210">
        <v>8.0475303503286261E-3</v>
      </c>
    </row>
    <row r="226" spans="1:25" ht="15" customHeight="1" x14ac:dyDescent="0.25">
      <c r="A226" s="198" t="s">
        <v>108</v>
      </c>
      <c r="B226" s="207">
        <v>1292</v>
      </c>
      <c r="C226" s="207">
        <v>687</v>
      </c>
      <c r="D226" s="217">
        <v>0.53173374613003099</v>
      </c>
      <c r="E226" s="218">
        <v>1.7718345864661655</v>
      </c>
      <c r="F226" s="218">
        <v>4.3630514166666661</v>
      </c>
      <c r="G226" s="207">
        <v>35969</v>
      </c>
      <c r="H226" s="207">
        <v>191193.35472180453</v>
      </c>
      <c r="I226" s="208">
        <v>1.9992659752751874E-2</v>
      </c>
      <c r="J226" s="207">
        <v>1008</v>
      </c>
      <c r="K226" s="207">
        <v>289</v>
      </c>
      <c r="L226" s="217">
        <v>0.28670634920634919</v>
      </c>
      <c r="M226" s="218">
        <v>2.2716904761904759</v>
      </c>
      <c r="N226" s="218">
        <v>4.2064585833333332</v>
      </c>
      <c r="O226" s="207">
        <v>14588</v>
      </c>
      <c r="P226" s="207">
        <v>33139.420666666665</v>
      </c>
      <c r="Q226" s="208">
        <v>4.9889656888046509E-2</v>
      </c>
      <c r="R226" s="207">
        <v>2300</v>
      </c>
      <c r="S226" s="207">
        <v>976</v>
      </c>
      <c r="T226" s="217">
        <v>0.42434782608695654</v>
      </c>
      <c r="U226" s="218">
        <v>2.0217625313283207</v>
      </c>
      <c r="V226" s="218">
        <v>4.3166832518784153</v>
      </c>
      <c r="W226" s="207">
        <v>50557</v>
      </c>
      <c r="X226" s="207">
        <v>224332.7753884712</v>
      </c>
      <c r="Y226" s="208">
        <v>2.1934418943556303E-2</v>
      </c>
    </row>
    <row r="227" spans="1:25" ht="15" customHeight="1" x14ac:dyDescent="0.25">
      <c r="A227" s="201" t="s">
        <v>204</v>
      </c>
      <c r="B227" s="209">
        <v>1292</v>
      </c>
      <c r="C227" s="209">
        <v>687</v>
      </c>
      <c r="D227" s="219">
        <v>0.53173374613003099</v>
      </c>
      <c r="E227" s="220">
        <v>1.7718345864661655</v>
      </c>
      <c r="F227" s="220">
        <v>4.3630514166666661</v>
      </c>
      <c r="G227" s="209">
        <v>35969</v>
      </c>
      <c r="H227" s="209">
        <v>191193.35472180453</v>
      </c>
      <c r="I227" s="210">
        <v>1.9992659752751874E-2</v>
      </c>
      <c r="J227" s="209">
        <v>1008</v>
      </c>
      <c r="K227" s="209">
        <v>289</v>
      </c>
      <c r="L227" s="219">
        <v>0.28670634920634919</v>
      </c>
      <c r="M227" s="220">
        <v>2.2716904761904759</v>
      </c>
      <c r="N227" s="220">
        <v>4.2064585833333332</v>
      </c>
      <c r="O227" s="209">
        <v>14588</v>
      </c>
      <c r="P227" s="209">
        <v>33139.420666666665</v>
      </c>
      <c r="Q227" s="210">
        <v>4.9889656888046509E-2</v>
      </c>
      <c r="R227" s="209">
        <v>2300</v>
      </c>
      <c r="S227" s="209">
        <v>976</v>
      </c>
      <c r="T227" s="219">
        <v>0.42434782608695654</v>
      </c>
      <c r="U227" s="220">
        <v>2.0217625313283207</v>
      </c>
      <c r="V227" s="220">
        <v>4.3166832518784153</v>
      </c>
      <c r="W227" s="209">
        <v>50557</v>
      </c>
      <c r="X227" s="209">
        <v>224332.7753884712</v>
      </c>
      <c r="Y227" s="210">
        <v>2.1934418943556303E-2</v>
      </c>
    </row>
    <row r="228" spans="1:25" ht="15" customHeight="1" x14ac:dyDescent="0.25">
      <c r="A228" s="198" t="s">
        <v>109</v>
      </c>
      <c r="B228" s="207">
        <v>3140</v>
      </c>
      <c r="C228" s="207">
        <v>1421</v>
      </c>
      <c r="D228" s="217">
        <v>0.45254777070063695</v>
      </c>
      <c r="E228" s="218">
        <v>1.9333739763421292</v>
      </c>
      <c r="F228" s="218">
        <v>4.1458081666666668</v>
      </c>
      <c r="G228" s="207">
        <v>70517</v>
      </c>
      <c r="H228" s="207">
        <v>409007.19806915376</v>
      </c>
      <c r="I228" s="208">
        <v>4.2768964221173461E-2</v>
      </c>
      <c r="J228" s="207">
        <v>718</v>
      </c>
      <c r="K228" s="207">
        <v>204</v>
      </c>
      <c r="L228" s="217">
        <v>0.28412256267409469</v>
      </c>
      <c r="M228" s="218">
        <v>2.2769614007162753</v>
      </c>
      <c r="N228" s="218">
        <v>4.1282674999999998</v>
      </c>
      <c r="O228" s="207">
        <v>10106</v>
      </c>
      <c r="P228" s="207">
        <v>23010.971915638678</v>
      </c>
      <c r="Q228" s="208">
        <v>3.4641809374972417E-2</v>
      </c>
      <c r="R228" s="207">
        <v>3858</v>
      </c>
      <c r="S228" s="207">
        <v>1625</v>
      </c>
      <c r="T228" s="217">
        <v>0.42120269569725244</v>
      </c>
      <c r="U228" s="218">
        <v>2.1051676885292023</v>
      </c>
      <c r="V228" s="218">
        <v>4.1442760339327771</v>
      </c>
      <c r="W228" s="207">
        <v>80623</v>
      </c>
      <c r="X228" s="207">
        <v>432018.16998479242</v>
      </c>
      <c r="Y228" s="208">
        <v>4.2241119316004987E-2</v>
      </c>
    </row>
    <row r="229" spans="1:25" ht="15" customHeight="1" x14ac:dyDescent="0.25">
      <c r="A229" s="201" t="s">
        <v>203</v>
      </c>
      <c r="B229" s="209">
        <v>3140</v>
      </c>
      <c r="C229" s="209">
        <v>1421</v>
      </c>
      <c r="D229" s="219">
        <v>0.45254777070063695</v>
      </c>
      <c r="E229" s="220">
        <v>1.9333739763421292</v>
      </c>
      <c r="F229" s="220">
        <v>4.1458081666666668</v>
      </c>
      <c r="G229" s="209">
        <v>70517</v>
      </c>
      <c r="H229" s="209">
        <v>409007.19806915376</v>
      </c>
      <c r="I229" s="210">
        <v>4.2768964221173461E-2</v>
      </c>
      <c r="J229" s="209">
        <v>718</v>
      </c>
      <c r="K229" s="209">
        <v>204</v>
      </c>
      <c r="L229" s="219">
        <v>0.28412256267409469</v>
      </c>
      <c r="M229" s="220">
        <v>2.2769614007162753</v>
      </c>
      <c r="N229" s="220">
        <v>4.1282674999999998</v>
      </c>
      <c r="O229" s="209">
        <v>10106</v>
      </c>
      <c r="P229" s="209">
        <v>23010.971915638678</v>
      </c>
      <c r="Q229" s="210">
        <v>3.4641809374972417E-2</v>
      </c>
      <c r="R229" s="209">
        <v>3858</v>
      </c>
      <c r="S229" s="209">
        <v>1625</v>
      </c>
      <c r="T229" s="219">
        <v>0.42120269569725244</v>
      </c>
      <c r="U229" s="220">
        <v>2.1051676885292023</v>
      </c>
      <c r="V229" s="220">
        <v>4.1442760339327771</v>
      </c>
      <c r="W229" s="209">
        <v>80623</v>
      </c>
      <c r="X229" s="209">
        <v>432018.16998479242</v>
      </c>
      <c r="Y229" s="210">
        <v>4.2241119316004987E-2</v>
      </c>
    </row>
    <row r="230" spans="1:25" ht="15" customHeight="1" x14ac:dyDescent="0.25">
      <c r="A230" s="198" t="s">
        <v>110</v>
      </c>
      <c r="B230" s="207">
        <v>21</v>
      </c>
      <c r="C230" s="207">
        <v>7</v>
      </c>
      <c r="D230" s="217">
        <v>0.33333333333333331</v>
      </c>
      <c r="E230" s="218">
        <v>2.1765714285714286</v>
      </c>
      <c r="F230" s="218">
        <v>3.7857138333333338</v>
      </c>
      <c r="G230" s="207">
        <v>318</v>
      </c>
      <c r="H230" s="207">
        <v>2076.4491428571428</v>
      </c>
      <c r="I230" s="208">
        <v>2.1712962392150397E-4</v>
      </c>
      <c r="J230" s="223"/>
      <c r="K230" s="223"/>
      <c r="L230" s="223"/>
      <c r="M230" s="223"/>
      <c r="N230" s="223"/>
      <c r="O230" s="223"/>
      <c r="P230" s="223"/>
      <c r="Q230" s="223"/>
      <c r="R230" s="207">
        <v>21</v>
      </c>
      <c r="S230" s="207">
        <v>7</v>
      </c>
      <c r="T230" s="217">
        <v>0.33333333333333331</v>
      </c>
      <c r="U230" s="218">
        <v>2.1765714285714286</v>
      </c>
      <c r="V230" s="218">
        <v>3.7857138333333338</v>
      </c>
      <c r="W230" s="207">
        <v>318</v>
      </c>
      <c r="X230" s="207">
        <v>2076.4491428571428</v>
      </c>
      <c r="Y230" s="208">
        <v>2.030274235922355E-4</v>
      </c>
    </row>
    <row r="231" spans="1:25" ht="15" customHeight="1" x14ac:dyDescent="0.25">
      <c r="A231" s="201" t="s">
        <v>202</v>
      </c>
      <c r="B231" s="209">
        <v>21</v>
      </c>
      <c r="C231" s="209">
        <v>7</v>
      </c>
      <c r="D231" s="219">
        <v>0.33333333333333331</v>
      </c>
      <c r="E231" s="220">
        <v>2.1765714285714286</v>
      </c>
      <c r="F231" s="220">
        <v>3.7857138333333338</v>
      </c>
      <c r="G231" s="209">
        <v>318</v>
      </c>
      <c r="H231" s="209">
        <v>2076.4491428571428</v>
      </c>
      <c r="I231" s="210">
        <v>2.1712962392150397E-4</v>
      </c>
      <c r="J231" s="224"/>
      <c r="K231" s="224"/>
      <c r="L231" s="224"/>
      <c r="M231" s="224"/>
      <c r="N231" s="224"/>
      <c r="O231" s="224"/>
      <c r="P231" s="224"/>
      <c r="Q231" s="224"/>
      <c r="R231" s="209">
        <v>21</v>
      </c>
      <c r="S231" s="209">
        <v>7</v>
      </c>
      <c r="T231" s="219">
        <v>0.33333333333333331</v>
      </c>
      <c r="U231" s="220">
        <v>2.1765714285714286</v>
      </c>
      <c r="V231" s="220">
        <v>3.7857138333333338</v>
      </c>
      <c r="W231" s="209">
        <v>318</v>
      </c>
      <c r="X231" s="209">
        <v>2076.4491428571428</v>
      </c>
      <c r="Y231" s="210">
        <v>2.030274235922355E-4</v>
      </c>
    </row>
    <row r="232" spans="1:25" ht="15" customHeight="1" x14ac:dyDescent="0.25">
      <c r="A232" s="198" t="s">
        <v>111</v>
      </c>
      <c r="B232" s="207">
        <v>34</v>
      </c>
      <c r="C232" s="207">
        <v>30</v>
      </c>
      <c r="D232" s="217">
        <v>0.88235294117647056</v>
      </c>
      <c r="E232" s="218">
        <v>1.1333333333333335</v>
      </c>
      <c r="F232" s="218">
        <v>4.1972219166666678</v>
      </c>
      <c r="G232" s="207">
        <v>1511</v>
      </c>
      <c r="H232" s="207">
        <v>5137.4000000000005</v>
      </c>
      <c r="I232" s="208">
        <v>5.372063812742648E-4</v>
      </c>
      <c r="J232" s="207">
        <v>9</v>
      </c>
      <c r="K232" s="207">
        <v>5</v>
      </c>
      <c r="L232" s="217">
        <v>0.55555555555555558</v>
      </c>
      <c r="M232" s="218">
        <v>1.7232380952380952</v>
      </c>
      <c r="N232" s="218">
        <v>4.583333333333333</v>
      </c>
      <c r="O232" s="207">
        <v>275</v>
      </c>
      <c r="P232" s="207">
        <v>473.89047619047619</v>
      </c>
      <c r="Q232" s="208">
        <v>7.1341721683856733E-4</v>
      </c>
      <c r="R232" s="207">
        <v>43</v>
      </c>
      <c r="S232" s="207">
        <v>35</v>
      </c>
      <c r="T232" s="217">
        <v>0.81395348837209303</v>
      </c>
      <c r="U232" s="218">
        <v>1.4282857142857144</v>
      </c>
      <c r="V232" s="218">
        <v>4.2523806904761914</v>
      </c>
      <c r="W232" s="207">
        <v>1786</v>
      </c>
      <c r="X232" s="207">
        <v>5611.2904761904765</v>
      </c>
      <c r="Y232" s="208">
        <v>5.4865097579082848E-4</v>
      </c>
    </row>
    <row r="233" spans="1:25" ht="15" customHeight="1" x14ac:dyDescent="0.25">
      <c r="A233" s="201" t="s">
        <v>201</v>
      </c>
      <c r="B233" s="209">
        <v>34</v>
      </c>
      <c r="C233" s="209">
        <v>30</v>
      </c>
      <c r="D233" s="219">
        <v>0.88235294117647056</v>
      </c>
      <c r="E233" s="220">
        <v>1.1333333333333335</v>
      </c>
      <c r="F233" s="220">
        <v>4.1972219166666678</v>
      </c>
      <c r="G233" s="209">
        <v>1511</v>
      </c>
      <c r="H233" s="209">
        <v>5137.4000000000005</v>
      </c>
      <c r="I233" s="210">
        <v>5.372063812742648E-4</v>
      </c>
      <c r="J233" s="209">
        <v>9</v>
      </c>
      <c r="K233" s="209">
        <v>5</v>
      </c>
      <c r="L233" s="219">
        <v>0.55555555555555558</v>
      </c>
      <c r="M233" s="220">
        <v>1.7232380952380952</v>
      </c>
      <c r="N233" s="220">
        <v>4.583333333333333</v>
      </c>
      <c r="O233" s="209">
        <v>275</v>
      </c>
      <c r="P233" s="209">
        <v>473.89047619047619</v>
      </c>
      <c r="Q233" s="210">
        <v>7.1341721683856733E-4</v>
      </c>
      <c r="R233" s="209">
        <v>43</v>
      </c>
      <c r="S233" s="209">
        <v>35</v>
      </c>
      <c r="T233" s="219">
        <v>0.81395348837209303</v>
      </c>
      <c r="U233" s="220">
        <v>1.4282857142857144</v>
      </c>
      <c r="V233" s="220">
        <v>4.2523806904761914</v>
      </c>
      <c r="W233" s="209">
        <v>1786</v>
      </c>
      <c r="X233" s="209">
        <v>5611.2904761904765</v>
      </c>
      <c r="Y233" s="210">
        <v>5.4865097579082848E-4</v>
      </c>
    </row>
    <row r="234" spans="1:25" ht="15" customHeight="1" x14ac:dyDescent="0.25">
      <c r="A234" s="198" t="s">
        <v>112</v>
      </c>
      <c r="B234" s="207">
        <v>65</v>
      </c>
      <c r="C234" s="207">
        <v>42</v>
      </c>
      <c r="D234" s="217">
        <v>0.64615384615384619</v>
      </c>
      <c r="E234" s="218">
        <v>1.5384175824175825</v>
      </c>
      <c r="F234" s="218">
        <v>4.2222218333333341</v>
      </c>
      <c r="G234" s="207">
        <v>2128</v>
      </c>
      <c r="H234" s="207">
        <v>9821.2578461538469</v>
      </c>
      <c r="I234" s="208">
        <v>1.0269868780110149E-3</v>
      </c>
      <c r="J234" s="207">
        <v>3</v>
      </c>
      <c r="K234" s="207">
        <v>2</v>
      </c>
      <c r="L234" s="217">
        <v>0.66666666666666663</v>
      </c>
      <c r="M234" s="218">
        <v>1.4965714285714287</v>
      </c>
      <c r="N234" s="218">
        <v>4.916666666666667</v>
      </c>
      <c r="O234" s="207">
        <v>118</v>
      </c>
      <c r="P234" s="207">
        <v>176.59542857142858</v>
      </c>
      <c r="Q234" s="208">
        <v>2.6585514056037606E-4</v>
      </c>
      <c r="R234" s="207">
        <v>68</v>
      </c>
      <c r="S234" s="207">
        <v>44</v>
      </c>
      <c r="T234" s="217">
        <v>0.6470588235294118</v>
      </c>
      <c r="U234" s="218">
        <v>1.5174945054945055</v>
      </c>
      <c r="V234" s="218">
        <v>4.2537875075757574</v>
      </c>
      <c r="W234" s="207">
        <v>2246</v>
      </c>
      <c r="X234" s="207">
        <v>9997.8532747252757</v>
      </c>
      <c r="Y234" s="208">
        <v>9.7755266426976378E-4</v>
      </c>
    </row>
    <row r="235" spans="1:25" ht="15" customHeight="1" x14ac:dyDescent="0.25">
      <c r="A235" s="201" t="s">
        <v>197</v>
      </c>
      <c r="B235" s="209">
        <v>65</v>
      </c>
      <c r="C235" s="209">
        <v>42</v>
      </c>
      <c r="D235" s="219">
        <v>0.64615384615384619</v>
      </c>
      <c r="E235" s="220">
        <v>1.5384175824175825</v>
      </c>
      <c r="F235" s="220">
        <v>4.2222218333333341</v>
      </c>
      <c r="G235" s="209">
        <v>2128</v>
      </c>
      <c r="H235" s="209">
        <v>9821.2578461538469</v>
      </c>
      <c r="I235" s="210">
        <v>1.0269868780110149E-3</v>
      </c>
      <c r="J235" s="209">
        <v>3</v>
      </c>
      <c r="K235" s="209">
        <v>2</v>
      </c>
      <c r="L235" s="219">
        <v>0.66666666666666663</v>
      </c>
      <c r="M235" s="220">
        <v>1.4965714285714287</v>
      </c>
      <c r="N235" s="220">
        <v>4.916666666666667</v>
      </c>
      <c r="O235" s="209">
        <v>118</v>
      </c>
      <c r="P235" s="209">
        <v>176.59542857142858</v>
      </c>
      <c r="Q235" s="210">
        <v>2.6585514056037606E-4</v>
      </c>
      <c r="R235" s="209">
        <v>68</v>
      </c>
      <c r="S235" s="209">
        <v>44</v>
      </c>
      <c r="T235" s="219">
        <v>0.6470588235294118</v>
      </c>
      <c r="U235" s="220">
        <v>1.5174945054945055</v>
      </c>
      <c r="V235" s="220">
        <v>4.2537875075757574</v>
      </c>
      <c r="W235" s="209">
        <v>2246</v>
      </c>
      <c r="X235" s="209">
        <v>9997.8532747252757</v>
      </c>
      <c r="Y235" s="210">
        <v>9.7755266426976378E-4</v>
      </c>
    </row>
    <row r="236" spans="1:25" ht="15" customHeight="1" x14ac:dyDescent="0.25">
      <c r="A236" s="198" t="s">
        <v>113</v>
      </c>
      <c r="B236" s="223"/>
      <c r="C236" s="223"/>
      <c r="D236" s="223"/>
      <c r="E236" s="223"/>
      <c r="F236" s="223"/>
      <c r="G236" s="223"/>
      <c r="H236" s="223"/>
      <c r="I236" s="223"/>
      <c r="J236" s="207">
        <v>37</v>
      </c>
      <c r="K236" s="207">
        <v>10</v>
      </c>
      <c r="L236" s="217">
        <v>0.27027027027027029</v>
      </c>
      <c r="M236" s="218">
        <v>2.3052200772200773</v>
      </c>
      <c r="N236" s="218">
        <v>3.8416666666666668</v>
      </c>
      <c r="O236" s="207">
        <v>461</v>
      </c>
      <c r="P236" s="207">
        <v>1062.7064555984557</v>
      </c>
      <c r="Q236" s="208">
        <v>1.599848741346504E-3</v>
      </c>
      <c r="R236" s="207">
        <v>37</v>
      </c>
      <c r="S236" s="207">
        <v>10</v>
      </c>
      <c r="T236" s="217">
        <v>0.27027027027027029</v>
      </c>
      <c r="U236" s="218">
        <v>2.3052200772200773</v>
      </c>
      <c r="V236" s="218">
        <v>3.8416666666666668</v>
      </c>
      <c r="W236" s="207">
        <v>461</v>
      </c>
      <c r="X236" s="207">
        <v>1062.7064555984557</v>
      </c>
      <c r="Y236" s="208">
        <v>1.0390745877749378E-4</v>
      </c>
    </row>
    <row r="237" spans="1:25" ht="15" customHeight="1" x14ac:dyDescent="0.25">
      <c r="A237" s="201" t="s">
        <v>198</v>
      </c>
      <c r="B237" s="224"/>
      <c r="C237" s="224"/>
      <c r="D237" s="224"/>
      <c r="E237" s="224"/>
      <c r="F237" s="224"/>
      <c r="G237" s="224"/>
      <c r="H237" s="224"/>
      <c r="I237" s="224"/>
      <c r="J237" s="209">
        <v>37</v>
      </c>
      <c r="K237" s="209">
        <v>10</v>
      </c>
      <c r="L237" s="219">
        <v>0.27027027027027029</v>
      </c>
      <c r="M237" s="220">
        <v>2.3052200772200773</v>
      </c>
      <c r="N237" s="220">
        <v>3.8416666666666668</v>
      </c>
      <c r="O237" s="209">
        <v>461</v>
      </c>
      <c r="P237" s="209">
        <v>1062.7064555984557</v>
      </c>
      <c r="Q237" s="210">
        <v>1.599848741346504E-3</v>
      </c>
      <c r="R237" s="209">
        <v>37</v>
      </c>
      <c r="S237" s="209">
        <v>10</v>
      </c>
      <c r="T237" s="219">
        <v>0.27027027027027029</v>
      </c>
      <c r="U237" s="220">
        <v>2.3052200772200773</v>
      </c>
      <c r="V237" s="220">
        <v>3.8416666666666668</v>
      </c>
      <c r="W237" s="209">
        <v>461</v>
      </c>
      <c r="X237" s="209">
        <v>1062.7064555984557</v>
      </c>
      <c r="Y237" s="210">
        <v>1.0390745877749378E-4</v>
      </c>
    </row>
    <row r="238" spans="1:25" ht="15" customHeight="1" x14ac:dyDescent="0.25">
      <c r="A238" s="198" t="s">
        <v>114</v>
      </c>
      <c r="B238" s="207">
        <v>487</v>
      </c>
      <c r="C238" s="207">
        <v>313</v>
      </c>
      <c r="D238" s="217">
        <v>0.64271047227926081</v>
      </c>
      <c r="E238" s="218">
        <v>1.5454420651217367</v>
      </c>
      <c r="F238" s="218">
        <v>4.1898291666666667</v>
      </c>
      <c r="G238" s="207">
        <v>15737</v>
      </c>
      <c r="H238" s="207">
        <v>72961.865336462302</v>
      </c>
      <c r="I238" s="208">
        <v>7.6294584125084922E-3</v>
      </c>
      <c r="J238" s="207">
        <v>371</v>
      </c>
      <c r="K238" s="207">
        <v>113</v>
      </c>
      <c r="L238" s="217">
        <v>0.30458221024258758</v>
      </c>
      <c r="M238" s="218">
        <v>2.2352237196765499</v>
      </c>
      <c r="N238" s="218">
        <v>4.0870201666666661</v>
      </c>
      <c r="O238" s="207">
        <v>5542</v>
      </c>
      <c r="P238" s="207">
        <v>12387.609854447439</v>
      </c>
      <c r="Q238" s="208">
        <v>1.8648895872914167E-2</v>
      </c>
      <c r="R238" s="207">
        <v>858</v>
      </c>
      <c r="S238" s="207">
        <v>426</v>
      </c>
      <c r="T238" s="217">
        <v>0.49650349650349651</v>
      </c>
      <c r="U238" s="218">
        <v>1.8903328923991434</v>
      </c>
      <c r="V238" s="218">
        <v>4.1625582347417849</v>
      </c>
      <c r="W238" s="207">
        <v>21279</v>
      </c>
      <c r="X238" s="207">
        <v>85349.475190909739</v>
      </c>
      <c r="Y238" s="208">
        <v>8.3451521615966646E-3</v>
      </c>
    </row>
    <row r="239" spans="1:25" ht="15" customHeight="1" x14ac:dyDescent="0.25">
      <c r="A239" s="201" t="s">
        <v>195</v>
      </c>
      <c r="B239" s="209">
        <v>487</v>
      </c>
      <c r="C239" s="209">
        <v>313</v>
      </c>
      <c r="D239" s="219">
        <v>0.64271047227926081</v>
      </c>
      <c r="E239" s="220">
        <v>1.5454420651217367</v>
      </c>
      <c r="F239" s="220">
        <v>4.1898291666666667</v>
      </c>
      <c r="G239" s="209">
        <v>15737</v>
      </c>
      <c r="H239" s="209">
        <v>72961.865336462302</v>
      </c>
      <c r="I239" s="210">
        <v>7.6294584125084922E-3</v>
      </c>
      <c r="J239" s="209">
        <v>371</v>
      </c>
      <c r="K239" s="209">
        <v>113</v>
      </c>
      <c r="L239" s="219">
        <v>0.30458221024258758</v>
      </c>
      <c r="M239" s="220">
        <v>2.2352237196765499</v>
      </c>
      <c r="N239" s="220">
        <v>4.0870201666666661</v>
      </c>
      <c r="O239" s="209">
        <v>5542</v>
      </c>
      <c r="P239" s="209">
        <v>12387.609854447439</v>
      </c>
      <c r="Q239" s="210">
        <v>1.8648895872914167E-2</v>
      </c>
      <c r="R239" s="209">
        <v>858</v>
      </c>
      <c r="S239" s="209">
        <v>426</v>
      </c>
      <c r="T239" s="219">
        <v>0.49650349650349651</v>
      </c>
      <c r="U239" s="220">
        <v>1.8903328923991434</v>
      </c>
      <c r="V239" s="220">
        <v>4.1625582347417849</v>
      </c>
      <c r="W239" s="209">
        <v>21279</v>
      </c>
      <c r="X239" s="209">
        <v>85349.475190909739</v>
      </c>
      <c r="Y239" s="210">
        <v>8.3451521615966646E-3</v>
      </c>
    </row>
    <row r="240" spans="1:25" ht="15" customHeight="1" x14ac:dyDescent="0.25">
      <c r="A240" s="198" t="s">
        <v>115</v>
      </c>
      <c r="B240" s="207">
        <v>70</v>
      </c>
      <c r="C240" s="207">
        <v>27</v>
      </c>
      <c r="D240" s="217">
        <v>0.38571428571428573</v>
      </c>
      <c r="E240" s="218">
        <v>2.0697142857142858</v>
      </c>
      <c r="F240" s="218">
        <v>3.9074068333333334</v>
      </c>
      <c r="G240" s="207">
        <v>1266</v>
      </c>
      <c r="H240" s="207">
        <v>7860.7748571428574</v>
      </c>
      <c r="I240" s="208">
        <v>8.2198357437953827E-4</v>
      </c>
      <c r="J240" s="207">
        <v>67</v>
      </c>
      <c r="K240" s="207">
        <v>13</v>
      </c>
      <c r="L240" s="217">
        <v>0.19402985074626866</v>
      </c>
      <c r="M240" s="218">
        <v>2.4485709999999998</v>
      </c>
      <c r="N240" s="218">
        <v>3.6025634166666678</v>
      </c>
      <c r="O240" s="207">
        <v>562</v>
      </c>
      <c r="P240" s="207">
        <v>1376.096902</v>
      </c>
      <c r="Q240" s="208">
        <v>2.0716415949461205E-3</v>
      </c>
      <c r="R240" s="207">
        <v>137</v>
      </c>
      <c r="S240" s="207">
        <v>40</v>
      </c>
      <c r="T240" s="217">
        <v>0.29197080291970801</v>
      </c>
      <c r="U240" s="218">
        <v>2.2591426428571428</v>
      </c>
      <c r="V240" s="218">
        <v>3.808332722916667</v>
      </c>
      <c r="W240" s="207">
        <v>1828</v>
      </c>
      <c r="X240" s="207">
        <v>9236.8717591428576</v>
      </c>
      <c r="Y240" s="208">
        <v>9.0314674056029859E-4</v>
      </c>
    </row>
    <row r="241" spans="1:25" ht="15" customHeight="1" x14ac:dyDescent="0.25">
      <c r="A241" s="201" t="s">
        <v>194</v>
      </c>
      <c r="B241" s="209">
        <v>70</v>
      </c>
      <c r="C241" s="209">
        <v>27</v>
      </c>
      <c r="D241" s="219">
        <v>0.38571428571428573</v>
      </c>
      <c r="E241" s="220">
        <v>2.0697142857142858</v>
      </c>
      <c r="F241" s="220">
        <v>3.9074068333333334</v>
      </c>
      <c r="G241" s="209">
        <v>1266</v>
      </c>
      <c r="H241" s="209">
        <v>7860.7748571428574</v>
      </c>
      <c r="I241" s="210">
        <v>8.2198357437953827E-4</v>
      </c>
      <c r="J241" s="209">
        <v>67</v>
      </c>
      <c r="K241" s="209">
        <v>13</v>
      </c>
      <c r="L241" s="219">
        <v>0.19402985074626866</v>
      </c>
      <c r="M241" s="220">
        <v>2.4485709999999998</v>
      </c>
      <c r="N241" s="220">
        <v>3.6025634166666678</v>
      </c>
      <c r="O241" s="209">
        <v>562</v>
      </c>
      <c r="P241" s="209">
        <v>1376.096902</v>
      </c>
      <c r="Q241" s="210">
        <v>2.0716415949461205E-3</v>
      </c>
      <c r="R241" s="209">
        <v>137</v>
      </c>
      <c r="S241" s="209">
        <v>40</v>
      </c>
      <c r="T241" s="219">
        <v>0.29197080291970801</v>
      </c>
      <c r="U241" s="220">
        <v>2.2591426428571428</v>
      </c>
      <c r="V241" s="220">
        <v>3.808332722916667</v>
      </c>
      <c r="W241" s="209">
        <v>1828</v>
      </c>
      <c r="X241" s="209">
        <v>9236.8717591428576</v>
      </c>
      <c r="Y241" s="210">
        <v>9.0314674056029859E-4</v>
      </c>
    </row>
    <row r="242" spans="1:25" ht="15" customHeight="1" x14ac:dyDescent="0.25">
      <c r="A242" s="198" t="s">
        <v>116</v>
      </c>
      <c r="B242" s="207">
        <v>1644</v>
      </c>
      <c r="C242" s="207">
        <v>686</v>
      </c>
      <c r="D242" s="217">
        <v>0.41727493917274938</v>
      </c>
      <c r="E242" s="218">
        <v>2.0053305526590197</v>
      </c>
      <c r="F242" s="218">
        <v>4.1716467499999998</v>
      </c>
      <c r="G242" s="207">
        <v>34341</v>
      </c>
      <c r="H242" s="207">
        <v>206595.16952659018</v>
      </c>
      <c r="I242" s="208">
        <v>2.1603192940032462E-2</v>
      </c>
      <c r="J242" s="207">
        <v>358</v>
      </c>
      <c r="K242" s="207">
        <v>96</v>
      </c>
      <c r="L242" s="217">
        <v>0.26815642458100558</v>
      </c>
      <c r="M242" s="218">
        <v>2.3095323224261772</v>
      </c>
      <c r="N242" s="218">
        <v>4.1258677500000012</v>
      </c>
      <c r="O242" s="207">
        <v>4753</v>
      </c>
      <c r="P242" s="207">
        <v>10977.20712849162</v>
      </c>
      <c r="Q242" s="208">
        <v>1.6525608662203286E-2</v>
      </c>
      <c r="R242" s="207">
        <v>2002</v>
      </c>
      <c r="S242" s="207">
        <v>782</v>
      </c>
      <c r="T242" s="217">
        <v>0.39060939060939059</v>
      </c>
      <c r="U242" s="218">
        <v>2.1574314375425985</v>
      </c>
      <c r="V242" s="218">
        <v>4.1660268216112533</v>
      </c>
      <c r="W242" s="207">
        <v>39094</v>
      </c>
      <c r="X242" s="207">
        <v>217572.37665508181</v>
      </c>
      <c r="Y242" s="208">
        <v>2.127341246428965E-2</v>
      </c>
    </row>
    <row r="243" spans="1:25" ht="15" customHeight="1" x14ac:dyDescent="0.25">
      <c r="A243" s="201" t="s">
        <v>193</v>
      </c>
      <c r="B243" s="209">
        <v>1644</v>
      </c>
      <c r="C243" s="209">
        <v>686</v>
      </c>
      <c r="D243" s="219">
        <v>0.41727493917274938</v>
      </c>
      <c r="E243" s="220">
        <v>2.0053305526590197</v>
      </c>
      <c r="F243" s="220">
        <v>4.1716467499999998</v>
      </c>
      <c r="G243" s="209">
        <v>34341</v>
      </c>
      <c r="H243" s="209">
        <v>206595.16952659018</v>
      </c>
      <c r="I243" s="210">
        <v>2.1603192940032462E-2</v>
      </c>
      <c r="J243" s="209">
        <v>358</v>
      </c>
      <c r="K243" s="209">
        <v>96</v>
      </c>
      <c r="L243" s="219">
        <v>0.26815642458100558</v>
      </c>
      <c r="M243" s="220">
        <v>2.3095323224261772</v>
      </c>
      <c r="N243" s="220">
        <v>4.1258677500000012</v>
      </c>
      <c r="O243" s="209">
        <v>4753</v>
      </c>
      <c r="P243" s="209">
        <v>10977.20712849162</v>
      </c>
      <c r="Q243" s="210">
        <v>1.6525608662203286E-2</v>
      </c>
      <c r="R243" s="209">
        <v>2002</v>
      </c>
      <c r="S243" s="209">
        <v>782</v>
      </c>
      <c r="T243" s="219">
        <v>0.39060939060939059</v>
      </c>
      <c r="U243" s="220">
        <v>2.1574314375425985</v>
      </c>
      <c r="V243" s="220">
        <v>4.1660268216112533</v>
      </c>
      <c r="W243" s="209">
        <v>39094</v>
      </c>
      <c r="X243" s="209">
        <v>217572.37665508181</v>
      </c>
      <c r="Y243" s="210">
        <v>2.127341246428965E-2</v>
      </c>
    </row>
    <row r="244" spans="1:25" ht="15" customHeight="1" x14ac:dyDescent="0.25">
      <c r="A244" s="198" t="s">
        <v>117</v>
      </c>
      <c r="B244" s="207">
        <v>96</v>
      </c>
      <c r="C244" s="207">
        <v>54</v>
      </c>
      <c r="D244" s="217">
        <v>0.5625</v>
      </c>
      <c r="E244" s="218">
        <v>1.7090714285714286</v>
      </c>
      <c r="F244" s="218">
        <v>4.2700611666666664</v>
      </c>
      <c r="G244" s="207">
        <v>2767</v>
      </c>
      <c r="H244" s="207">
        <v>14187.001928571428</v>
      </c>
      <c r="I244" s="208">
        <v>1.4835029328412956E-3</v>
      </c>
      <c r="J244" s="207">
        <v>88</v>
      </c>
      <c r="K244" s="207">
        <v>15</v>
      </c>
      <c r="L244" s="217">
        <v>0.17045454545454544</v>
      </c>
      <c r="M244" s="218">
        <v>2.4485709999999998</v>
      </c>
      <c r="N244" s="218">
        <v>4.1888885833333331</v>
      </c>
      <c r="O244" s="207">
        <v>754</v>
      </c>
      <c r="P244" s="207">
        <v>1846.2225339999998</v>
      </c>
      <c r="Q244" s="208">
        <v>2.7793910366358979E-3</v>
      </c>
      <c r="R244" s="207">
        <v>184</v>
      </c>
      <c r="S244" s="207">
        <v>69</v>
      </c>
      <c r="T244" s="217">
        <v>0.375</v>
      </c>
      <c r="U244" s="218">
        <v>2.0788212142857141</v>
      </c>
      <c r="V244" s="218">
        <v>4.2524149528985511</v>
      </c>
      <c r="W244" s="207">
        <v>3521</v>
      </c>
      <c r="X244" s="207">
        <v>16033.224462571428</v>
      </c>
      <c r="Y244" s="208">
        <v>1.5676686644166148E-3</v>
      </c>
    </row>
    <row r="245" spans="1:25" ht="15" customHeight="1" x14ac:dyDescent="0.25">
      <c r="A245" s="201" t="s">
        <v>192</v>
      </c>
      <c r="B245" s="209">
        <v>96</v>
      </c>
      <c r="C245" s="209">
        <v>54</v>
      </c>
      <c r="D245" s="219">
        <v>0.5625</v>
      </c>
      <c r="E245" s="220">
        <v>1.7090714285714286</v>
      </c>
      <c r="F245" s="220">
        <v>4.2700611666666664</v>
      </c>
      <c r="G245" s="209">
        <v>2767</v>
      </c>
      <c r="H245" s="209">
        <v>14187.001928571428</v>
      </c>
      <c r="I245" s="210">
        <v>1.4835029328412956E-3</v>
      </c>
      <c r="J245" s="209">
        <v>88</v>
      </c>
      <c r="K245" s="209">
        <v>15</v>
      </c>
      <c r="L245" s="219">
        <v>0.17045454545454544</v>
      </c>
      <c r="M245" s="220">
        <v>2.4485709999999998</v>
      </c>
      <c r="N245" s="220">
        <v>4.1888885833333331</v>
      </c>
      <c r="O245" s="209">
        <v>754</v>
      </c>
      <c r="P245" s="209">
        <v>1846.2225339999998</v>
      </c>
      <c r="Q245" s="210">
        <v>2.7793910366358979E-3</v>
      </c>
      <c r="R245" s="209">
        <v>184</v>
      </c>
      <c r="S245" s="209">
        <v>69</v>
      </c>
      <c r="T245" s="219">
        <v>0.375</v>
      </c>
      <c r="U245" s="220">
        <v>2.0788212142857141</v>
      </c>
      <c r="V245" s="220">
        <v>4.2524149528985511</v>
      </c>
      <c r="W245" s="209">
        <v>3521</v>
      </c>
      <c r="X245" s="209">
        <v>16033.224462571428</v>
      </c>
      <c r="Y245" s="210">
        <v>1.5676686644166148E-3</v>
      </c>
    </row>
    <row r="246" spans="1:25" ht="15" customHeight="1" x14ac:dyDescent="0.25">
      <c r="A246" s="198" t="s">
        <v>380</v>
      </c>
      <c r="B246" s="207">
        <v>52</v>
      </c>
      <c r="C246" s="207">
        <v>23</v>
      </c>
      <c r="D246" s="217">
        <v>0.44230769230769229</v>
      </c>
      <c r="E246" s="218">
        <v>1.9542637362637363</v>
      </c>
      <c r="F246" s="218">
        <v>4.253622833333333</v>
      </c>
      <c r="G246" s="207">
        <v>1174</v>
      </c>
      <c r="H246" s="207">
        <v>6882.9168791208795</v>
      </c>
      <c r="I246" s="208">
        <v>7.1973116152997303E-4</v>
      </c>
      <c r="J246" s="207">
        <v>12</v>
      </c>
      <c r="K246" s="207">
        <v>1</v>
      </c>
      <c r="L246" s="217">
        <v>8.3333333333333329E-2</v>
      </c>
      <c r="M246" s="218">
        <v>2.4485709999999998</v>
      </c>
      <c r="N246" s="218">
        <v>4.416666666666667</v>
      </c>
      <c r="O246" s="207">
        <v>53</v>
      </c>
      <c r="P246" s="207">
        <v>129.77426299999999</v>
      </c>
      <c r="Q246" s="208">
        <v>1.9536833546644907E-4</v>
      </c>
      <c r="R246" s="207">
        <v>64</v>
      </c>
      <c r="S246" s="207">
        <v>24</v>
      </c>
      <c r="T246" s="217">
        <v>0.375</v>
      </c>
      <c r="U246" s="218">
        <v>2.2014173681318683</v>
      </c>
      <c r="V246" s="218">
        <v>4.2604163263888886</v>
      </c>
      <c r="W246" s="207">
        <v>1227</v>
      </c>
      <c r="X246" s="207">
        <v>7012.6911421208797</v>
      </c>
      <c r="Y246" s="208">
        <v>6.8567468648609577E-4</v>
      </c>
    </row>
    <row r="247" spans="1:25" ht="15" customHeight="1" x14ac:dyDescent="0.25">
      <c r="A247" s="201" t="s">
        <v>379</v>
      </c>
      <c r="B247" s="209">
        <v>52</v>
      </c>
      <c r="C247" s="209">
        <v>23</v>
      </c>
      <c r="D247" s="219">
        <v>0.44230769230769229</v>
      </c>
      <c r="E247" s="220">
        <v>1.9542637362637363</v>
      </c>
      <c r="F247" s="220">
        <v>4.253622833333333</v>
      </c>
      <c r="G247" s="209">
        <v>1174</v>
      </c>
      <c r="H247" s="209">
        <v>6882.9168791208795</v>
      </c>
      <c r="I247" s="210">
        <v>7.1973116152997303E-4</v>
      </c>
      <c r="J247" s="209">
        <v>12</v>
      </c>
      <c r="K247" s="209">
        <v>1</v>
      </c>
      <c r="L247" s="219">
        <v>8.3333333333333329E-2</v>
      </c>
      <c r="M247" s="220">
        <v>2.4485709999999998</v>
      </c>
      <c r="N247" s="220">
        <v>4.416666666666667</v>
      </c>
      <c r="O247" s="209">
        <v>53</v>
      </c>
      <c r="P247" s="209">
        <v>129.77426299999999</v>
      </c>
      <c r="Q247" s="210">
        <v>1.9536833546644907E-4</v>
      </c>
      <c r="R247" s="209">
        <v>64</v>
      </c>
      <c r="S247" s="209">
        <v>24</v>
      </c>
      <c r="T247" s="219">
        <v>0.375</v>
      </c>
      <c r="U247" s="220">
        <v>2.2014173681318683</v>
      </c>
      <c r="V247" s="220">
        <v>4.2604163263888886</v>
      </c>
      <c r="W247" s="209">
        <v>1227</v>
      </c>
      <c r="X247" s="209">
        <v>7012.6911421208797</v>
      </c>
      <c r="Y247" s="210">
        <v>6.8567468648609577E-4</v>
      </c>
    </row>
    <row r="248" spans="1:25" ht="15" customHeight="1" x14ac:dyDescent="0.25">
      <c r="A248" s="198" t="s">
        <v>131</v>
      </c>
      <c r="B248" s="207">
        <v>20</v>
      </c>
      <c r="C248" s="207">
        <v>6</v>
      </c>
      <c r="D248" s="217">
        <v>0.3</v>
      </c>
      <c r="E248" s="218">
        <v>2.2445714285714287</v>
      </c>
      <c r="F248" s="218">
        <v>4.6249996666666666</v>
      </c>
      <c r="G248" s="207">
        <v>333</v>
      </c>
      <c r="H248" s="207">
        <v>2242.3268571428571</v>
      </c>
      <c r="I248" s="208">
        <v>2.3447508400354448E-4</v>
      </c>
      <c r="J248" s="223"/>
      <c r="K248" s="223"/>
      <c r="L248" s="223"/>
      <c r="M248" s="223"/>
      <c r="N248" s="223"/>
      <c r="O248" s="223"/>
      <c r="P248" s="223"/>
      <c r="Q248" s="223"/>
      <c r="R248" s="207">
        <v>20</v>
      </c>
      <c r="S248" s="207">
        <v>6</v>
      </c>
      <c r="T248" s="217">
        <v>0.3</v>
      </c>
      <c r="U248" s="218">
        <v>2.2445714285714287</v>
      </c>
      <c r="V248" s="218">
        <v>4.6249996666666666</v>
      </c>
      <c r="W248" s="207">
        <v>333</v>
      </c>
      <c r="X248" s="207">
        <v>2242.3268571428571</v>
      </c>
      <c r="Y248" s="208">
        <v>2.1924632549919857E-4</v>
      </c>
    </row>
    <row r="249" spans="1:25" ht="15" customHeight="1" x14ac:dyDescent="0.25">
      <c r="A249" s="201" t="s">
        <v>251</v>
      </c>
      <c r="B249" s="209">
        <v>20</v>
      </c>
      <c r="C249" s="209">
        <v>6</v>
      </c>
      <c r="D249" s="219">
        <v>0.3</v>
      </c>
      <c r="E249" s="220">
        <v>2.2445714285714287</v>
      </c>
      <c r="F249" s="220">
        <v>4.6249996666666666</v>
      </c>
      <c r="G249" s="209">
        <v>333</v>
      </c>
      <c r="H249" s="209">
        <v>2242.3268571428571</v>
      </c>
      <c r="I249" s="210">
        <v>2.3447508400354448E-4</v>
      </c>
      <c r="J249" s="224"/>
      <c r="K249" s="224"/>
      <c r="L249" s="224"/>
      <c r="M249" s="224"/>
      <c r="N249" s="224"/>
      <c r="O249" s="224"/>
      <c r="P249" s="224"/>
      <c r="Q249" s="224"/>
      <c r="R249" s="209">
        <v>20</v>
      </c>
      <c r="S249" s="209">
        <v>6</v>
      </c>
      <c r="T249" s="219">
        <v>0.3</v>
      </c>
      <c r="U249" s="220">
        <v>2.2445714285714287</v>
      </c>
      <c r="V249" s="220">
        <v>4.6249996666666666</v>
      </c>
      <c r="W249" s="209">
        <v>333</v>
      </c>
      <c r="X249" s="209">
        <v>2242.3268571428571</v>
      </c>
      <c r="Y249" s="210">
        <v>2.1924632549919857E-4</v>
      </c>
    </row>
    <row r="250" spans="1:25" ht="15" customHeight="1" x14ac:dyDescent="0.25">
      <c r="A250" s="198" t="s">
        <v>440</v>
      </c>
      <c r="B250" s="207">
        <v>433</v>
      </c>
      <c r="C250" s="207">
        <v>229</v>
      </c>
      <c r="D250" s="217">
        <v>0.52886836027713624</v>
      </c>
      <c r="E250" s="218">
        <v>1.7776799736060707</v>
      </c>
      <c r="F250" s="218">
        <v>4.2441771666666668</v>
      </c>
      <c r="G250" s="207">
        <v>11663</v>
      </c>
      <c r="H250" s="207">
        <v>62199.244596502809</v>
      </c>
      <c r="I250" s="208">
        <v>6.5040353306497723E-3</v>
      </c>
      <c r="J250" s="207">
        <v>492</v>
      </c>
      <c r="K250" s="207">
        <v>208</v>
      </c>
      <c r="L250" s="217">
        <v>0.42276422764227645</v>
      </c>
      <c r="M250" s="218">
        <v>1.9941324041811845</v>
      </c>
      <c r="N250" s="218">
        <v>4.2576117500000006</v>
      </c>
      <c r="O250" s="207">
        <v>10627</v>
      </c>
      <c r="P250" s="207">
        <v>21191.645059233448</v>
      </c>
      <c r="Q250" s="208">
        <v>3.1902908368034721E-2</v>
      </c>
      <c r="R250" s="207">
        <v>925</v>
      </c>
      <c r="S250" s="207">
        <v>437</v>
      </c>
      <c r="T250" s="217">
        <v>0.47243243243243244</v>
      </c>
      <c r="U250" s="218">
        <v>1.8859061888936277</v>
      </c>
      <c r="V250" s="218">
        <v>4.2505716594202907</v>
      </c>
      <c r="W250" s="207">
        <v>22290</v>
      </c>
      <c r="X250" s="207">
        <v>83390.88965573626</v>
      </c>
      <c r="Y250" s="208">
        <v>8.153649000318109E-3</v>
      </c>
    </row>
    <row r="251" spans="1:25" ht="15" customHeight="1" x14ac:dyDescent="0.25">
      <c r="A251" s="201" t="s">
        <v>191</v>
      </c>
      <c r="B251" s="209">
        <v>433</v>
      </c>
      <c r="C251" s="209">
        <v>229</v>
      </c>
      <c r="D251" s="219">
        <v>0.52886836027713624</v>
      </c>
      <c r="E251" s="220">
        <v>1.7776799736060707</v>
      </c>
      <c r="F251" s="220">
        <v>4.2441771666666668</v>
      </c>
      <c r="G251" s="209">
        <v>11663</v>
      </c>
      <c r="H251" s="209">
        <v>62199.244596502809</v>
      </c>
      <c r="I251" s="210">
        <v>6.5040353306497723E-3</v>
      </c>
      <c r="J251" s="209">
        <v>492</v>
      </c>
      <c r="K251" s="209">
        <v>208</v>
      </c>
      <c r="L251" s="219">
        <v>0.42276422764227645</v>
      </c>
      <c r="M251" s="220">
        <v>1.9941324041811845</v>
      </c>
      <c r="N251" s="220">
        <v>4.2576117500000006</v>
      </c>
      <c r="O251" s="209">
        <v>10627</v>
      </c>
      <c r="P251" s="209">
        <v>21191.645059233448</v>
      </c>
      <c r="Q251" s="210">
        <v>3.1902908368034721E-2</v>
      </c>
      <c r="R251" s="209">
        <v>925</v>
      </c>
      <c r="S251" s="209">
        <v>437</v>
      </c>
      <c r="T251" s="219">
        <v>0.47243243243243244</v>
      </c>
      <c r="U251" s="220">
        <v>1.8859061888936277</v>
      </c>
      <c r="V251" s="220">
        <v>4.2505716594202907</v>
      </c>
      <c r="W251" s="209">
        <v>22290</v>
      </c>
      <c r="X251" s="209">
        <v>83390.88965573626</v>
      </c>
      <c r="Y251" s="210">
        <v>8.153649000318109E-3</v>
      </c>
    </row>
    <row r="252" spans="1:25" ht="15" customHeight="1" x14ac:dyDescent="0.25">
      <c r="A252" s="198" t="s">
        <v>119</v>
      </c>
      <c r="B252" s="207">
        <v>861</v>
      </c>
      <c r="C252" s="207">
        <v>302</v>
      </c>
      <c r="D252" s="217">
        <v>0.35075493612078978</v>
      </c>
      <c r="E252" s="218">
        <v>2.1410313588850176</v>
      </c>
      <c r="F252" s="218">
        <v>4.1277590000000002</v>
      </c>
      <c r="G252" s="207">
        <v>14959</v>
      </c>
      <c r="H252" s="207">
        <v>96083.064292682931</v>
      </c>
      <c r="I252" s="208">
        <v>1.0047190265584677E-2</v>
      </c>
      <c r="J252" s="207">
        <v>185</v>
      </c>
      <c r="K252" s="207">
        <v>50</v>
      </c>
      <c r="L252" s="217">
        <v>0.27027027027027029</v>
      </c>
      <c r="M252" s="218">
        <v>2.3052200772200773</v>
      </c>
      <c r="N252" s="218">
        <v>4.0016666666666669</v>
      </c>
      <c r="O252" s="207">
        <v>2401</v>
      </c>
      <c r="P252" s="207">
        <v>5534.8334054054058</v>
      </c>
      <c r="Q252" s="208">
        <v>8.3324009283578214E-3</v>
      </c>
      <c r="R252" s="207">
        <v>1046</v>
      </c>
      <c r="S252" s="207">
        <v>352</v>
      </c>
      <c r="T252" s="217">
        <v>0.33652007648183557</v>
      </c>
      <c r="U252" s="218">
        <v>2.2231257180525477</v>
      </c>
      <c r="V252" s="218">
        <v>4.1098481571969696</v>
      </c>
      <c r="W252" s="207">
        <v>17360</v>
      </c>
      <c r="X252" s="207">
        <v>101617.89769808833</v>
      </c>
      <c r="Y252" s="208">
        <v>9.9358176103047646E-3</v>
      </c>
    </row>
    <row r="253" spans="1:25" ht="15" customHeight="1" x14ac:dyDescent="0.25">
      <c r="A253" s="201" t="s">
        <v>190</v>
      </c>
      <c r="B253" s="209">
        <v>861</v>
      </c>
      <c r="C253" s="209">
        <v>302</v>
      </c>
      <c r="D253" s="219">
        <v>0.35075493612078978</v>
      </c>
      <c r="E253" s="220">
        <v>2.1410313588850176</v>
      </c>
      <c r="F253" s="220">
        <v>4.1277590000000002</v>
      </c>
      <c r="G253" s="209">
        <v>14959</v>
      </c>
      <c r="H253" s="209">
        <v>96083.064292682931</v>
      </c>
      <c r="I253" s="210">
        <v>1.0047190265584677E-2</v>
      </c>
      <c r="J253" s="209">
        <v>185</v>
      </c>
      <c r="K253" s="209">
        <v>50</v>
      </c>
      <c r="L253" s="219">
        <v>0.27027027027027029</v>
      </c>
      <c r="M253" s="220">
        <v>2.3052200772200773</v>
      </c>
      <c r="N253" s="220">
        <v>4.0016666666666669</v>
      </c>
      <c r="O253" s="209">
        <v>2401</v>
      </c>
      <c r="P253" s="209">
        <v>5534.8334054054058</v>
      </c>
      <c r="Q253" s="210">
        <v>8.3324009283578214E-3</v>
      </c>
      <c r="R253" s="209">
        <v>1046</v>
      </c>
      <c r="S253" s="209">
        <v>352</v>
      </c>
      <c r="T253" s="219">
        <v>0.33652007648183557</v>
      </c>
      <c r="U253" s="220">
        <v>2.2231257180525477</v>
      </c>
      <c r="V253" s="220">
        <v>4.1098481571969696</v>
      </c>
      <c r="W253" s="209">
        <v>17360</v>
      </c>
      <c r="X253" s="209">
        <v>101617.89769808833</v>
      </c>
      <c r="Y253" s="210">
        <v>9.9358176103047646E-3</v>
      </c>
    </row>
    <row r="254" spans="1:25" ht="15" customHeight="1" x14ac:dyDescent="0.25">
      <c r="A254" s="198" t="s">
        <v>120</v>
      </c>
      <c r="B254" s="207">
        <v>378</v>
      </c>
      <c r="C254" s="207">
        <v>254</v>
      </c>
      <c r="D254" s="217">
        <v>0.67195767195767198</v>
      </c>
      <c r="E254" s="218">
        <v>1.4857777777777779</v>
      </c>
      <c r="F254" s="218">
        <v>4.294618916666666</v>
      </c>
      <c r="G254" s="207">
        <v>13090</v>
      </c>
      <c r="H254" s="207">
        <v>58346.493333333339</v>
      </c>
      <c r="I254" s="208">
        <v>6.1011617829335885E-3</v>
      </c>
      <c r="J254" s="207">
        <v>46</v>
      </c>
      <c r="K254" s="207">
        <v>32</v>
      </c>
      <c r="L254" s="217">
        <v>0.69565217391304346</v>
      </c>
      <c r="M254" s="218">
        <v>1.43744099378882</v>
      </c>
      <c r="N254" s="218">
        <v>4.46875</v>
      </c>
      <c r="O254" s="207">
        <v>1716</v>
      </c>
      <c r="P254" s="207">
        <v>2466.6487453416153</v>
      </c>
      <c r="Q254" s="208">
        <v>3.7134101047277489E-3</v>
      </c>
      <c r="R254" s="207">
        <v>424</v>
      </c>
      <c r="S254" s="207">
        <v>286</v>
      </c>
      <c r="T254" s="217">
        <v>0.67452830188679247</v>
      </c>
      <c r="U254" s="218">
        <v>1.4616093857832988</v>
      </c>
      <c r="V254" s="218">
        <v>4.3141021148018641</v>
      </c>
      <c r="W254" s="207">
        <v>14806</v>
      </c>
      <c r="X254" s="207">
        <v>60813.142078674951</v>
      </c>
      <c r="Y254" s="208">
        <v>5.9460813664779363E-3</v>
      </c>
    </row>
    <row r="255" spans="1:25" ht="15" customHeight="1" x14ac:dyDescent="0.25">
      <c r="A255" s="201" t="s">
        <v>189</v>
      </c>
      <c r="B255" s="209">
        <v>378</v>
      </c>
      <c r="C255" s="209">
        <v>254</v>
      </c>
      <c r="D255" s="219">
        <v>0.67195767195767198</v>
      </c>
      <c r="E255" s="220">
        <v>1.4857777777777779</v>
      </c>
      <c r="F255" s="220">
        <v>4.294618916666666</v>
      </c>
      <c r="G255" s="209">
        <v>13090</v>
      </c>
      <c r="H255" s="209">
        <v>58346.493333333339</v>
      </c>
      <c r="I255" s="210">
        <v>6.1011617829335885E-3</v>
      </c>
      <c r="J255" s="209">
        <v>46</v>
      </c>
      <c r="K255" s="209">
        <v>32</v>
      </c>
      <c r="L255" s="219">
        <v>0.69565217391304346</v>
      </c>
      <c r="M255" s="220">
        <v>1.43744099378882</v>
      </c>
      <c r="N255" s="220">
        <v>4.46875</v>
      </c>
      <c r="O255" s="209">
        <v>1716</v>
      </c>
      <c r="P255" s="209">
        <v>2466.6487453416153</v>
      </c>
      <c r="Q255" s="210">
        <v>3.7134101047277489E-3</v>
      </c>
      <c r="R255" s="209">
        <v>424</v>
      </c>
      <c r="S255" s="209">
        <v>286</v>
      </c>
      <c r="T255" s="219">
        <v>0.67452830188679247</v>
      </c>
      <c r="U255" s="220">
        <v>1.4616093857832988</v>
      </c>
      <c r="V255" s="220">
        <v>4.3141021148018641</v>
      </c>
      <c r="W255" s="209">
        <v>14806</v>
      </c>
      <c r="X255" s="209">
        <v>60813.142078674951</v>
      </c>
      <c r="Y255" s="210">
        <v>5.9460813664779363E-3</v>
      </c>
    </row>
    <row r="256" spans="1:25" ht="15" customHeight="1" x14ac:dyDescent="0.25">
      <c r="A256" s="198" t="s">
        <v>501</v>
      </c>
      <c r="B256" s="207">
        <v>14</v>
      </c>
      <c r="C256" s="207">
        <v>11</v>
      </c>
      <c r="D256" s="217">
        <v>0.7857142857142857</v>
      </c>
      <c r="E256" s="218">
        <v>1.2727272727272727</v>
      </c>
      <c r="F256" s="218">
        <v>4.4772722500000004</v>
      </c>
      <c r="G256" s="207">
        <v>591</v>
      </c>
      <c r="H256" s="207">
        <v>2256.5454545454545</v>
      </c>
      <c r="I256" s="208">
        <v>2.3596189080415277E-4</v>
      </c>
      <c r="J256" s="223"/>
      <c r="K256" s="223"/>
      <c r="L256" s="223"/>
      <c r="M256" s="223"/>
      <c r="N256" s="223"/>
      <c r="O256" s="223"/>
      <c r="P256" s="223"/>
      <c r="Q256" s="223"/>
      <c r="R256" s="207">
        <v>14</v>
      </c>
      <c r="S256" s="207">
        <v>11</v>
      </c>
      <c r="T256" s="217">
        <v>0.7857142857142857</v>
      </c>
      <c r="U256" s="218">
        <v>1.2727272727272727</v>
      </c>
      <c r="V256" s="218">
        <v>4.4772722500000004</v>
      </c>
      <c r="W256" s="207">
        <v>591</v>
      </c>
      <c r="X256" s="207">
        <v>2256.5454545454545</v>
      </c>
      <c r="Y256" s="208">
        <v>2.2063656672310472E-4</v>
      </c>
    </row>
    <row r="257" spans="1:25" ht="15" customHeight="1" x14ac:dyDescent="0.25">
      <c r="A257" s="201" t="s">
        <v>188</v>
      </c>
      <c r="B257" s="209">
        <v>14</v>
      </c>
      <c r="C257" s="209">
        <v>11</v>
      </c>
      <c r="D257" s="219">
        <v>0.7857142857142857</v>
      </c>
      <c r="E257" s="220">
        <v>1.2727272727272727</v>
      </c>
      <c r="F257" s="220">
        <v>4.4772722500000004</v>
      </c>
      <c r="G257" s="209">
        <v>591</v>
      </c>
      <c r="H257" s="209">
        <v>2256.5454545454545</v>
      </c>
      <c r="I257" s="210">
        <v>2.3596189080415277E-4</v>
      </c>
      <c r="J257" s="224"/>
      <c r="K257" s="224"/>
      <c r="L257" s="224"/>
      <c r="M257" s="224"/>
      <c r="N257" s="224"/>
      <c r="O257" s="224"/>
      <c r="P257" s="224"/>
      <c r="Q257" s="224"/>
      <c r="R257" s="209">
        <v>14</v>
      </c>
      <c r="S257" s="209">
        <v>11</v>
      </c>
      <c r="T257" s="219">
        <v>0.7857142857142857</v>
      </c>
      <c r="U257" s="220">
        <v>1.2727272727272727</v>
      </c>
      <c r="V257" s="220">
        <v>4.4772722500000004</v>
      </c>
      <c r="W257" s="209">
        <v>591</v>
      </c>
      <c r="X257" s="209">
        <v>2256.5454545454545</v>
      </c>
      <c r="Y257" s="210">
        <v>2.2063656672310472E-4</v>
      </c>
    </row>
    <row r="258" spans="1:25" ht="15" customHeight="1" x14ac:dyDescent="0.25">
      <c r="A258" s="198" t="s">
        <v>122</v>
      </c>
      <c r="B258" s="207">
        <v>1266</v>
      </c>
      <c r="C258" s="207">
        <v>425</v>
      </c>
      <c r="D258" s="217">
        <v>0.33570300157977884</v>
      </c>
      <c r="E258" s="218">
        <v>2.1717373053486799</v>
      </c>
      <c r="F258" s="218">
        <v>4.2815682499999994</v>
      </c>
      <c r="G258" s="207">
        <v>21836</v>
      </c>
      <c r="H258" s="207">
        <v>142266.16739878131</v>
      </c>
      <c r="I258" s="208">
        <v>1.487645364699227E-2</v>
      </c>
      <c r="J258" s="207">
        <v>616</v>
      </c>
      <c r="K258" s="207">
        <v>146</v>
      </c>
      <c r="L258" s="217">
        <v>0.23701298701298701</v>
      </c>
      <c r="M258" s="218">
        <v>2.3730649350649351</v>
      </c>
      <c r="N258" s="218">
        <v>4.1866433333333335</v>
      </c>
      <c r="O258" s="207">
        <v>7335</v>
      </c>
      <c r="P258" s="207">
        <v>17406.4312987013</v>
      </c>
      <c r="Q258" s="208">
        <v>2.6204467901608307E-2</v>
      </c>
      <c r="R258" s="207">
        <v>1882</v>
      </c>
      <c r="S258" s="207">
        <v>571</v>
      </c>
      <c r="T258" s="217">
        <v>0.30340063761955366</v>
      </c>
      <c r="U258" s="218">
        <v>2.2724011202068075</v>
      </c>
      <c r="V258" s="218">
        <v>4.2572967301517801</v>
      </c>
      <c r="W258" s="207">
        <v>29171</v>
      </c>
      <c r="X258" s="207">
        <v>159672.59869748261</v>
      </c>
      <c r="Y258" s="208">
        <v>1.5612188934818109E-2</v>
      </c>
    </row>
    <row r="259" spans="1:25" ht="15" customHeight="1" x14ac:dyDescent="0.25">
      <c r="A259" s="201" t="s">
        <v>184</v>
      </c>
      <c r="B259" s="209">
        <v>1266</v>
      </c>
      <c r="C259" s="209">
        <v>425</v>
      </c>
      <c r="D259" s="219">
        <v>0.33570300157977884</v>
      </c>
      <c r="E259" s="220">
        <v>2.1717373053486799</v>
      </c>
      <c r="F259" s="220">
        <v>4.2815682499999994</v>
      </c>
      <c r="G259" s="209">
        <v>21836</v>
      </c>
      <c r="H259" s="209">
        <v>142266.16739878131</v>
      </c>
      <c r="I259" s="210">
        <v>1.487645364699227E-2</v>
      </c>
      <c r="J259" s="209">
        <v>616</v>
      </c>
      <c r="K259" s="209">
        <v>146</v>
      </c>
      <c r="L259" s="219">
        <v>0.23701298701298701</v>
      </c>
      <c r="M259" s="220">
        <v>2.3730649350649351</v>
      </c>
      <c r="N259" s="220">
        <v>4.1866433333333335</v>
      </c>
      <c r="O259" s="209">
        <v>7335</v>
      </c>
      <c r="P259" s="209">
        <v>17406.4312987013</v>
      </c>
      <c r="Q259" s="210">
        <v>2.6204467901608307E-2</v>
      </c>
      <c r="R259" s="209">
        <v>1882</v>
      </c>
      <c r="S259" s="209">
        <v>571</v>
      </c>
      <c r="T259" s="219">
        <v>0.30340063761955366</v>
      </c>
      <c r="U259" s="220">
        <v>2.2724011202068075</v>
      </c>
      <c r="V259" s="220">
        <v>4.2572967301517801</v>
      </c>
      <c r="W259" s="209">
        <v>29171</v>
      </c>
      <c r="X259" s="209">
        <v>159672.59869748261</v>
      </c>
      <c r="Y259" s="210">
        <v>1.5612188934818109E-2</v>
      </c>
    </row>
    <row r="260" spans="1:25" ht="15" customHeight="1" x14ac:dyDescent="0.25">
      <c r="A260" s="198" t="s">
        <v>123</v>
      </c>
      <c r="B260" s="207">
        <v>93</v>
      </c>
      <c r="C260" s="207">
        <v>62</v>
      </c>
      <c r="D260" s="217">
        <v>0.66666666666666663</v>
      </c>
      <c r="E260" s="218">
        <v>1.4965714285714287</v>
      </c>
      <c r="F260" s="218">
        <v>3.8763437499999998</v>
      </c>
      <c r="G260" s="207">
        <v>2884</v>
      </c>
      <c r="H260" s="207">
        <v>12948.336000000001</v>
      </c>
      <c r="I260" s="208">
        <v>1.3539784182822613E-3</v>
      </c>
      <c r="J260" s="223"/>
      <c r="K260" s="223"/>
      <c r="L260" s="223"/>
      <c r="M260" s="223"/>
      <c r="N260" s="223"/>
      <c r="O260" s="223"/>
      <c r="P260" s="223"/>
      <c r="Q260" s="223"/>
      <c r="R260" s="207">
        <v>93</v>
      </c>
      <c r="S260" s="207">
        <v>62</v>
      </c>
      <c r="T260" s="217">
        <v>0.66666666666666663</v>
      </c>
      <c r="U260" s="218">
        <v>1.4965714285714287</v>
      </c>
      <c r="V260" s="218">
        <v>3.8763437499999998</v>
      </c>
      <c r="W260" s="207">
        <v>2884</v>
      </c>
      <c r="X260" s="207">
        <v>12948.336000000001</v>
      </c>
      <c r="Y260" s="208">
        <v>1.2660398194339283E-3</v>
      </c>
    </row>
    <row r="261" spans="1:25" ht="15" customHeight="1" x14ac:dyDescent="0.25">
      <c r="A261" s="201" t="s">
        <v>183</v>
      </c>
      <c r="B261" s="209">
        <v>93</v>
      </c>
      <c r="C261" s="209">
        <v>62</v>
      </c>
      <c r="D261" s="219">
        <v>0.66666666666666663</v>
      </c>
      <c r="E261" s="220">
        <v>1.4965714285714287</v>
      </c>
      <c r="F261" s="220">
        <v>3.8763437499999998</v>
      </c>
      <c r="G261" s="209">
        <v>2884</v>
      </c>
      <c r="H261" s="209">
        <v>12948.336000000001</v>
      </c>
      <c r="I261" s="210">
        <v>1.3539784182822613E-3</v>
      </c>
      <c r="J261" s="224"/>
      <c r="K261" s="224"/>
      <c r="L261" s="224"/>
      <c r="M261" s="224"/>
      <c r="N261" s="224"/>
      <c r="O261" s="224"/>
      <c r="P261" s="224"/>
      <c r="Q261" s="224"/>
      <c r="R261" s="209">
        <v>93</v>
      </c>
      <c r="S261" s="209">
        <v>62</v>
      </c>
      <c r="T261" s="219">
        <v>0.66666666666666663</v>
      </c>
      <c r="U261" s="220">
        <v>1.4965714285714287</v>
      </c>
      <c r="V261" s="220">
        <v>3.8763437499999998</v>
      </c>
      <c r="W261" s="209">
        <v>2884</v>
      </c>
      <c r="X261" s="209">
        <v>12948.336000000001</v>
      </c>
      <c r="Y261" s="210">
        <v>1.2660398194339283E-3</v>
      </c>
    </row>
    <row r="262" spans="1:25" ht="15" customHeight="1" x14ac:dyDescent="0.25">
      <c r="A262" s="198" t="s">
        <v>124</v>
      </c>
      <c r="B262" s="207">
        <v>645</v>
      </c>
      <c r="C262" s="207">
        <v>566</v>
      </c>
      <c r="D262" s="217">
        <v>0.8775193798449612</v>
      </c>
      <c r="E262" s="218">
        <v>1.1395759717314489</v>
      </c>
      <c r="F262" s="218">
        <v>4.38692525</v>
      </c>
      <c r="G262" s="207">
        <v>29796</v>
      </c>
      <c r="H262" s="207">
        <v>101864.41696113074</v>
      </c>
      <c r="I262" s="208">
        <v>1.0651733331315819E-2</v>
      </c>
      <c r="J262" s="207">
        <v>252</v>
      </c>
      <c r="K262" s="207">
        <v>175</v>
      </c>
      <c r="L262" s="217">
        <v>0.69444444444444442</v>
      </c>
      <c r="M262" s="218">
        <v>1.439904761904762</v>
      </c>
      <c r="N262" s="218">
        <v>4.2038090833333328</v>
      </c>
      <c r="O262" s="207">
        <v>8828</v>
      </c>
      <c r="P262" s="207">
        <v>12711.479238095239</v>
      </c>
      <c r="Q262" s="208">
        <v>1.9136464216044081E-2</v>
      </c>
      <c r="R262" s="207">
        <v>897</v>
      </c>
      <c r="S262" s="207">
        <v>741</v>
      </c>
      <c r="T262" s="217">
        <v>0.82608695652173914</v>
      </c>
      <c r="U262" s="218">
        <v>1.2897403668181053</v>
      </c>
      <c r="V262" s="218">
        <v>4.3436791917453883</v>
      </c>
      <c r="W262" s="207">
        <v>38624</v>
      </c>
      <c r="X262" s="207">
        <v>114575.89619922599</v>
      </c>
      <c r="Y262" s="208">
        <v>1.1202802192926456E-2</v>
      </c>
    </row>
    <row r="263" spans="1:25" ht="15" customHeight="1" x14ac:dyDescent="0.25">
      <c r="A263" s="201" t="s">
        <v>178</v>
      </c>
      <c r="B263" s="209">
        <v>645</v>
      </c>
      <c r="C263" s="209">
        <v>566</v>
      </c>
      <c r="D263" s="219">
        <v>0.8775193798449612</v>
      </c>
      <c r="E263" s="220">
        <v>1.1395759717314489</v>
      </c>
      <c r="F263" s="220">
        <v>4.38692525</v>
      </c>
      <c r="G263" s="209">
        <v>29796</v>
      </c>
      <c r="H263" s="209">
        <v>101864.41696113074</v>
      </c>
      <c r="I263" s="210">
        <v>1.0651733331315819E-2</v>
      </c>
      <c r="J263" s="209">
        <v>252</v>
      </c>
      <c r="K263" s="209">
        <v>175</v>
      </c>
      <c r="L263" s="219">
        <v>0.69444444444444442</v>
      </c>
      <c r="M263" s="220">
        <v>1.439904761904762</v>
      </c>
      <c r="N263" s="220">
        <v>4.2038090833333328</v>
      </c>
      <c r="O263" s="209">
        <v>8828</v>
      </c>
      <c r="P263" s="209">
        <v>12711.479238095239</v>
      </c>
      <c r="Q263" s="210">
        <v>1.9136464216044081E-2</v>
      </c>
      <c r="R263" s="209">
        <v>897</v>
      </c>
      <c r="S263" s="209">
        <v>741</v>
      </c>
      <c r="T263" s="219">
        <v>0.82608695652173914</v>
      </c>
      <c r="U263" s="220">
        <v>1.2897403668181053</v>
      </c>
      <c r="V263" s="220">
        <v>4.3436791917453883</v>
      </c>
      <c r="W263" s="209">
        <v>38624</v>
      </c>
      <c r="X263" s="209">
        <v>114575.89619922599</v>
      </c>
      <c r="Y263" s="210">
        <v>1.1202802192926456E-2</v>
      </c>
    </row>
    <row r="264" spans="1:25" ht="15" customHeight="1" x14ac:dyDescent="0.25">
      <c r="A264" s="198" t="s">
        <v>125</v>
      </c>
      <c r="B264" s="207">
        <v>603</v>
      </c>
      <c r="C264" s="207">
        <v>450</v>
      </c>
      <c r="D264" s="217">
        <v>0.74626865671641796</v>
      </c>
      <c r="E264" s="218">
        <v>1.34</v>
      </c>
      <c r="F264" s="218">
        <v>4.2507403333333338</v>
      </c>
      <c r="G264" s="207">
        <v>22954</v>
      </c>
      <c r="H264" s="207">
        <v>92275.08</v>
      </c>
      <c r="I264" s="208">
        <v>9.6489978994419908E-3</v>
      </c>
      <c r="J264" s="207">
        <v>157</v>
      </c>
      <c r="K264" s="207">
        <v>84</v>
      </c>
      <c r="L264" s="217">
        <v>0.53503184713375795</v>
      </c>
      <c r="M264" s="218">
        <v>1.7651064604185625</v>
      </c>
      <c r="N264" s="218">
        <v>4.1775790833333337</v>
      </c>
      <c r="O264" s="207">
        <v>4211</v>
      </c>
      <c r="P264" s="207">
        <v>7432.8633048225665</v>
      </c>
      <c r="Q264" s="208">
        <v>1.1189785232013489E-2</v>
      </c>
      <c r="R264" s="207">
        <v>760</v>
      </c>
      <c r="S264" s="207">
        <v>534</v>
      </c>
      <c r="T264" s="217">
        <v>0.70263157894736838</v>
      </c>
      <c r="U264" s="218">
        <v>1.5525532302092813</v>
      </c>
      <c r="V264" s="218">
        <v>4.2392318220973788</v>
      </c>
      <c r="W264" s="207">
        <v>27165</v>
      </c>
      <c r="X264" s="207">
        <v>99707.943304822562</v>
      </c>
      <c r="Y264" s="208">
        <v>9.7490694200216849E-3</v>
      </c>
    </row>
    <row r="265" spans="1:25" ht="15" customHeight="1" x14ac:dyDescent="0.25">
      <c r="A265" s="201" t="s">
        <v>176</v>
      </c>
      <c r="B265" s="209">
        <v>603</v>
      </c>
      <c r="C265" s="209">
        <v>450</v>
      </c>
      <c r="D265" s="219">
        <v>0.74626865671641796</v>
      </c>
      <c r="E265" s="220">
        <v>1.34</v>
      </c>
      <c r="F265" s="220">
        <v>4.2507403333333338</v>
      </c>
      <c r="G265" s="209">
        <v>22954</v>
      </c>
      <c r="H265" s="209">
        <v>92275.08</v>
      </c>
      <c r="I265" s="210">
        <v>9.6489978994419908E-3</v>
      </c>
      <c r="J265" s="209">
        <v>157</v>
      </c>
      <c r="K265" s="209">
        <v>84</v>
      </c>
      <c r="L265" s="219">
        <v>0.53503184713375795</v>
      </c>
      <c r="M265" s="220">
        <v>1.7651064604185625</v>
      </c>
      <c r="N265" s="220">
        <v>4.1775790833333337</v>
      </c>
      <c r="O265" s="209">
        <v>4211</v>
      </c>
      <c r="P265" s="209">
        <v>7432.8633048225665</v>
      </c>
      <c r="Q265" s="210">
        <v>1.1189785232013489E-2</v>
      </c>
      <c r="R265" s="209">
        <v>760</v>
      </c>
      <c r="S265" s="209">
        <v>534</v>
      </c>
      <c r="T265" s="219">
        <v>0.70263157894736838</v>
      </c>
      <c r="U265" s="220">
        <v>1.5525532302092813</v>
      </c>
      <c r="V265" s="220">
        <v>4.2392318220973788</v>
      </c>
      <c r="W265" s="209">
        <v>27165</v>
      </c>
      <c r="X265" s="209">
        <v>99707.943304822562</v>
      </c>
      <c r="Y265" s="210">
        <v>9.7490694200216849E-3</v>
      </c>
    </row>
    <row r="266" spans="1:25" x14ac:dyDescent="0.25">
      <c r="A266" s="204" t="s">
        <v>13</v>
      </c>
      <c r="B266" s="211">
        <v>67615</v>
      </c>
      <c r="C266" s="211">
        <v>36324</v>
      </c>
      <c r="D266" s="221">
        <v>0.5372180729128152</v>
      </c>
      <c r="E266" s="222">
        <v>1.6699374869018202</v>
      </c>
      <c r="F266" s="222">
        <v>4.2815302648131519</v>
      </c>
      <c r="G266" s="211">
        <v>1864596</v>
      </c>
      <c r="H266" s="211">
        <v>9563177.5404714663</v>
      </c>
      <c r="I266" s="212">
        <v>1</v>
      </c>
      <c r="J266" s="211">
        <v>18067</v>
      </c>
      <c r="K266" s="211">
        <v>6529</v>
      </c>
      <c r="L266" s="221">
        <v>0.36137709636353571</v>
      </c>
      <c r="M266" s="222">
        <v>1.9380694082362337</v>
      </c>
      <c r="N266" s="222">
        <v>4.2055793406517523</v>
      </c>
      <c r="O266" s="211">
        <v>329624</v>
      </c>
      <c r="P266" s="211">
        <v>664254.3311338512</v>
      </c>
      <c r="Q266" s="212">
        <v>1</v>
      </c>
      <c r="R266" s="211">
        <v>85682</v>
      </c>
      <c r="S266" s="211">
        <v>42853</v>
      </c>
      <c r="T266" s="221">
        <v>0.50014005275320372</v>
      </c>
      <c r="U266" s="222">
        <v>1.7865165831341743</v>
      </c>
      <c r="V266" s="222">
        <v>4.270205394580894</v>
      </c>
      <c r="W266" s="211">
        <v>2194220</v>
      </c>
      <c r="X266" s="211">
        <v>10227431.871605318</v>
      </c>
      <c r="Y266" s="212">
        <v>1</v>
      </c>
    </row>
    <row r="268" spans="1:25" x14ac:dyDescent="0.25">
      <c r="A268" s="5"/>
    </row>
    <row r="269" spans="1:25" x14ac:dyDescent="0.25">
      <c r="A269" s="137" t="s">
        <v>487</v>
      </c>
    </row>
  </sheetData>
  <mergeCells count="11">
    <mergeCell ref="B2:I2"/>
    <mergeCell ref="J2:Q2"/>
    <mergeCell ref="R2:R3"/>
    <mergeCell ref="Z2:Z3"/>
    <mergeCell ref="S2:S3"/>
    <mergeCell ref="T2:T3"/>
    <mergeCell ref="U2:U3"/>
    <mergeCell ref="V2:V3"/>
    <mergeCell ref="X2:X3"/>
    <mergeCell ref="W2:W3"/>
    <mergeCell ref="Y2:Y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129"/>
  <sheetViews>
    <sheetView workbookViewId="0">
      <pane xSplit="1" ySplit="1" topLeftCell="B2" activePane="bottomRight" state="frozen"/>
      <selection pane="topRight" activeCell="B1" sqref="B1"/>
      <selection pane="bottomLeft" activeCell="A5" sqref="A5"/>
      <selection pane="bottomRight"/>
    </sheetView>
  </sheetViews>
  <sheetFormatPr defaultColWidth="19.5703125" defaultRowHeight="15" x14ac:dyDescent="0.25"/>
  <cols>
    <col min="1" max="1" width="34.28515625" style="137" customWidth="1"/>
    <col min="2" max="8" width="17.42578125" style="137" customWidth="1"/>
    <col min="9" max="16384" width="19.5703125" style="137"/>
  </cols>
  <sheetData>
    <row r="1" spans="1:10" ht="24" x14ac:dyDescent="0.25">
      <c r="A1" s="197" t="s">
        <v>12</v>
      </c>
      <c r="B1" s="35"/>
      <c r="C1" s="197" t="s">
        <v>403</v>
      </c>
      <c r="D1" s="197" t="s">
        <v>404</v>
      </c>
      <c r="E1" s="197" t="s">
        <v>405</v>
      </c>
      <c r="F1" s="197" t="s">
        <v>531</v>
      </c>
      <c r="G1" s="197" t="s">
        <v>407</v>
      </c>
      <c r="H1" s="197" t="s">
        <v>408</v>
      </c>
      <c r="I1" s="197" t="s">
        <v>409</v>
      </c>
      <c r="J1" s="197" t="s">
        <v>410</v>
      </c>
    </row>
    <row r="2" spans="1:10" x14ac:dyDescent="0.25">
      <c r="A2" s="225" t="s">
        <v>378</v>
      </c>
      <c r="B2" s="228" t="s">
        <v>377</v>
      </c>
      <c r="C2" s="209">
        <v>700273</v>
      </c>
      <c r="D2" s="209">
        <v>139726</v>
      </c>
      <c r="E2" s="219">
        <v>0.19953075443434204</v>
      </c>
      <c r="F2" s="220">
        <v>2.4485714285714284</v>
      </c>
      <c r="G2" s="226">
        <v>4.1545551651088557</v>
      </c>
      <c r="H2" s="209">
        <v>4643995</v>
      </c>
      <c r="I2" s="209">
        <v>11371153.471428571</v>
      </c>
      <c r="J2" s="210">
        <v>3.3503004688975602E-2</v>
      </c>
    </row>
    <row r="3" spans="1:10" x14ac:dyDescent="0.25">
      <c r="A3" s="225" t="s">
        <v>15</v>
      </c>
      <c r="B3" s="228" t="s">
        <v>320</v>
      </c>
      <c r="C3" s="209">
        <v>34781</v>
      </c>
      <c r="D3" s="209">
        <v>10230</v>
      </c>
      <c r="E3" s="219">
        <v>0.29412610333227912</v>
      </c>
      <c r="F3" s="220">
        <v>2.2565541777735794</v>
      </c>
      <c r="G3" s="226">
        <v>4.0438905180840665</v>
      </c>
      <c r="H3" s="209">
        <v>330952</v>
      </c>
      <c r="I3" s="209">
        <v>746811.11824252165</v>
      </c>
      <c r="J3" s="210">
        <v>2.2003411051592261E-3</v>
      </c>
    </row>
    <row r="4" spans="1:10" x14ac:dyDescent="0.25">
      <c r="A4" s="225" t="s">
        <v>16</v>
      </c>
      <c r="B4" s="228" t="s">
        <v>319</v>
      </c>
      <c r="C4" s="209">
        <v>1419</v>
      </c>
      <c r="D4" s="209">
        <v>842</v>
      </c>
      <c r="E4" s="219">
        <v>0.59337561663143057</v>
      </c>
      <c r="F4" s="220">
        <v>1.6460851706433102</v>
      </c>
      <c r="G4" s="226">
        <v>4.3500593824228027</v>
      </c>
      <c r="H4" s="209">
        <v>29302</v>
      </c>
      <c r="I4" s="209">
        <v>48233.587670190274</v>
      </c>
      <c r="J4" s="210">
        <v>1.4211136257555798E-4</v>
      </c>
    </row>
    <row r="5" spans="1:10" x14ac:dyDescent="0.25">
      <c r="A5" s="225" t="s">
        <v>489</v>
      </c>
      <c r="B5" s="228" t="s">
        <v>488</v>
      </c>
      <c r="C5" s="209">
        <v>80220</v>
      </c>
      <c r="D5" s="209">
        <v>23555</v>
      </c>
      <c r="E5" s="219">
        <v>0.29363001745200701</v>
      </c>
      <c r="F5" s="220">
        <v>2.2575661929693345</v>
      </c>
      <c r="G5" s="226">
        <v>4.437003820844831</v>
      </c>
      <c r="H5" s="209">
        <v>836109</v>
      </c>
      <c r="I5" s="209">
        <v>1887571.4120373973</v>
      </c>
      <c r="J5" s="210">
        <v>5.561380736541971E-3</v>
      </c>
    </row>
    <row r="6" spans="1:10" x14ac:dyDescent="0.25">
      <c r="A6" s="225" t="s">
        <v>17</v>
      </c>
      <c r="B6" s="228" t="s">
        <v>318</v>
      </c>
      <c r="C6" s="209">
        <v>33251</v>
      </c>
      <c r="D6" s="209">
        <v>11472</v>
      </c>
      <c r="E6" s="219">
        <v>0.34501218008480949</v>
      </c>
      <c r="F6" s="220">
        <v>2.152746581198417</v>
      </c>
      <c r="G6" s="226">
        <v>4.4347759762900978</v>
      </c>
      <c r="H6" s="209">
        <v>407006</v>
      </c>
      <c r="I6" s="209">
        <v>876180.77502724295</v>
      </c>
      <c r="J6" s="210">
        <v>2.5815049183783583E-3</v>
      </c>
    </row>
    <row r="7" spans="1:10" x14ac:dyDescent="0.25">
      <c r="A7" s="225" t="s">
        <v>494</v>
      </c>
      <c r="B7" s="228" t="s">
        <v>316</v>
      </c>
      <c r="C7" s="209">
        <v>42615</v>
      </c>
      <c r="D7" s="209">
        <v>8084</v>
      </c>
      <c r="E7" s="219">
        <v>0.18969846298251788</v>
      </c>
      <c r="F7" s="220">
        <v>2.4485714285714284</v>
      </c>
      <c r="G7" s="226">
        <v>4.2390833745670458</v>
      </c>
      <c r="H7" s="209">
        <v>274150</v>
      </c>
      <c r="I7" s="209">
        <v>671275.85714285704</v>
      </c>
      <c r="J7" s="210">
        <v>1.9777904014717197E-3</v>
      </c>
    </row>
    <row r="8" spans="1:10" x14ac:dyDescent="0.25">
      <c r="A8" s="225" t="s">
        <v>19</v>
      </c>
      <c r="B8" s="228" t="s">
        <v>315</v>
      </c>
      <c r="C8" s="209">
        <v>99649</v>
      </c>
      <c r="D8" s="209">
        <v>24166</v>
      </c>
      <c r="E8" s="219">
        <v>0.24251121436241208</v>
      </c>
      <c r="F8" s="220">
        <v>2.3618485512721081</v>
      </c>
      <c r="G8" s="226">
        <v>4.1671821981296038</v>
      </c>
      <c r="H8" s="209">
        <v>805633</v>
      </c>
      <c r="I8" s="209">
        <v>1902783.1339070024</v>
      </c>
      <c r="J8" s="210">
        <v>5.6061992670811377E-3</v>
      </c>
    </row>
    <row r="9" spans="1:10" x14ac:dyDescent="0.25">
      <c r="A9" s="225" t="s">
        <v>148</v>
      </c>
      <c r="B9" s="228" t="s">
        <v>174</v>
      </c>
      <c r="C9" s="209">
        <v>223687</v>
      </c>
      <c r="D9" s="209">
        <v>72879</v>
      </c>
      <c r="E9" s="219">
        <v>0.32580793698337407</v>
      </c>
      <c r="F9" s="220">
        <v>2.1919232371253452</v>
      </c>
      <c r="G9" s="226">
        <v>4.1779833696949735</v>
      </c>
      <c r="H9" s="209">
        <v>2435898</v>
      </c>
      <c r="I9" s="209">
        <v>5339301.4294671537</v>
      </c>
      <c r="J9" s="210">
        <v>1.5731266073996532E-2</v>
      </c>
    </row>
    <row r="10" spans="1:10" x14ac:dyDescent="0.25">
      <c r="A10" s="225" t="s">
        <v>20</v>
      </c>
      <c r="B10" s="228" t="s">
        <v>314</v>
      </c>
      <c r="C10" s="209">
        <v>592</v>
      </c>
      <c r="D10" s="209">
        <v>154</v>
      </c>
      <c r="E10" s="219">
        <v>0.26013513513513514</v>
      </c>
      <c r="F10" s="220">
        <v>2.3258957528957529</v>
      </c>
      <c r="G10" s="226">
        <v>4.2232142857142856</v>
      </c>
      <c r="H10" s="209">
        <v>5203</v>
      </c>
      <c r="I10" s="209">
        <v>12101.635602316603</v>
      </c>
      <c r="J10" s="210">
        <v>3.5655235447081797E-5</v>
      </c>
    </row>
    <row r="11" spans="1:10" ht="24" x14ac:dyDescent="0.25">
      <c r="A11" s="225" t="s">
        <v>21</v>
      </c>
      <c r="B11" s="228" t="s">
        <v>313</v>
      </c>
      <c r="C11" s="209">
        <v>381591</v>
      </c>
      <c r="D11" s="209">
        <v>94410</v>
      </c>
      <c r="E11" s="219">
        <v>0.24741149555414044</v>
      </c>
      <c r="F11" s="220">
        <v>2.3518519776409823</v>
      </c>
      <c r="G11" s="226">
        <v>4.013736627475903</v>
      </c>
      <c r="H11" s="209">
        <v>3031495</v>
      </c>
      <c r="I11" s="209">
        <v>7129627.5109587498</v>
      </c>
      <c r="J11" s="210">
        <v>2.1006131394715199E-2</v>
      </c>
    </row>
    <row r="12" spans="1:10" x14ac:dyDescent="0.25">
      <c r="A12" s="225" t="s">
        <v>22</v>
      </c>
      <c r="B12" s="228" t="s">
        <v>312</v>
      </c>
      <c r="C12" s="209">
        <v>310629</v>
      </c>
      <c r="D12" s="209">
        <v>60846</v>
      </c>
      <c r="E12" s="219">
        <v>0.19587997257178177</v>
      </c>
      <c r="F12" s="220">
        <v>2.4485714285714284</v>
      </c>
      <c r="G12" s="226">
        <v>4.226925352529336</v>
      </c>
      <c r="H12" s="209">
        <v>2057532</v>
      </c>
      <c r="I12" s="209">
        <v>5038014.0685714278</v>
      </c>
      <c r="J12" s="210">
        <v>1.4843578480105457E-2</v>
      </c>
    </row>
    <row r="13" spans="1:10" x14ac:dyDescent="0.25">
      <c r="A13" s="225" t="s">
        <v>23</v>
      </c>
      <c r="B13" s="228" t="s">
        <v>310</v>
      </c>
      <c r="C13" s="209">
        <v>208581</v>
      </c>
      <c r="D13" s="209">
        <v>65067</v>
      </c>
      <c r="E13" s="219">
        <v>0.3119507529448991</v>
      </c>
      <c r="F13" s="220">
        <v>2.2201918925638342</v>
      </c>
      <c r="G13" s="226">
        <v>3.9396487466765029</v>
      </c>
      <c r="H13" s="209">
        <v>2050729</v>
      </c>
      <c r="I13" s="209">
        <v>4553011.899645539</v>
      </c>
      <c r="J13" s="210">
        <v>1.3414609116485917E-2</v>
      </c>
    </row>
    <row r="14" spans="1:10" ht="24" x14ac:dyDescent="0.25">
      <c r="A14" s="225" t="s">
        <v>24</v>
      </c>
      <c r="B14" s="228" t="s">
        <v>309</v>
      </c>
      <c r="C14" s="209">
        <v>967</v>
      </c>
      <c r="D14" s="209">
        <v>512</v>
      </c>
      <c r="E14" s="219">
        <v>0.52947259565667015</v>
      </c>
      <c r="F14" s="220">
        <v>1.7764473334318214</v>
      </c>
      <c r="G14" s="226">
        <v>4.575927734375</v>
      </c>
      <c r="H14" s="209">
        <v>18743</v>
      </c>
      <c r="I14" s="209">
        <v>33295.952370512627</v>
      </c>
      <c r="J14" s="210">
        <v>9.8100377520720373E-5</v>
      </c>
    </row>
    <row r="15" spans="1:10" x14ac:dyDescent="0.25">
      <c r="A15" s="225" t="s">
        <v>25</v>
      </c>
      <c r="B15" s="228" t="s">
        <v>308</v>
      </c>
      <c r="C15" s="209">
        <v>2887</v>
      </c>
      <c r="D15" s="209">
        <v>780</v>
      </c>
      <c r="E15" s="219">
        <v>0.27017665396605473</v>
      </c>
      <c r="F15" s="220">
        <v>2.3054110544806767</v>
      </c>
      <c r="G15" s="226">
        <v>4.8455128205128206</v>
      </c>
      <c r="H15" s="209">
        <v>30236</v>
      </c>
      <c r="I15" s="209">
        <v>69706.40864327774</v>
      </c>
      <c r="J15" s="210">
        <v>2.0537706587949058E-4</v>
      </c>
    </row>
    <row r="16" spans="1:10" ht="24" x14ac:dyDescent="0.25">
      <c r="A16" s="225" t="s">
        <v>128</v>
      </c>
      <c r="B16" s="228" t="s">
        <v>306</v>
      </c>
      <c r="C16" s="209">
        <v>231</v>
      </c>
      <c r="D16" s="209">
        <v>231</v>
      </c>
      <c r="E16" s="219">
        <v>1</v>
      </c>
      <c r="F16" s="220">
        <v>1</v>
      </c>
      <c r="G16" s="226">
        <v>5</v>
      </c>
      <c r="H16" s="209">
        <v>9240</v>
      </c>
      <c r="I16" s="209">
        <v>9240</v>
      </c>
      <c r="J16" s="210">
        <v>2.7223954377536266E-5</v>
      </c>
    </row>
    <row r="17" spans="1:10" ht="24" x14ac:dyDescent="0.25">
      <c r="A17" s="225" t="s">
        <v>495</v>
      </c>
      <c r="B17" s="228" t="s">
        <v>305</v>
      </c>
      <c r="C17" s="209">
        <v>22621</v>
      </c>
      <c r="D17" s="209">
        <v>7976</v>
      </c>
      <c r="E17" s="219">
        <v>0.35259272357543875</v>
      </c>
      <c r="F17" s="220">
        <v>2.1372822724775333</v>
      </c>
      <c r="G17" s="226">
        <v>4.1131206118355061</v>
      </c>
      <c r="H17" s="209">
        <v>262450</v>
      </c>
      <c r="I17" s="209">
        <v>560929.73241172859</v>
      </c>
      <c r="J17" s="210">
        <v>1.6526759138723512E-3</v>
      </c>
    </row>
    <row r="18" spans="1:10" x14ac:dyDescent="0.25">
      <c r="A18" s="225" t="s">
        <v>27</v>
      </c>
      <c r="B18" s="228" t="s">
        <v>304</v>
      </c>
      <c r="C18" s="209">
        <v>35950</v>
      </c>
      <c r="D18" s="209">
        <v>9533</v>
      </c>
      <c r="E18" s="219">
        <v>0.26517385257301807</v>
      </c>
      <c r="F18" s="220">
        <v>2.3156167693224718</v>
      </c>
      <c r="G18" s="226">
        <v>4.0052842756739748</v>
      </c>
      <c r="H18" s="209">
        <v>305459</v>
      </c>
      <c r="I18" s="209">
        <v>707325.98274047289</v>
      </c>
      <c r="J18" s="210">
        <v>2.0840054420100257E-3</v>
      </c>
    </row>
    <row r="19" spans="1:10" x14ac:dyDescent="0.25">
      <c r="A19" s="225" t="s">
        <v>143</v>
      </c>
      <c r="B19" s="228" t="s">
        <v>303</v>
      </c>
      <c r="C19" s="209">
        <v>3713</v>
      </c>
      <c r="D19" s="209">
        <v>1035</v>
      </c>
      <c r="E19" s="219">
        <v>0.27875033665499593</v>
      </c>
      <c r="F19" s="220">
        <v>2.287920741795237</v>
      </c>
      <c r="G19" s="226">
        <v>3.7797101449275363</v>
      </c>
      <c r="H19" s="209">
        <v>31296</v>
      </c>
      <c r="I19" s="209">
        <v>71602.767535223742</v>
      </c>
      <c r="J19" s="210">
        <v>2.10964337303492E-4</v>
      </c>
    </row>
    <row r="20" spans="1:10" x14ac:dyDescent="0.25">
      <c r="A20" s="225" t="s">
        <v>28</v>
      </c>
      <c r="B20" s="228" t="s">
        <v>302</v>
      </c>
      <c r="C20" s="209">
        <v>595574</v>
      </c>
      <c r="D20" s="209">
        <v>145432</v>
      </c>
      <c r="E20" s="219">
        <v>0.24418795985049715</v>
      </c>
      <c r="F20" s="220">
        <v>2.3584279904764145</v>
      </c>
      <c r="G20" s="226">
        <v>4.0880523199845973</v>
      </c>
      <c r="H20" s="209">
        <v>4756269</v>
      </c>
      <c r="I20" s="209">
        <v>11217317.939835265</v>
      </c>
      <c r="J20" s="210">
        <v>3.3049756691817568E-2</v>
      </c>
    </row>
    <row r="21" spans="1:10" x14ac:dyDescent="0.25">
      <c r="A21" s="225" t="s">
        <v>29</v>
      </c>
      <c r="B21" s="228" t="s">
        <v>299</v>
      </c>
      <c r="C21" s="209">
        <v>1942</v>
      </c>
      <c r="D21" s="209">
        <v>504</v>
      </c>
      <c r="E21" s="219">
        <v>0.25952626158599384</v>
      </c>
      <c r="F21" s="220">
        <v>2.3271378549360011</v>
      </c>
      <c r="G21" s="226">
        <v>4.973958333333333</v>
      </c>
      <c r="H21" s="209">
        <v>20055</v>
      </c>
      <c r="I21" s="209">
        <v>46670.749680741501</v>
      </c>
      <c r="J21" s="210">
        <v>1.3750674892574913E-4</v>
      </c>
    </row>
    <row r="22" spans="1:10" x14ac:dyDescent="0.25">
      <c r="A22" s="225" t="s">
        <v>30</v>
      </c>
      <c r="B22" s="228" t="s">
        <v>301</v>
      </c>
      <c r="C22" s="209">
        <v>142172</v>
      </c>
      <c r="D22" s="209">
        <v>41247</v>
      </c>
      <c r="E22" s="219">
        <v>0.29012041752243761</v>
      </c>
      <c r="F22" s="220">
        <v>2.2647257768256557</v>
      </c>
      <c r="G22" s="226">
        <v>4.2559216427861424</v>
      </c>
      <c r="H22" s="209">
        <v>1404352</v>
      </c>
      <c r="I22" s="209">
        <v>3180472.1741366633</v>
      </c>
      <c r="J22" s="210">
        <v>9.3706741739956814E-3</v>
      </c>
    </row>
    <row r="23" spans="1:10" x14ac:dyDescent="0.25">
      <c r="A23" s="225" t="s">
        <v>31</v>
      </c>
      <c r="B23" s="228" t="s">
        <v>300</v>
      </c>
      <c r="C23" s="209">
        <v>52959</v>
      </c>
      <c r="D23" s="209">
        <v>16062</v>
      </c>
      <c r="E23" s="219">
        <v>0.30329122528748653</v>
      </c>
      <c r="F23" s="220">
        <v>2.2378573289849562</v>
      </c>
      <c r="G23" s="226">
        <v>3.7016483003361973</v>
      </c>
      <c r="H23" s="209">
        <v>475647</v>
      </c>
      <c r="I23" s="209">
        <v>1064430.1249597075</v>
      </c>
      <c r="J23" s="210">
        <v>3.1361468787855307E-3</v>
      </c>
    </row>
    <row r="24" spans="1:10" x14ac:dyDescent="0.25">
      <c r="A24" s="225" t="s">
        <v>32</v>
      </c>
      <c r="B24" s="228" t="s">
        <v>297</v>
      </c>
      <c r="C24" s="209">
        <v>174217</v>
      </c>
      <c r="D24" s="209">
        <v>40303</v>
      </c>
      <c r="E24" s="219">
        <v>0.23133792913435544</v>
      </c>
      <c r="F24" s="220">
        <v>2.3846420531373433</v>
      </c>
      <c r="G24" s="226">
        <v>4.1356443689055409</v>
      </c>
      <c r="H24" s="209">
        <v>1333431</v>
      </c>
      <c r="I24" s="209">
        <v>3179755.6375569808</v>
      </c>
      <c r="J24" s="210">
        <v>9.3685630312299768E-3</v>
      </c>
    </row>
    <row r="25" spans="1:10" x14ac:dyDescent="0.25">
      <c r="A25" s="225" t="s">
        <v>33</v>
      </c>
      <c r="B25" s="228" t="s">
        <v>296</v>
      </c>
      <c r="C25" s="209">
        <v>55781</v>
      </c>
      <c r="D25" s="209">
        <v>16878</v>
      </c>
      <c r="E25" s="219">
        <v>0.30257614599953392</v>
      </c>
      <c r="F25" s="220">
        <v>2.2393160907323795</v>
      </c>
      <c r="G25" s="226">
        <v>4.1126910771418412</v>
      </c>
      <c r="H25" s="209">
        <v>555312</v>
      </c>
      <c r="I25" s="209">
        <v>1243519.0969767792</v>
      </c>
      <c r="J25" s="210">
        <v>3.6637994765899278E-3</v>
      </c>
    </row>
    <row r="26" spans="1:10" x14ac:dyDescent="0.25">
      <c r="A26" s="225" t="s">
        <v>34</v>
      </c>
      <c r="B26" s="228" t="s">
        <v>294</v>
      </c>
      <c r="C26" s="209">
        <v>1566</v>
      </c>
      <c r="D26" s="209">
        <v>401</v>
      </c>
      <c r="E26" s="219">
        <v>0.25606641123882501</v>
      </c>
      <c r="F26" s="220">
        <v>2.3341959496442257</v>
      </c>
      <c r="G26" s="226">
        <v>4.6758104738154618</v>
      </c>
      <c r="H26" s="209">
        <v>15000</v>
      </c>
      <c r="I26" s="209">
        <v>35012.939244663386</v>
      </c>
      <c r="J26" s="210">
        <v>1.0315916240477978E-4</v>
      </c>
    </row>
    <row r="27" spans="1:10" x14ac:dyDescent="0.25">
      <c r="A27" s="225" t="s">
        <v>35</v>
      </c>
      <c r="B27" s="228" t="s">
        <v>293</v>
      </c>
      <c r="C27" s="209">
        <v>152757</v>
      </c>
      <c r="D27" s="209">
        <v>41899</v>
      </c>
      <c r="E27" s="219">
        <v>0.27428530280118096</v>
      </c>
      <c r="F27" s="220">
        <v>2.2970294108570193</v>
      </c>
      <c r="G27" s="226">
        <v>3.9458489462755675</v>
      </c>
      <c r="H27" s="209">
        <v>1322617</v>
      </c>
      <c r="I27" s="209">
        <v>3038090.1482994785</v>
      </c>
      <c r="J27" s="210">
        <v>8.9511718173319686E-3</v>
      </c>
    </row>
    <row r="28" spans="1:10" x14ac:dyDescent="0.25">
      <c r="A28" s="225" t="s">
        <v>36</v>
      </c>
      <c r="B28" s="228" t="s">
        <v>292</v>
      </c>
      <c r="C28" s="209">
        <v>3897</v>
      </c>
      <c r="D28" s="209">
        <v>1747</v>
      </c>
      <c r="E28" s="219">
        <v>0.44829355914806263</v>
      </c>
      <c r="F28" s="220">
        <v>1.9420525679093807</v>
      </c>
      <c r="G28" s="226">
        <v>3.4723812249570694</v>
      </c>
      <c r="H28" s="209">
        <v>48530</v>
      </c>
      <c r="I28" s="209">
        <v>94247.811120642247</v>
      </c>
      <c r="J28" s="210">
        <v>2.7768377815270777E-4</v>
      </c>
    </row>
    <row r="29" spans="1:10" x14ac:dyDescent="0.25">
      <c r="A29" s="225" t="s">
        <v>37</v>
      </c>
      <c r="B29" s="228" t="s">
        <v>289</v>
      </c>
      <c r="C29" s="209">
        <v>979</v>
      </c>
      <c r="D29" s="209">
        <v>979</v>
      </c>
      <c r="E29" s="219">
        <v>1</v>
      </c>
      <c r="F29" s="220">
        <v>1</v>
      </c>
      <c r="G29" s="226">
        <v>4.7437436159346271</v>
      </c>
      <c r="H29" s="209">
        <v>37153</v>
      </c>
      <c r="I29" s="209">
        <v>37153</v>
      </c>
      <c r="J29" s="210">
        <v>1.0946445638404814E-4</v>
      </c>
    </row>
    <row r="30" spans="1:10" x14ac:dyDescent="0.25">
      <c r="A30" s="225" t="s">
        <v>38</v>
      </c>
      <c r="B30" s="228" t="s">
        <v>288</v>
      </c>
      <c r="C30" s="209">
        <v>252090</v>
      </c>
      <c r="D30" s="209">
        <v>66609</v>
      </c>
      <c r="E30" s="219">
        <v>0.26422706176365585</v>
      </c>
      <c r="F30" s="220">
        <v>2.3175482225735706</v>
      </c>
      <c r="G30" s="226">
        <v>3.9752886246603314</v>
      </c>
      <c r="H30" s="209">
        <v>2118320</v>
      </c>
      <c r="I30" s="209">
        <v>4909308.750842046</v>
      </c>
      <c r="J30" s="210">
        <v>1.4464372019281755E-2</v>
      </c>
    </row>
    <row r="31" spans="1:10" x14ac:dyDescent="0.25">
      <c r="A31" s="225" t="s">
        <v>39</v>
      </c>
      <c r="B31" s="228" t="s">
        <v>287</v>
      </c>
      <c r="C31" s="209">
        <v>41650</v>
      </c>
      <c r="D31" s="209">
        <v>9358</v>
      </c>
      <c r="E31" s="219">
        <v>0.22468187274909965</v>
      </c>
      <c r="F31" s="220">
        <v>2.3982204081632652</v>
      </c>
      <c r="G31" s="226">
        <v>4.6204183586236374</v>
      </c>
      <c r="H31" s="209">
        <v>345903</v>
      </c>
      <c r="I31" s="209">
        <v>829551.63384489797</v>
      </c>
      <c r="J31" s="210">
        <v>2.4441207612125727E-3</v>
      </c>
    </row>
    <row r="32" spans="1:10" x14ac:dyDescent="0.25">
      <c r="A32" s="225" t="s">
        <v>441</v>
      </c>
      <c r="B32" s="228" t="s">
        <v>286</v>
      </c>
      <c r="C32" s="209">
        <v>495176</v>
      </c>
      <c r="D32" s="209">
        <v>156956</v>
      </c>
      <c r="E32" s="219">
        <v>0.31697012779294637</v>
      </c>
      <c r="F32" s="220">
        <v>2.209952367873818</v>
      </c>
      <c r="G32" s="226">
        <v>4.0475053518183444</v>
      </c>
      <c r="H32" s="209">
        <v>5082242</v>
      </c>
      <c r="I32" s="209">
        <v>11231512.742007768</v>
      </c>
      <c r="J32" s="210">
        <v>3.309157905618363E-2</v>
      </c>
    </row>
    <row r="33" spans="1:10" x14ac:dyDescent="0.25">
      <c r="A33" s="225" t="s">
        <v>40</v>
      </c>
      <c r="B33" s="228" t="s">
        <v>291</v>
      </c>
      <c r="C33" s="209">
        <v>36748</v>
      </c>
      <c r="D33" s="209">
        <v>12654</v>
      </c>
      <c r="E33" s="219">
        <v>0.34434527049091107</v>
      </c>
      <c r="F33" s="220">
        <v>2.1541070767699697</v>
      </c>
      <c r="G33" s="226">
        <v>4.5216631104789</v>
      </c>
      <c r="H33" s="209">
        <v>457737</v>
      </c>
      <c r="I33" s="209">
        <v>986014.51099945558</v>
      </c>
      <c r="J33" s="210">
        <v>2.9051097470820246E-3</v>
      </c>
    </row>
    <row r="34" spans="1:10" x14ac:dyDescent="0.25">
      <c r="A34" s="225" t="s">
        <v>41</v>
      </c>
      <c r="B34" s="228" t="s">
        <v>290</v>
      </c>
      <c r="C34" s="209">
        <v>11872</v>
      </c>
      <c r="D34" s="209">
        <v>7402</v>
      </c>
      <c r="E34" s="219">
        <v>0.62348382749326148</v>
      </c>
      <c r="F34" s="220">
        <v>1.5846644204851752</v>
      </c>
      <c r="G34" s="226">
        <v>4.2195690353958391</v>
      </c>
      <c r="H34" s="209">
        <v>249866</v>
      </c>
      <c r="I34" s="209">
        <v>395953.76008894877</v>
      </c>
      <c r="J34" s="210">
        <v>1.1666046645319784E-3</v>
      </c>
    </row>
    <row r="35" spans="1:10" x14ac:dyDescent="0.25">
      <c r="A35" s="225" t="s">
        <v>42</v>
      </c>
      <c r="B35" s="228" t="s">
        <v>285</v>
      </c>
      <c r="C35" s="209">
        <v>42147</v>
      </c>
      <c r="D35" s="209">
        <v>12521</v>
      </c>
      <c r="E35" s="219">
        <v>0.2970792701734406</v>
      </c>
      <c r="F35" s="220">
        <v>2.2505297174176095</v>
      </c>
      <c r="G35" s="226">
        <v>4.0664084338311639</v>
      </c>
      <c r="H35" s="209">
        <v>407324</v>
      </c>
      <c r="I35" s="209">
        <v>916694.76661741035</v>
      </c>
      <c r="J35" s="210">
        <v>2.7008719160734451E-3</v>
      </c>
    </row>
    <row r="36" spans="1:10" x14ac:dyDescent="0.25">
      <c r="A36" s="225" t="s">
        <v>43</v>
      </c>
      <c r="B36" s="228" t="s">
        <v>284</v>
      </c>
      <c r="C36" s="209">
        <v>386443</v>
      </c>
      <c r="D36" s="209">
        <v>104384</v>
      </c>
      <c r="E36" s="219">
        <v>0.27011486816943248</v>
      </c>
      <c r="F36" s="220">
        <v>2.3055370975057863</v>
      </c>
      <c r="G36" s="226">
        <v>4.1547890481299818</v>
      </c>
      <c r="H36" s="209">
        <v>3469548</v>
      </c>
      <c r="I36" s="209">
        <v>7999171.6255770056</v>
      </c>
      <c r="J36" s="210">
        <v>2.3568082618267424E-2</v>
      </c>
    </row>
    <row r="37" spans="1:10" ht="24" x14ac:dyDescent="0.25">
      <c r="A37" s="225" t="s">
        <v>149</v>
      </c>
      <c r="B37" s="228" t="s">
        <v>283</v>
      </c>
      <c r="C37" s="209">
        <v>16536</v>
      </c>
      <c r="D37" s="209">
        <v>6591</v>
      </c>
      <c r="E37" s="219">
        <v>0.39858490566037735</v>
      </c>
      <c r="F37" s="220">
        <v>2.0434582210242587</v>
      </c>
      <c r="G37" s="226">
        <v>4.5928349264148078</v>
      </c>
      <c r="H37" s="209">
        <v>242171</v>
      </c>
      <c r="I37" s="209">
        <v>494866.32084366574</v>
      </c>
      <c r="J37" s="210">
        <v>1.4580322664098681E-3</v>
      </c>
    </row>
    <row r="38" spans="1:10" ht="24" x14ac:dyDescent="0.25">
      <c r="A38" s="225" t="s">
        <v>496</v>
      </c>
      <c r="B38" s="228" t="s">
        <v>282</v>
      </c>
      <c r="C38" s="209">
        <v>18232</v>
      </c>
      <c r="D38" s="209">
        <v>5655</v>
      </c>
      <c r="E38" s="219">
        <v>0.31016893374286969</v>
      </c>
      <c r="F38" s="220">
        <v>2.2238268037359745</v>
      </c>
      <c r="G38" s="226">
        <v>4.0342617152961981</v>
      </c>
      <c r="H38" s="209">
        <v>182510</v>
      </c>
      <c r="I38" s="209">
        <v>405870.62994985271</v>
      </c>
      <c r="J38" s="210">
        <v>1.1958228910104647E-3</v>
      </c>
    </row>
    <row r="39" spans="1:10" x14ac:dyDescent="0.25">
      <c r="A39" s="225" t="s">
        <v>46</v>
      </c>
      <c r="B39" s="228" t="s">
        <v>281</v>
      </c>
      <c r="C39" s="209">
        <v>1258</v>
      </c>
      <c r="D39" s="209">
        <v>994</v>
      </c>
      <c r="E39" s="219">
        <v>0.79014308426073132</v>
      </c>
      <c r="F39" s="220">
        <v>1.2655935613682092</v>
      </c>
      <c r="G39" s="226">
        <v>3.919894366197183</v>
      </c>
      <c r="H39" s="209">
        <v>31171</v>
      </c>
      <c r="I39" s="209">
        <v>39449.816901408449</v>
      </c>
      <c r="J39" s="210">
        <v>1.1623160341191587E-4</v>
      </c>
    </row>
    <row r="40" spans="1:10" ht="24" x14ac:dyDescent="0.25">
      <c r="A40" s="225" t="s">
        <v>497</v>
      </c>
      <c r="B40" s="228" t="s">
        <v>280</v>
      </c>
      <c r="C40" s="209">
        <v>2820</v>
      </c>
      <c r="D40" s="209">
        <v>494</v>
      </c>
      <c r="E40" s="219">
        <v>0.17517730496453901</v>
      </c>
      <c r="F40" s="220">
        <v>2.4485714285714284</v>
      </c>
      <c r="G40" s="226">
        <v>4.7373481781376521</v>
      </c>
      <c r="H40" s="209">
        <v>18722</v>
      </c>
      <c r="I40" s="209">
        <v>45842.154285714285</v>
      </c>
      <c r="J40" s="210">
        <v>1.3506544554569959E-4</v>
      </c>
    </row>
    <row r="41" spans="1:10" x14ac:dyDescent="0.25">
      <c r="A41" s="225" t="s">
        <v>48</v>
      </c>
      <c r="B41" s="228" t="s">
        <v>278</v>
      </c>
      <c r="C41" s="209">
        <v>1947</v>
      </c>
      <c r="D41" s="209">
        <v>1625</v>
      </c>
      <c r="E41" s="219">
        <v>0.83461736004108888</v>
      </c>
      <c r="F41" s="220">
        <v>1.1981538461538461</v>
      </c>
      <c r="G41" s="226">
        <v>4.3214615384615387</v>
      </c>
      <c r="H41" s="209">
        <v>56179</v>
      </c>
      <c r="I41" s="209">
        <v>67311.084923076924</v>
      </c>
      <c r="J41" s="210">
        <v>1.9831968669354062E-4</v>
      </c>
    </row>
    <row r="42" spans="1:10" ht="24" x14ac:dyDescent="0.25">
      <c r="A42" s="225" t="s">
        <v>49</v>
      </c>
      <c r="B42" s="228" t="s">
        <v>277</v>
      </c>
      <c r="C42" s="209">
        <v>188580</v>
      </c>
      <c r="D42" s="209">
        <v>58734</v>
      </c>
      <c r="E42" s="219">
        <v>0.31145402481705375</v>
      </c>
      <c r="F42" s="220">
        <v>2.2212052179446387</v>
      </c>
      <c r="G42" s="226">
        <v>3.938355552150373</v>
      </c>
      <c r="H42" s="209">
        <v>1850523</v>
      </c>
      <c r="I42" s="209">
        <v>4110391.3435265664</v>
      </c>
      <c r="J42" s="210">
        <v>1.2110509351730222E-2</v>
      </c>
    </row>
    <row r="43" spans="1:10" x14ac:dyDescent="0.25">
      <c r="A43" s="225" t="s">
        <v>51</v>
      </c>
      <c r="B43" s="228" t="s">
        <v>266</v>
      </c>
      <c r="C43" s="209">
        <v>308601</v>
      </c>
      <c r="D43" s="209">
        <v>109657</v>
      </c>
      <c r="E43" s="219">
        <v>0.35533585438802856</v>
      </c>
      <c r="F43" s="220">
        <v>2.1316862856198502</v>
      </c>
      <c r="G43" s="226">
        <v>4.214593003638619</v>
      </c>
      <c r="H43" s="209">
        <v>3697277</v>
      </c>
      <c r="I43" s="209">
        <v>7881434.6750377025</v>
      </c>
      <c r="J43" s="210">
        <v>2.3221192426705495E-2</v>
      </c>
    </row>
    <row r="44" spans="1:10" x14ac:dyDescent="0.25">
      <c r="A44" s="225" t="s">
        <v>52</v>
      </c>
      <c r="B44" s="228" t="s">
        <v>260</v>
      </c>
      <c r="C44" s="209">
        <v>404439</v>
      </c>
      <c r="D44" s="209">
        <v>122627</v>
      </c>
      <c r="E44" s="219">
        <v>0.30320270794854104</v>
      </c>
      <c r="F44" s="220">
        <v>2.2380379043564047</v>
      </c>
      <c r="G44" s="226">
        <v>4.1152815040733284</v>
      </c>
      <c r="H44" s="209">
        <v>4037157</v>
      </c>
      <c r="I44" s="209">
        <v>9035310.3918377906</v>
      </c>
      <c r="J44" s="210">
        <v>2.6620874230981747E-2</v>
      </c>
    </row>
    <row r="45" spans="1:10" x14ac:dyDescent="0.25">
      <c r="A45" s="225" t="s">
        <v>53</v>
      </c>
      <c r="B45" s="228" t="s">
        <v>276</v>
      </c>
      <c r="C45" s="209">
        <v>2875</v>
      </c>
      <c r="D45" s="209">
        <v>1142</v>
      </c>
      <c r="E45" s="219">
        <v>0.3972173913043478</v>
      </c>
      <c r="F45" s="220">
        <v>2.0462479503105593</v>
      </c>
      <c r="G45" s="226">
        <v>4.4578590192644487</v>
      </c>
      <c r="H45" s="209">
        <v>40727</v>
      </c>
      <c r="I45" s="209">
        <v>83337.540272298153</v>
      </c>
      <c r="J45" s="210">
        <v>2.4553867903778532E-4</v>
      </c>
    </row>
    <row r="46" spans="1:10" x14ac:dyDescent="0.25">
      <c r="A46" s="225" t="s">
        <v>54</v>
      </c>
      <c r="B46" s="228" t="s">
        <v>275</v>
      </c>
      <c r="C46" s="209">
        <v>58010</v>
      </c>
      <c r="D46" s="209">
        <v>13792</v>
      </c>
      <c r="E46" s="219">
        <v>0.23775211170487848</v>
      </c>
      <c r="F46" s="220">
        <v>2.3715571206934767</v>
      </c>
      <c r="G46" s="226">
        <v>4.3153639791183291</v>
      </c>
      <c r="H46" s="209">
        <v>476140</v>
      </c>
      <c r="I46" s="209">
        <v>1129193.2074469919</v>
      </c>
      <c r="J46" s="210">
        <v>3.3269593466407742E-3</v>
      </c>
    </row>
    <row r="47" spans="1:10" x14ac:dyDescent="0.25">
      <c r="A47" s="225" t="s">
        <v>55</v>
      </c>
      <c r="B47" s="228" t="s">
        <v>274</v>
      </c>
      <c r="C47" s="209">
        <v>244122</v>
      </c>
      <c r="D47" s="209">
        <v>62779</v>
      </c>
      <c r="E47" s="219">
        <v>0.25716240240535471</v>
      </c>
      <c r="F47" s="220">
        <v>2.3319601276645048</v>
      </c>
      <c r="G47" s="226">
        <v>4.007956482263177</v>
      </c>
      <c r="H47" s="209">
        <v>2012924</v>
      </c>
      <c r="I47" s="209">
        <v>4694058.5080189453</v>
      </c>
      <c r="J47" s="210">
        <v>1.3830176912098887E-2</v>
      </c>
    </row>
    <row r="48" spans="1:10" ht="24" x14ac:dyDescent="0.25">
      <c r="A48" s="225" t="s">
        <v>56</v>
      </c>
      <c r="B48" s="228" t="s">
        <v>273</v>
      </c>
      <c r="C48" s="209">
        <v>2171</v>
      </c>
      <c r="D48" s="209">
        <v>1222</v>
      </c>
      <c r="E48" s="219">
        <v>0.56287425149700598</v>
      </c>
      <c r="F48" s="220">
        <v>1.7083079555175362</v>
      </c>
      <c r="G48" s="226">
        <v>4.5278232405891981</v>
      </c>
      <c r="H48" s="209">
        <v>44264</v>
      </c>
      <c r="I48" s="209">
        <v>75616.543343028228</v>
      </c>
      <c r="J48" s="210">
        <v>2.2279018681359243E-4</v>
      </c>
    </row>
    <row r="49" spans="1:10" x14ac:dyDescent="0.25">
      <c r="A49" s="225" t="s">
        <v>492</v>
      </c>
      <c r="B49" s="228" t="s">
        <v>490</v>
      </c>
      <c r="C49" s="209">
        <v>39829</v>
      </c>
      <c r="D49" s="209">
        <v>11237</v>
      </c>
      <c r="E49" s="219">
        <v>0.28213111049737627</v>
      </c>
      <c r="F49" s="220">
        <v>2.2810239631567808</v>
      </c>
      <c r="G49" s="226">
        <v>4.0806821215626945</v>
      </c>
      <c r="H49" s="209">
        <v>366837</v>
      </c>
      <c r="I49" s="209">
        <v>836763.98757254402</v>
      </c>
      <c r="J49" s="210">
        <v>2.4653706301342275E-3</v>
      </c>
    </row>
    <row r="50" spans="1:10" x14ac:dyDescent="0.25">
      <c r="A50" s="225" t="s">
        <v>129</v>
      </c>
      <c r="B50" s="228" t="s">
        <v>272</v>
      </c>
      <c r="C50" s="209">
        <v>7191</v>
      </c>
      <c r="D50" s="209">
        <v>3538</v>
      </c>
      <c r="E50" s="219">
        <v>0.492003893756084</v>
      </c>
      <c r="F50" s="220">
        <v>1.8528834853090173</v>
      </c>
      <c r="G50" s="226">
        <v>3.7755440927077446</v>
      </c>
      <c r="H50" s="209">
        <v>106863</v>
      </c>
      <c r="I50" s="209">
        <v>198004.68789057751</v>
      </c>
      <c r="J50" s="210">
        <v>5.8338426295144908E-4</v>
      </c>
    </row>
    <row r="51" spans="1:10" x14ac:dyDescent="0.25">
      <c r="A51" s="225" t="s">
        <v>57</v>
      </c>
      <c r="B51" s="228" t="s">
        <v>271</v>
      </c>
      <c r="C51" s="209">
        <v>15049</v>
      </c>
      <c r="D51" s="209">
        <v>6136</v>
      </c>
      <c r="E51" s="219">
        <v>0.40773473320486409</v>
      </c>
      <c r="F51" s="220">
        <v>2.0247925728335057</v>
      </c>
      <c r="G51" s="226">
        <v>4.381009615384615</v>
      </c>
      <c r="H51" s="209">
        <v>215055</v>
      </c>
      <c r="I51" s="209">
        <v>435441.76675070956</v>
      </c>
      <c r="J51" s="210">
        <v>1.2829487870232798E-3</v>
      </c>
    </row>
    <row r="52" spans="1:10" ht="24" x14ac:dyDescent="0.25">
      <c r="A52" s="225" t="s">
        <v>58</v>
      </c>
      <c r="B52" s="228" t="s">
        <v>270</v>
      </c>
      <c r="C52" s="209">
        <v>191990</v>
      </c>
      <c r="D52" s="209">
        <v>40175</v>
      </c>
      <c r="E52" s="219">
        <v>0.20925569040054171</v>
      </c>
      <c r="F52" s="220">
        <v>2.4296898201543238</v>
      </c>
      <c r="G52" s="226">
        <v>3.9624548848786558</v>
      </c>
      <c r="H52" s="209">
        <v>1273533</v>
      </c>
      <c r="I52" s="209">
        <v>3094290.1657305965</v>
      </c>
      <c r="J52" s="210">
        <v>9.1167547946654649E-3</v>
      </c>
    </row>
    <row r="53" spans="1:10" x14ac:dyDescent="0.25">
      <c r="A53" s="225" t="s">
        <v>59</v>
      </c>
      <c r="B53" s="228" t="s">
        <v>269</v>
      </c>
      <c r="C53" s="209">
        <v>919477</v>
      </c>
      <c r="D53" s="209">
        <v>245927</v>
      </c>
      <c r="E53" s="219">
        <v>0.26746400399357462</v>
      </c>
      <c r="F53" s="220">
        <v>2.3109448604245362</v>
      </c>
      <c r="G53" s="226">
        <v>4.1455340405892809</v>
      </c>
      <c r="H53" s="209">
        <v>8155990</v>
      </c>
      <c r="I53" s="209">
        <v>18848043.172173914</v>
      </c>
      <c r="J53" s="210">
        <v>5.55322800243611E-2</v>
      </c>
    </row>
    <row r="54" spans="1:10" x14ac:dyDescent="0.25">
      <c r="A54" s="225" t="s">
        <v>470</v>
      </c>
      <c r="B54" s="228" t="s">
        <v>229</v>
      </c>
      <c r="C54" s="209">
        <v>76189</v>
      </c>
      <c r="D54" s="209">
        <v>20729</v>
      </c>
      <c r="E54" s="219">
        <v>0.27207339642205569</v>
      </c>
      <c r="F54" s="220">
        <v>2.3015416998704348</v>
      </c>
      <c r="G54" s="226">
        <v>4.0439842732403877</v>
      </c>
      <c r="H54" s="209">
        <v>670622</v>
      </c>
      <c r="I54" s="209">
        <v>1543464.4978505108</v>
      </c>
      <c r="J54" s="210">
        <v>4.5475332329901761E-3</v>
      </c>
    </row>
    <row r="55" spans="1:10" x14ac:dyDescent="0.25">
      <c r="A55" s="225" t="s">
        <v>439</v>
      </c>
      <c r="B55" s="228" t="s">
        <v>243</v>
      </c>
      <c r="C55" s="209">
        <v>653162</v>
      </c>
      <c r="D55" s="209">
        <v>188768</v>
      </c>
      <c r="E55" s="219">
        <v>0.28900640269948341</v>
      </c>
      <c r="F55" s="220">
        <v>2.2669983670644824</v>
      </c>
      <c r="G55" s="226">
        <v>4.144771624427869</v>
      </c>
      <c r="H55" s="209">
        <v>6259202</v>
      </c>
      <c r="I55" s="209">
        <v>14189600.713126743</v>
      </c>
      <c r="J55" s="210">
        <v>4.1807039226149187E-2</v>
      </c>
    </row>
    <row r="56" spans="1:10" x14ac:dyDescent="0.25">
      <c r="A56" s="225" t="s">
        <v>60</v>
      </c>
      <c r="B56" s="228" t="s">
        <v>268</v>
      </c>
      <c r="C56" s="209">
        <v>273078</v>
      </c>
      <c r="D56" s="209">
        <v>53064</v>
      </c>
      <c r="E56" s="219">
        <v>0.19431810691450793</v>
      </c>
      <c r="F56" s="220">
        <v>2.4485714285714284</v>
      </c>
      <c r="G56" s="226">
        <v>4.0605966380220115</v>
      </c>
      <c r="H56" s="209">
        <v>1723772</v>
      </c>
      <c r="I56" s="209">
        <v>4220778.8685714286</v>
      </c>
      <c r="J56" s="210">
        <v>1.2435745817711874E-2</v>
      </c>
    </row>
    <row r="57" spans="1:10" x14ac:dyDescent="0.25">
      <c r="A57" s="225" t="s">
        <v>474</v>
      </c>
      <c r="B57" s="228" t="s">
        <v>473</v>
      </c>
      <c r="C57" s="209">
        <v>300102</v>
      </c>
      <c r="D57" s="209">
        <v>82863</v>
      </c>
      <c r="E57" s="219">
        <v>0.27611612051902351</v>
      </c>
      <c r="F57" s="220">
        <v>2.2932945427126206</v>
      </c>
      <c r="G57" s="226">
        <v>4.0404327021710538</v>
      </c>
      <c r="H57" s="209">
        <v>2678419</v>
      </c>
      <c r="I57" s="209">
        <v>6142403.675797794</v>
      </c>
      <c r="J57" s="210">
        <v>1.8097458597221883E-2</v>
      </c>
    </row>
    <row r="58" spans="1:10" x14ac:dyDescent="0.25">
      <c r="A58" s="225" t="s">
        <v>61</v>
      </c>
      <c r="B58" s="228" t="s">
        <v>264</v>
      </c>
      <c r="C58" s="209">
        <v>7317</v>
      </c>
      <c r="D58" s="209">
        <v>2796</v>
      </c>
      <c r="E58" s="219">
        <v>0.38212382123821237</v>
      </c>
      <c r="F58" s="220">
        <v>2.0770388332454752</v>
      </c>
      <c r="G58" s="226">
        <v>4.2883583690987122</v>
      </c>
      <c r="H58" s="209">
        <v>95922</v>
      </c>
      <c r="I58" s="209">
        <v>199233.71896257249</v>
      </c>
      <c r="J58" s="210">
        <v>5.8700537613679167E-4</v>
      </c>
    </row>
    <row r="59" spans="1:10" ht="24" x14ac:dyDescent="0.25">
      <c r="A59" s="225" t="s">
        <v>498</v>
      </c>
      <c r="B59" s="228" t="s">
        <v>263</v>
      </c>
      <c r="C59" s="209">
        <v>250</v>
      </c>
      <c r="D59" s="209">
        <v>38</v>
      </c>
      <c r="E59" s="219">
        <v>0.152</v>
      </c>
      <c r="F59" s="220">
        <v>2.4485714285714284</v>
      </c>
      <c r="G59" s="226">
        <v>5</v>
      </c>
      <c r="H59" s="209">
        <v>1520</v>
      </c>
      <c r="I59" s="209">
        <v>3721.8285714285712</v>
      </c>
      <c r="J59" s="210">
        <v>1.0965680869002423E-5</v>
      </c>
    </row>
    <row r="60" spans="1:10" ht="24" x14ac:dyDescent="0.25">
      <c r="A60" s="136" t="s">
        <v>544</v>
      </c>
      <c r="B60" s="228" t="s">
        <v>262</v>
      </c>
      <c r="C60" s="209">
        <v>9945</v>
      </c>
      <c r="D60" s="209">
        <v>4033</v>
      </c>
      <c r="E60" s="219">
        <v>0.40553041729512318</v>
      </c>
      <c r="F60" s="220">
        <v>2.029289377289377</v>
      </c>
      <c r="G60" s="226">
        <v>4.4526717084056537</v>
      </c>
      <c r="H60" s="209">
        <v>143661</v>
      </c>
      <c r="I60" s="209">
        <v>291529.7412307692</v>
      </c>
      <c r="J60" s="210">
        <v>8.5893856871876778E-4</v>
      </c>
    </row>
    <row r="61" spans="1:10" x14ac:dyDescent="0.25">
      <c r="A61" s="225" t="s">
        <v>64</v>
      </c>
      <c r="B61" s="228" t="s">
        <v>261</v>
      </c>
      <c r="C61" s="209">
        <v>8850</v>
      </c>
      <c r="D61" s="209">
        <v>3503</v>
      </c>
      <c r="E61" s="219">
        <v>0.39581920903954804</v>
      </c>
      <c r="F61" s="220">
        <v>2.0491002421307503</v>
      </c>
      <c r="G61" s="226">
        <v>3.9265272623465601</v>
      </c>
      <c r="H61" s="209">
        <v>110037</v>
      </c>
      <c r="I61" s="209">
        <v>225476.84334334137</v>
      </c>
      <c r="J61" s="210">
        <v>6.6432589787554302E-4</v>
      </c>
    </row>
    <row r="62" spans="1:10" x14ac:dyDescent="0.25">
      <c r="A62" s="225" t="s">
        <v>144</v>
      </c>
      <c r="B62" s="228" t="s">
        <v>259</v>
      </c>
      <c r="C62" s="209">
        <v>254</v>
      </c>
      <c r="D62" s="209">
        <v>235</v>
      </c>
      <c r="E62" s="219">
        <v>0.92519685039370081</v>
      </c>
      <c r="F62" s="220">
        <v>1.0808510638297872</v>
      </c>
      <c r="G62" s="226">
        <v>4.4872340425531911</v>
      </c>
      <c r="H62" s="209">
        <v>8436</v>
      </c>
      <c r="I62" s="209">
        <v>9118.059574468085</v>
      </c>
      <c r="J62" s="210">
        <v>2.6864679422832996E-5</v>
      </c>
    </row>
    <row r="63" spans="1:10" x14ac:dyDescent="0.25">
      <c r="A63" s="225" t="s">
        <v>65</v>
      </c>
      <c r="B63" s="228" t="s">
        <v>298</v>
      </c>
      <c r="C63" s="209">
        <v>5679</v>
      </c>
      <c r="D63" s="209">
        <v>2523</v>
      </c>
      <c r="E63" s="219">
        <v>0.44426835710512413</v>
      </c>
      <c r="F63" s="220">
        <v>1.9502639800769752</v>
      </c>
      <c r="G63" s="226">
        <v>3.7274573919936582</v>
      </c>
      <c r="H63" s="209">
        <v>75235</v>
      </c>
      <c r="I63" s="209">
        <v>146728.11054109124</v>
      </c>
      <c r="J63" s="210">
        <v>4.3230729299488811E-4</v>
      </c>
    </row>
    <row r="64" spans="1:10" x14ac:dyDescent="0.25">
      <c r="A64" s="225" t="s">
        <v>66</v>
      </c>
      <c r="B64" s="228" t="s">
        <v>258</v>
      </c>
      <c r="C64" s="209">
        <v>1909</v>
      </c>
      <c r="D64" s="209">
        <v>1555</v>
      </c>
      <c r="E64" s="219">
        <v>0.81456259821896282</v>
      </c>
      <c r="F64" s="220">
        <v>1.2276527331189711</v>
      </c>
      <c r="G64" s="226">
        <v>4.7353697749196142</v>
      </c>
      <c r="H64" s="209">
        <v>58908</v>
      </c>
      <c r="I64" s="209">
        <v>72318.567202572347</v>
      </c>
      <c r="J64" s="210">
        <v>2.1307330889303247E-4</v>
      </c>
    </row>
    <row r="65" spans="1:10" x14ac:dyDescent="0.25">
      <c r="A65" s="225" t="s">
        <v>67</v>
      </c>
      <c r="B65" s="228" t="s">
        <v>257</v>
      </c>
      <c r="C65" s="209">
        <v>4993</v>
      </c>
      <c r="D65" s="209">
        <v>3089</v>
      </c>
      <c r="E65" s="219">
        <v>0.61866613258561987</v>
      </c>
      <c r="F65" s="220">
        <v>1.594492518096764</v>
      </c>
      <c r="G65" s="226">
        <v>4.0178860472644873</v>
      </c>
      <c r="H65" s="209">
        <v>99290</v>
      </c>
      <c r="I65" s="209">
        <v>158317.16212182769</v>
      </c>
      <c r="J65" s="210">
        <v>4.6645229424087116E-4</v>
      </c>
    </row>
    <row r="66" spans="1:10" x14ac:dyDescent="0.25">
      <c r="A66" s="225" t="s">
        <v>469</v>
      </c>
      <c r="B66" s="228" t="s">
        <v>295</v>
      </c>
      <c r="C66" s="209">
        <v>37197</v>
      </c>
      <c r="D66" s="209">
        <v>10136</v>
      </c>
      <c r="E66" s="219">
        <v>0.27249509369035135</v>
      </c>
      <c r="F66" s="220">
        <v>2.3006814374431119</v>
      </c>
      <c r="G66" s="226">
        <v>4.3326262825572215</v>
      </c>
      <c r="H66" s="209">
        <v>351324</v>
      </c>
      <c r="I66" s="209">
        <v>808284.60532826383</v>
      </c>
      <c r="J66" s="210">
        <v>2.3814613873941082E-3</v>
      </c>
    </row>
    <row r="67" spans="1:10" x14ac:dyDescent="0.25">
      <c r="A67" s="225" t="s">
        <v>68</v>
      </c>
      <c r="B67" s="228" t="s">
        <v>256</v>
      </c>
      <c r="C67" s="209">
        <v>164462</v>
      </c>
      <c r="D67" s="209">
        <v>45129</v>
      </c>
      <c r="E67" s="219">
        <v>0.27440381364692146</v>
      </c>
      <c r="F67" s="220">
        <v>2.2967876487317085</v>
      </c>
      <c r="G67" s="226">
        <v>4.0466274457665801</v>
      </c>
      <c r="H67" s="209">
        <v>1460962</v>
      </c>
      <c r="I67" s="209">
        <v>3355519.4768663743</v>
      </c>
      <c r="J67" s="210">
        <v>9.8864187393013555E-3</v>
      </c>
    </row>
    <row r="68" spans="1:10" x14ac:dyDescent="0.25">
      <c r="A68" s="225" t="s">
        <v>69</v>
      </c>
      <c r="B68" s="228" t="s">
        <v>254</v>
      </c>
      <c r="C68" s="209">
        <v>135994</v>
      </c>
      <c r="D68" s="209">
        <v>59491</v>
      </c>
      <c r="E68" s="219">
        <v>0.43745312293189403</v>
      </c>
      <c r="F68" s="220">
        <v>1.9641670577903647</v>
      </c>
      <c r="G68" s="226">
        <v>4.0424391924828962</v>
      </c>
      <c r="H68" s="209">
        <v>1923910</v>
      </c>
      <c r="I68" s="209">
        <v>3778880.6441534604</v>
      </c>
      <c r="J68" s="210">
        <v>1.1133774269977128E-2</v>
      </c>
    </row>
    <row r="69" spans="1:10" ht="24" x14ac:dyDescent="0.25">
      <c r="A69" s="225" t="s">
        <v>70</v>
      </c>
      <c r="B69" s="228" t="s">
        <v>253</v>
      </c>
      <c r="C69" s="209">
        <v>200254</v>
      </c>
      <c r="D69" s="209">
        <v>58811</v>
      </c>
      <c r="E69" s="219">
        <v>0.29368202382973624</v>
      </c>
      <c r="F69" s="220">
        <v>2.2574600999587666</v>
      </c>
      <c r="G69" s="226">
        <v>4.1800938599921782</v>
      </c>
      <c r="H69" s="209">
        <v>1966684</v>
      </c>
      <c r="I69" s="209">
        <v>4439710.659227307</v>
      </c>
      <c r="J69" s="210">
        <v>1.3080787926002778E-2</v>
      </c>
    </row>
    <row r="70" spans="1:10" x14ac:dyDescent="0.25">
      <c r="A70" s="225" t="s">
        <v>71</v>
      </c>
      <c r="B70" s="228" t="s">
        <v>252</v>
      </c>
      <c r="C70" s="209">
        <v>292535</v>
      </c>
      <c r="D70" s="209">
        <v>83904</v>
      </c>
      <c r="E70" s="219">
        <v>0.28681696207291435</v>
      </c>
      <c r="F70" s="220">
        <v>2.2714648259426831</v>
      </c>
      <c r="G70" s="226">
        <v>3.9967373426773456</v>
      </c>
      <c r="H70" s="209">
        <v>2682738</v>
      </c>
      <c r="I70" s="209">
        <v>6093745.0042198217</v>
      </c>
      <c r="J70" s="210">
        <v>1.7954094803378784E-2</v>
      </c>
    </row>
    <row r="71" spans="1:10" ht="24" x14ac:dyDescent="0.25">
      <c r="A71" s="225" t="s">
        <v>499</v>
      </c>
      <c r="B71" s="228" t="s">
        <v>250</v>
      </c>
      <c r="C71" s="209">
        <v>14177</v>
      </c>
      <c r="D71" s="209">
        <v>2710</v>
      </c>
      <c r="E71" s="219">
        <v>0.19115468716935882</v>
      </c>
      <c r="F71" s="220">
        <v>2.4485714285714284</v>
      </c>
      <c r="G71" s="226">
        <v>4.8336254612546128</v>
      </c>
      <c r="H71" s="209">
        <v>104793</v>
      </c>
      <c r="I71" s="209">
        <v>256593.1457142857</v>
      </c>
      <c r="J71" s="210">
        <v>7.5600433901669146E-4</v>
      </c>
    </row>
    <row r="72" spans="1:10" x14ac:dyDescent="0.25">
      <c r="A72" s="225" t="s">
        <v>73</v>
      </c>
      <c r="B72" s="228" t="s">
        <v>246</v>
      </c>
      <c r="C72" s="209">
        <v>17286</v>
      </c>
      <c r="D72" s="209">
        <v>5411</v>
      </c>
      <c r="E72" s="219">
        <v>0.31302788383663083</v>
      </c>
      <c r="F72" s="220">
        <v>2.2179945455447019</v>
      </c>
      <c r="G72" s="226">
        <v>4.6085751247458884</v>
      </c>
      <c r="H72" s="209">
        <v>199496</v>
      </c>
      <c r="I72" s="209">
        <v>442481.03985798586</v>
      </c>
      <c r="J72" s="210">
        <v>1.3036887058461703E-3</v>
      </c>
    </row>
    <row r="73" spans="1:10" x14ac:dyDescent="0.25">
      <c r="A73" s="225" t="s">
        <v>74</v>
      </c>
      <c r="B73" s="228" t="s">
        <v>248</v>
      </c>
      <c r="C73" s="209">
        <v>36495</v>
      </c>
      <c r="D73" s="209">
        <v>8944</v>
      </c>
      <c r="E73" s="219">
        <v>0.24507466776270723</v>
      </c>
      <c r="F73" s="220">
        <v>2.356619106335506</v>
      </c>
      <c r="G73" s="226">
        <v>4.4573177549194991</v>
      </c>
      <c r="H73" s="209">
        <v>318930</v>
      </c>
      <c r="I73" s="209">
        <v>751596.53158358287</v>
      </c>
      <c r="J73" s="210">
        <v>2.2144404422235883E-3</v>
      </c>
    </row>
    <row r="74" spans="1:10" x14ac:dyDescent="0.25">
      <c r="A74" s="225" t="s">
        <v>442</v>
      </c>
      <c r="B74" s="228" t="s">
        <v>279</v>
      </c>
      <c r="C74" s="209">
        <v>132860</v>
      </c>
      <c r="D74" s="209">
        <v>30473</v>
      </c>
      <c r="E74" s="219">
        <v>0.22936173415625472</v>
      </c>
      <c r="F74" s="220">
        <v>2.388673490892669</v>
      </c>
      <c r="G74" s="226">
        <v>4.3429675450398717</v>
      </c>
      <c r="H74" s="209">
        <v>1058746</v>
      </c>
      <c r="I74" s="209">
        <v>2528998.5037886496</v>
      </c>
      <c r="J74" s="210">
        <v>7.451227260606025E-3</v>
      </c>
    </row>
    <row r="75" spans="1:10" x14ac:dyDescent="0.25">
      <c r="A75" s="225" t="s">
        <v>75</v>
      </c>
      <c r="B75" s="228" t="s">
        <v>245</v>
      </c>
      <c r="C75" s="209">
        <v>148511</v>
      </c>
      <c r="D75" s="209">
        <v>48208</v>
      </c>
      <c r="E75" s="219">
        <v>0.32460895152547625</v>
      </c>
      <c r="F75" s="220">
        <v>2.194369167459457</v>
      </c>
      <c r="G75" s="226">
        <v>4.0800411757384669</v>
      </c>
      <c r="H75" s="209">
        <v>1573525</v>
      </c>
      <c r="I75" s="209">
        <v>3452894.744226642</v>
      </c>
      <c r="J75" s="210">
        <v>1.0173316989963295E-2</v>
      </c>
    </row>
    <row r="76" spans="1:10" x14ac:dyDescent="0.25">
      <c r="A76" s="225" t="s">
        <v>76</v>
      </c>
      <c r="B76" s="228" t="s">
        <v>244</v>
      </c>
      <c r="C76" s="209">
        <v>28</v>
      </c>
      <c r="D76" s="209">
        <v>28</v>
      </c>
      <c r="E76" s="219">
        <v>1</v>
      </c>
      <c r="F76" s="220">
        <v>1</v>
      </c>
      <c r="G76" s="226">
        <v>5</v>
      </c>
      <c r="H76" s="209">
        <v>1120</v>
      </c>
      <c r="I76" s="209">
        <v>1120</v>
      </c>
      <c r="J76" s="210">
        <v>3.2998732578831837E-6</v>
      </c>
    </row>
    <row r="77" spans="1:10" x14ac:dyDescent="0.25">
      <c r="A77" s="225" t="s">
        <v>78</v>
      </c>
      <c r="B77" s="228" t="s">
        <v>239</v>
      </c>
      <c r="C77" s="209">
        <v>2862</v>
      </c>
      <c r="D77" s="209">
        <v>892</v>
      </c>
      <c r="E77" s="219">
        <v>0.31167016072676451</v>
      </c>
      <c r="F77" s="220">
        <v>2.2207643006888289</v>
      </c>
      <c r="G77" s="226">
        <v>4.3417881165919283</v>
      </c>
      <c r="H77" s="209">
        <v>30983</v>
      </c>
      <c r="I77" s="209">
        <v>68805.940328241981</v>
      </c>
      <c r="J77" s="210">
        <v>2.0272400220774269E-4</v>
      </c>
    </row>
    <row r="78" spans="1:10" x14ac:dyDescent="0.25">
      <c r="A78" s="225" t="s">
        <v>79</v>
      </c>
      <c r="B78" s="228" t="s">
        <v>238</v>
      </c>
      <c r="C78" s="209">
        <v>19057</v>
      </c>
      <c r="D78" s="209">
        <v>6955</v>
      </c>
      <c r="E78" s="219">
        <v>0.36495775830403526</v>
      </c>
      <c r="F78" s="220">
        <v>2.1120576016311965</v>
      </c>
      <c r="G78" s="226">
        <v>4.0907979870596689</v>
      </c>
      <c r="H78" s="209">
        <v>227612</v>
      </c>
      <c r="I78" s="209">
        <v>480729.65482247988</v>
      </c>
      <c r="J78" s="210">
        <v>1.4163811894822456E-3</v>
      </c>
    </row>
    <row r="79" spans="1:10" x14ac:dyDescent="0.25">
      <c r="A79" s="225" t="s">
        <v>80</v>
      </c>
      <c r="B79" s="228" t="s">
        <v>237</v>
      </c>
      <c r="C79" s="209">
        <v>75919</v>
      </c>
      <c r="D79" s="209">
        <v>19678</v>
      </c>
      <c r="E79" s="219">
        <v>0.25919730238807148</v>
      </c>
      <c r="F79" s="220">
        <v>2.3278089316997628</v>
      </c>
      <c r="G79" s="226">
        <v>3.8491526069722535</v>
      </c>
      <c r="H79" s="209">
        <v>605949</v>
      </c>
      <c r="I79" s="209">
        <v>1410533.4943545396</v>
      </c>
      <c r="J79" s="210">
        <v>4.1558765690795233E-3</v>
      </c>
    </row>
    <row r="80" spans="1:10" x14ac:dyDescent="0.25">
      <c r="A80" s="225" t="s">
        <v>81</v>
      </c>
      <c r="B80" s="228" t="s">
        <v>236</v>
      </c>
      <c r="C80" s="209">
        <v>125834</v>
      </c>
      <c r="D80" s="209">
        <v>51092</v>
      </c>
      <c r="E80" s="219">
        <v>0.40602698793648773</v>
      </c>
      <c r="F80" s="220">
        <v>2.0282763731809936</v>
      </c>
      <c r="G80" s="226">
        <v>4.2877040436859</v>
      </c>
      <c r="H80" s="209">
        <v>1752539</v>
      </c>
      <c r="I80" s="209">
        <v>3554633.4467782453</v>
      </c>
      <c r="J80" s="210">
        <v>1.0473071296964873E-2</v>
      </c>
    </row>
    <row r="81" spans="1:10" ht="24" x14ac:dyDescent="0.25">
      <c r="A81" s="225" t="s">
        <v>500</v>
      </c>
      <c r="B81" s="228" t="s">
        <v>235</v>
      </c>
      <c r="C81" s="209">
        <v>7591</v>
      </c>
      <c r="D81" s="209">
        <v>3496</v>
      </c>
      <c r="E81" s="219">
        <v>0.46054538269002765</v>
      </c>
      <c r="F81" s="220">
        <v>1.917058847883772</v>
      </c>
      <c r="G81" s="226">
        <v>4.0118707093821513</v>
      </c>
      <c r="H81" s="209">
        <v>112204</v>
      </c>
      <c r="I81" s="209">
        <v>215101.67096795075</v>
      </c>
      <c r="J81" s="210">
        <v>6.3375736763672172E-4</v>
      </c>
    </row>
    <row r="82" spans="1:10" x14ac:dyDescent="0.25">
      <c r="A82" s="225" t="s">
        <v>83</v>
      </c>
      <c r="B82" s="228" t="s">
        <v>242</v>
      </c>
      <c r="C82" s="209">
        <v>604729</v>
      </c>
      <c r="D82" s="209">
        <v>129139</v>
      </c>
      <c r="E82" s="219">
        <v>0.2135485481926615</v>
      </c>
      <c r="F82" s="220">
        <v>2.420932390258399</v>
      </c>
      <c r="G82" s="226">
        <v>4.1335102099288363</v>
      </c>
      <c r="H82" s="209">
        <v>4270379</v>
      </c>
      <c r="I82" s="209">
        <v>10338298.839779271</v>
      </c>
      <c r="J82" s="210">
        <v>3.0459889172671752E-2</v>
      </c>
    </row>
    <row r="83" spans="1:10" ht="24" x14ac:dyDescent="0.25">
      <c r="A83" s="136" t="s">
        <v>543</v>
      </c>
      <c r="B83" s="228" t="s">
        <v>232</v>
      </c>
      <c r="C83" s="209">
        <v>28860</v>
      </c>
      <c r="D83" s="209">
        <v>10342</v>
      </c>
      <c r="E83" s="219">
        <v>0.35835065835065832</v>
      </c>
      <c r="F83" s="220">
        <v>2.1255360855360856</v>
      </c>
      <c r="G83" s="226">
        <v>4.0994367627151425</v>
      </c>
      <c r="H83" s="209">
        <v>339171</v>
      </c>
      <c r="I83" s="209">
        <v>720920.1996673597</v>
      </c>
      <c r="J83" s="210">
        <v>2.1240582928126121E-3</v>
      </c>
    </row>
    <row r="84" spans="1:10" x14ac:dyDescent="0.25">
      <c r="A84" s="225" t="s">
        <v>85</v>
      </c>
      <c r="B84" s="228" t="s">
        <v>231</v>
      </c>
      <c r="C84" s="209">
        <v>2464</v>
      </c>
      <c r="D84" s="209">
        <v>1609</v>
      </c>
      <c r="E84" s="219">
        <v>0.65300324675324672</v>
      </c>
      <c r="F84" s="220">
        <v>1.5244448051948052</v>
      </c>
      <c r="G84" s="226">
        <v>4.4373834679925421</v>
      </c>
      <c r="H84" s="209">
        <v>57118</v>
      </c>
      <c r="I84" s="209">
        <v>87073.238383116885</v>
      </c>
      <c r="J84" s="210">
        <v>2.5654522394440626E-4</v>
      </c>
    </row>
    <row r="85" spans="1:10" ht="24" x14ac:dyDescent="0.25">
      <c r="A85" s="225" t="s">
        <v>86</v>
      </c>
      <c r="B85" s="228" t="s">
        <v>230</v>
      </c>
      <c r="C85" s="209">
        <v>26308</v>
      </c>
      <c r="D85" s="209">
        <v>6233</v>
      </c>
      <c r="E85" s="219">
        <v>0.23692412954234454</v>
      </c>
      <c r="F85" s="220">
        <v>2.3732462043050457</v>
      </c>
      <c r="G85" s="226">
        <v>4.0262514038183861</v>
      </c>
      <c r="H85" s="209">
        <v>200765</v>
      </c>
      <c r="I85" s="209">
        <v>476464.77420730249</v>
      </c>
      <c r="J85" s="210">
        <v>1.4038155060089525E-3</v>
      </c>
    </row>
    <row r="86" spans="1:10" x14ac:dyDescent="0.25">
      <c r="A86" s="225" t="s">
        <v>87</v>
      </c>
      <c r="B86" s="228" t="s">
        <v>234</v>
      </c>
      <c r="C86" s="209">
        <v>12235</v>
      </c>
      <c r="D86" s="209">
        <v>9289</v>
      </c>
      <c r="E86" s="219">
        <v>0.75921536575398452</v>
      </c>
      <c r="F86" s="220">
        <v>1.3171493163957368</v>
      </c>
      <c r="G86" s="226">
        <v>4.7026590591021638</v>
      </c>
      <c r="H86" s="209">
        <v>349464</v>
      </c>
      <c r="I86" s="209">
        <v>460296.26870491978</v>
      </c>
      <c r="J86" s="210">
        <v>1.3561779891096224E-3</v>
      </c>
    </row>
    <row r="87" spans="1:10" x14ac:dyDescent="0.25">
      <c r="A87" s="225" t="s">
        <v>88</v>
      </c>
      <c r="B87" s="228" t="s">
        <v>233</v>
      </c>
      <c r="C87" s="209">
        <v>4019</v>
      </c>
      <c r="D87" s="209">
        <v>1048</v>
      </c>
      <c r="E87" s="219">
        <v>0.26076138342871363</v>
      </c>
      <c r="F87" s="220">
        <v>2.3246182063768526</v>
      </c>
      <c r="G87" s="226">
        <v>3.8975429389312977</v>
      </c>
      <c r="H87" s="209">
        <v>32677</v>
      </c>
      <c r="I87" s="209">
        <v>75961.549129776409</v>
      </c>
      <c r="J87" s="210">
        <v>2.2380668267922213E-4</v>
      </c>
    </row>
    <row r="88" spans="1:10" ht="24" x14ac:dyDescent="0.25">
      <c r="A88" s="225" t="s">
        <v>89</v>
      </c>
      <c r="B88" s="228" t="s">
        <v>228</v>
      </c>
      <c r="C88" s="209">
        <v>39603</v>
      </c>
      <c r="D88" s="209">
        <v>9989</v>
      </c>
      <c r="E88" s="219">
        <v>0.25222836653788855</v>
      </c>
      <c r="F88" s="220">
        <v>2.342025560834136</v>
      </c>
      <c r="G88" s="226">
        <v>4.3773400740814896</v>
      </c>
      <c r="H88" s="209">
        <v>349802</v>
      </c>
      <c r="I88" s="209">
        <v>819245.22523090243</v>
      </c>
      <c r="J88" s="210">
        <v>2.4137548307035183E-3</v>
      </c>
    </row>
    <row r="89" spans="1:10" x14ac:dyDescent="0.25">
      <c r="A89" s="225" t="s">
        <v>90</v>
      </c>
      <c r="B89" s="228" t="s">
        <v>227</v>
      </c>
      <c r="C89" s="209">
        <v>164056</v>
      </c>
      <c r="D89" s="209">
        <v>43414</v>
      </c>
      <c r="E89" s="219">
        <v>0.26462915102160239</v>
      </c>
      <c r="F89" s="220">
        <v>2.3167279604873596</v>
      </c>
      <c r="G89" s="226">
        <v>4.0601821992905514</v>
      </c>
      <c r="H89" s="209">
        <v>1410150</v>
      </c>
      <c r="I89" s="209">
        <v>3266933.93348125</v>
      </c>
      <c r="J89" s="210">
        <v>9.6254177878266935E-3</v>
      </c>
    </row>
    <row r="90" spans="1:10" x14ac:dyDescent="0.25">
      <c r="A90" s="225" t="s">
        <v>437</v>
      </c>
      <c r="B90" s="228" t="s">
        <v>249</v>
      </c>
      <c r="C90" s="209">
        <v>139874</v>
      </c>
      <c r="D90" s="209">
        <v>35480</v>
      </c>
      <c r="E90" s="219">
        <v>0.25365686260491588</v>
      </c>
      <c r="F90" s="220">
        <v>2.3391114288574002</v>
      </c>
      <c r="G90" s="226">
        <v>4.103072153325817</v>
      </c>
      <c r="H90" s="209">
        <v>1164616</v>
      </c>
      <c r="I90" s="209">
        <v>2724166.59583019</v>
      </c>
      <c r="J90" s="210">
        <v>8.0262540174988496E-3</v>
      </c>
    </row>
    <row r="91" spans="1:10" x14ac:dyDescent="0.25">
      <c r="A91" s="136" t="s">
        <v>92</v>
      </c>
      <c r="B91" s="228" t="s">
        <v>225</v>
      </c>
      <c r="C91" s="209">
        <v>8408</v>
      </c>
      <c r="D91" s="209">
        <v>2462</v>
      </c>
      <c r="E91" s="219">
        <v>0.29281636536631778</v>
      </c>
      <c r="F91" s="220">
        <v>2.2592260432241402</v>
      </c>
      <c r="G91" s="226">
        <v>4.5496547522339563</v>
      </c>
      <c r="H91" s="209">
        <v>89610</v>
      </c>
      <c r="I91" s="209">
        <v>202449.24573331521</v>
      </c>
      <c r="J91" s="210">
        <v>5.9647933220891795E-4</v>
      </c>
    </row>
    <row r="92" spans="1:10" x14ac:dyDescent="0.25">
      <c r="A92" s="225" t="s">
        <v>93</v>
      </c>
      <c r="B92" s="228" t="s">
        <v>224</v>
      </c>
      <c r="C92" s="209">
        <v>5486</v>
      </c>
      <c r="D92" s="209">
        <v>1679</v>
      </c>
      <c r="E92" s="219">
        <v>0.30605176813707619</v>
      </c>
      <c r="F92" s="220">
        <v>2.2322258215717929</v>
      </c>
      <c r="G92" s="226">
        <v>4.009455032757594</v>
      </c>
      <c r="H92" s="209">
        <v>53855</v>
      </c>
      <c r="I92" s="209">
        <v>120216.52162074891</v>
      </c>
      <c r="J92" s="210">
        <v>3.541957900464687E-4</v>
      </c>
    </row>
    <row r="93" spans="1:10" x14ac:dyDescent="0.25">
      <c r="A93" s="225" t="s">
        <v>94</v>
      </c>
      <c r="B93" s="228" t="s">
        <v>223</v>
      </c>
      <c r="C93" s="209">
        <v>326584</v>
      </c>
      <c r="D93" s="209">
        <v>98344</v>
      </c>
      <c r="E93" s="219">
        <v>0.30112926536511281</v>
      </c>
      <c r="F93" s="220">
        <v>2.2422677272265985</v>
      </c>
      <c r="G93" s="226">
        <v>4.1463154844220291</v>
      </c>
      <c r="H93" s="209">
        <v>3262122</v>
      </c>
      <c r="I93" s="209">
        <v>7314550.8828758858</v>
      </c>
      <c r="J93" s="210">
        <v>2.1550973974846399E-2</v>
      </c>
    </row>
    <row r="94" spans="1:10" x14ac:dyDescent="0.25">
      <c r="A94" s="225" t="s">
        <v>95</v>
      </c>
      <c r="B94" s="228" t="s">
        <v>221</v>
      </c>
      <c r="C94" s="209">
        <v>166825</v>
      </c>
      <c r="D94" s="209">
        <v>45636</v>
      </c>
      <c r="E94" s="219">
        <v>0.2735561216843998</v>
      </c>
      <c r="F94" s="220">
        <v>2.298516940335253</v>
      </c>
      <c r="G94" s="226">
        <v>4.1186371504952231</v>
      </c>
      <c r="H94" s="209">
        <v>1503665</v>
      </c>
      <c r="I94" s="209">
        <v>3456199.4750892082</v>
      </c>
      <c r="J94" s="210">
        <v>1.0183053769425693E-2</v>
      </c>
    </row>
    <row r="95" spans="1:10" x14ac:dyDescent="0.25">
      <c r="A95" s="225" t="s">
        <v>96</v>
      </c>
      <c r="B95" s="228" t="s">
        <v>220</v>
      </c>
      <c r="C95" s="209">
        <v>438940</v>
      </c>
      <c r="D95" s="209">
        <v>109326</v>
      </c>
      <c r="E95" s="219">
        <v>0.24906820977810179</v>
      </c>
      <c r="F95" s="220">
        <v>2.348472280624101</v>
      </c>
      <c r="G95" s="226">
        <v>4.0678052338876389</v>
      </c>
      <c r="H95" s="209">
        <v>3557735</v>
      </c>
      <c r="I95" s="209">
        <v>8355242.0293061854</v>
      </c>
      <c r="J95" s="210">
        <v>2.4617178335400988E-2</v>
      </c>
    </row>
    <row r="96" spans="1:10" x14ac:dyDescent="0.25">
      <c r="A96" s="225" t="s">
        <v>97</v>
      </c>
      <c r="B96" s="228" t="s">
        <v>219</v>
      </c>
      <c r="C96" s="209">
        <v>335803</v>
      </c>
      <c r="D96" s="209">
        <v>91854</v>
      </c>
      <c r="E96" s="219">
        <v>0.27353537639627995</v>
      </c>
      <c r="F96" s="220">
        <v>2.2985592607230174</v>
      </c>
      <c r="G96" s="226">
        <v>4.2473776318940928</v>
      </c>
      <c r="H96" s="209">
        <v>3121109</v>
      </c>
      <c r="I96" s="209">
        <v>7174053.9956759559</v>
      </c>
      <c r="J96" s="210">
        <v>2.1137025831197399E-2</v>
      </c>
    </row>
    <row r="97" spans="1:10" x14ac:dyDescent="0.25">
      <c r="A97" s="225" t="s">
        <v>98</v>
      </c>
      <c r="B97" s="228" t="s">
        <v>218</v>
      </c>
      <c r="C97" s="209">
        <v>888613</v>
      </c>
      <c r="D97" s="209">
        <v>237375</v>
      </c>
      <c r="E97" s="219">
        <v>0.26712978540714577</v>
      </c>
      <c r="F97" s="220">
        <v>2.3116266663408513</v>
      </c>
      <c r="G97" s="226">
        <v>4.0547082675092154</v>
      </c>
      <c r="H97" s="209">
        <v>7699891</v>
      </c>
      <c r="I97" s="209">
        <v>17799273.363517925</v>
      </c>
      <c r="J97" s="210">
        <v>5.2442273376808277E-2</v>
      </c>
    </row>
    <row r="98" spans="1:10" x14ac:dyDescent="0.25">
      <c r="A98" s="225" t="s">
        <v>99</v>
      </c>
      <c r="B98" s="228" t="s">
        <v>217</v>
      </c>
      <c r="C98" s="209">
        <v>493700</v>
      </c>
      <c r="D98" s="209">
        <v>129112</v>
      </c>
      <c r="E98" s="219">
        <v>0.26151914117885355</v>
      </c>
      <c r="F98" s="220">
        <v>2.3230723805665674</v>
      </c>
      <c r="G98" s="226">
        <v>3.9779861670487637</v>
      </c>
      <c r="H98" s="209">
        <v>4108846</v>
      </c>
      <c r="I98" s="209">
        <v>9545146.6586014181</v>
      </c>
      <c r="J98" s="210">
        <v>2.8123012679724863E-2</v>
      </c>
    </row>
    <row r="99" spans="1:10" x14ac:dyDescent="0.25">
      <c r="A99" s="225" t="s">
        <v>100</v>
      </c>
      <c r="B99" s="228" t="s">
        <v>216</v>
      </c>
      <c r="C99" s="209">
        <v>281523</v>
      </c>
      <c r="D99" s="209">
        <v>62669</v>
      </c>
      <c r="E99" s="219">
        <v>0.22260703388355479</v>
      </c>
      <c r="F99" s="220">
        <v>2.4024530794489767</v>
      </c>
      <c r="G99" s="226">
        <v>4.1540654071390959</v>
      </c>
      <c r="H99" s="209">
        <v>2082649</v>
      </c>
      <c r="I99" s="209">
        <v>5003466.5034613321</v>
      </c>
      <c r="J99" s="210">
        <v>1.4741790456684221E-2</v>
      </c>
    </row>
    <row r="100" spans="1:10" ht="24" x14ac:dyDescent="0.25">
      <c r="A100" s="225" t="s">
        <v>130</v>
      </c>
      <c r="B100" s="228" t="s">
        <v>212</v>
      </c>
      <c r="C100" s="209">
        <v>259</v>
      </c>
      <c r="D100" s="209">
        <v>100</v>
      </c>
      <c r="E100" s="219">
        <v>0.38610038610038611</v>
      </c>
      <c r="F100" s="220">
        <v>2.0689266409266409</v>
      </c>
      <c r="G100" s="226">
        <v>4.1062500000000002</v>
      </c>
      <c r="H100" s="209">
        <v>3285</v>
      </c>
      <c r="I100" s="209">
        <v>6796.4240154440158</v>
      </c>
      <c r="J100" s="210">
        <v>2.0024408801606031E-5</v>
      </c>
    </row>
    <row r="101" spans="1:10" ht="24" x14ac:dyDescent="0.25">
      <c r="A101" s="225" t="s">
        <v>468</v>
      </c>
      <c r="B101" s="228" t="s">
        <v>211</v>
      </c>
      <c r="C101" s="209">
        <v>15299</v>
      </c>
      <c r="D101" s="209">
        <v>5490</v>
      </c>
      <c r="E101" s="219">
        <v>0.35884698346297145</v>
      </c>
      <c r="F101" s="220">
        <v>2.124523582306967</v>
      </c>
      <c r="G101" s="226">
        <v>4.1919854280510016</v>
      </c>
      <c r="H101" s="209">
        <v>184112</v>
      </c>
      <c r="I101" s="209">
        <v>391150.28578570031</v>
      </c>
      <c r="J101" s="210">
        <v>1.1524521141764261E-3</v>
      </c>
    </row>
    <row r="102" spans="1:10" ht="24" x14ac:dyDescent="0.25">
      <c r="A102" s="225" t="s">
        <v>103</v>
      </c>
      <c r="B102" s="228" t="s">
        <v>210</v>
      </c>
      <c r="C102" s="209">
        <v>32692</v>
      </c>
      <c r="D102" s="209">
        <v>6648</v>
      </c>
      <c r="E102" s="219">
        <v>0.20335250214119663</v>
      </c>
      <c r="F102" s="220">
        <v>2.4417323242033877</v>
      </c>
      <c r="G102" s="226">
        <v>4.0389966907340558</v>
      </c>
      <c r="H102" s="209">
        <v>214810</v>
      </c>
      <c r="I102" s="209">
        <v>524508.52056212968</v>
      </c>
      <c r="J102" s="210">
        <v>1.5453675361918248E-3</v>
      </c>
    </row>
    <row r="103" spans="1:10" x14ac:dyDescent="0.25">
      <c r="A103" s="225" t="s">
        <v>104</v>
      </c>
      <c r="B103" s="228" t="s">
        <v>209</v>
      </c>
      <c r="C103" s="209">
        <v>29014</v>
      </c>
      <c r="D103" s="209">
        <v>11265</v>
      </c>
      <c r="E103" s="219">
        <v>0.38826083959467844</v>
      </c>
      <c r="F103" s="220">
        <v>2.0645193157982846</v>
      </c>
      <c r="G103" s="226">
        <v>4.0210386151797604</v>
      </c>
      <c r="H103" s="209">
        <v>362376</v>
      </c>
      <c r="I103" s="209">
        <v>748132.25158171915</v>
      </c>
      <c r="J103" s="210">
        <v>2.2042335806736154E-3</v>
      </c>
    </row>
    <row r="104" spans="1:10" x14ac:dyDescent="0.25">
      <c r="A104" s="225" t="s">
        <v>434</v>
      </c>
      <c r="B104" s="228" t="s">
        <v>208</v>
      </c>
      <c r="C104" s="209">
        <v>15599</v>
      </c>
      <c r="D104" s="209">
        <v>3665</v>
      </c>
      <c r="E104" s="219">
        <v>0.2349509583947689</v>
      </c>
      <c r="F104" s="220">
        <v>2.3772714734461</v>
      </c>
      <c r="G104" s="226">
        <v>4.330832196452933</v>
      </c>
      <c r="H104" s="209">
        <v>126980</v>
      </c>
      <c r="I104" s="209">
        <v>301865.9316981858</v>
      </c>
      <c r="J104" s="210">
        <v>8.8939224596145978E-4</v>
      </c>
    </row>
    <row r="105" spans="1:10" x14ac:dyDescent="0.25">
      <c r="A105" s="225" t="s">
        <v>105</v>
      </c>
      <c r="B105" s="228" t="s">
        <v>207</v>
      </c>
      <c r="C105" s="209">
        <v>46854</v>
      </c>
      <c r="D105" s="209">
        <v>14768</v>
      </c>
      <c r="E105" s="219">
        <v>0.31519187262560294</v>
      </c>
      <c r="F105" s="220">
        <v>2.2135800084151986</v>
      </c>
      <c r="G105" s="226">
        <v>4.2404015438786562</v>
      </c>
      <c r="H105" s="209">
        <v>500978</v>
      </c>
      <c r="I105" s="209">
        <v>1108954.8854558293</v>
      </c>
      <c r="J105" s="210">
        <v>3.2673308667094648E-3</v>
      </c>
    </row>
    <row r="106" spans="1:10" ht="24" x14ac:dyDescent="0.25">
      <c r="A106" s="225" t="s">
        <v>106</v>
      </c>
      <c r="B106" s="228" t="s">
        <v>206</v>
      </c>
      <c r="C106" s="209">
        <v>50962</v>
      </c>
      <c r="D106" s="209">
        <v>14539</v>
      </c>
      <c r="E106" s="219">
        <v>0.28529100113810291</v>
      </c>
      <c r="F106" s="220">
        <v>2.2745777862496985</v>
      </c>
      <c r="G106" s="226">
        <v>4.0055454295343562</v>
      </c>
      <c r="H106" s="209">
        <v>465893</v>
      </c>
      <c r="I106" s="209">
        <v>1059709.8685692309</v>
      </c>
      <c r="J106" s="210">
        <v>3.122239514648668E-3</v>
      </c>
    </row>
    <row r="107" spans="1:10" ht="24" x14ac:dyDescent="0.25">
      <c r="A107" s="225" t="s">
        <v>107</v>
      </c>
      <c r="B107" s="228" t="s">
        <v>205</v>
      </c>
      <c r="C107" s="209">
        <v>156603</v>
      </c>
      <c r="D107" s="209">
        <v>37362</v>
      </c>
      <c r="E107" s="219">
        <v>0.23857780502289228</v>
      </c>
      <c r="F107" s="220">
        <v>2.3698727063247285</v>
      </c>
      <c r="G107" s="226">
        <v>4.1040228039184194</v>
      </c>
      <c r="H107" s="209">
        <v>1226676</v>
      </c>
      <c r="I107" s="209">
        <v>2907065.9719035928</v>
      </c>
      <c r="J107" s="210">
        <v>8.5651332674882615E-3</v>
      </c>
    </row>
    <row r="108" spans="1:10" x14ac:dyDescent="0.25">
      <c r="A108" s="225" t="s">
        <v>108</v>
      </c>
      <c r="B108" s="228" t="s">
        <v>204</v>
      </c>
      <c r="C108" s="209">
        <v>319824</v>
      </c>
      <c r="D108" s="209">
        <v>85567</v>
      </c>
      <c r="E108" s="219">
        <v>0.2675440242133173</v>
      </c>
      <c r="F108" s="220">
        <v>2.3107816191762613</v>
      </c>
      <c r="G108" s="226">
        <v>4.0883503570301638</v>
      </c>
      <c r="H108" s="209">
        <v>2798623</v>
      </c>
      <c r="I108" s="209">
        <v>6467006.5874039261</v>
      </c>
      <c r="J108" s="210">
        <v>1.9053841157436253E-2</v>
      </c>
    </row>
    <row r="109" spans="1:10" x14ac:dyDescent="0.25">
      <c r="A109" s="225" t="s">
        <v>109</v>
      </c>
      <c r="B109" s="228" t="s">
        <v>203</v>
      </c>
      <c r="C109" s="209">
        <v>793184</v>
      </c>
      <c r="D109" s="209">
        <v>204187</v>
      </c>
      <c r="E109" s="219">
        <v>0.25742702828095371</v>
      </c>
      <c r="F109" s="220">
        <v>2.3314202908782828</v>
      </c>
      <c r="G109" s="226">
        <v>4.050432324290969</v>
      </c>
      <c r="H109" s="209">
        <v>6616365</v>
      </c>
      <c r="I109" s="209">
        <v>15425527.612856889</v>
      </c>
      <c r="J109" s="210">
        <v>4.5448469695004531E-2</v>
      </c>
    </row>
    <row r="110" spans="1:10" x14ac:dyDescent="0.25">
      <c r="A110" s="225" t="s">
        <v>111</v>
      </c>
      <c r="B110" s="228" t="s">
        <v>201</v>
      </c>
      <c r="C110" s="209">
        <v>5843</v>
      </c>
      <c r="D110" s="209">
        <v>3249</v>
      </c>
      <c r="E110" s="219">
        <v>0.55604997432825598</v>
      </c>
      <c r="F110" s="220">
        <v>1.7222294809417864</v>
      </c>
      <c r="G110" s="226">
        <v>4.1784395198522626</v>
      </c>
      <c r="H110" s="209">
        <v>108606</v>
      </c>
      <c r="I110" s="209">
        <v>187044.45500716366</v>
      </c>
      <c r="J110" s="210">
        <v>5.5109195992274445E-4</v>
      </c>
    </row>
    <row r="111" spans="1:10" x14ac:dyDescent="0.25">
      <c r="A111" s="225" t="s">
        <v>112</v>
      </c>
      <c r="B111" s="228" t="s">
        <v>197</v>
      </c>
      <c r="C111" s="209">
        <v>10680</v>
      </c>
      <c r="D111" s="209">
        <v>4476</v>
      </c>
      <c r="E111" s="219">
        <v>0.41910112359550561</v>
      </c>
      <c r="F111" s="220">
        <v>2.0016051364365972</v>
      </c>
      <c r="G111" s="226">
        <v>4.2794906166219837</v>
      </c>
      <c r="H111" s="209">
        <v>153240</v>
      </c>
      <c r="I111" s="209">
        <v>306725.97110754414</v>
      </c>
      <c r="J111" s="210">
        <v>9.0371145496074548E-4</v>
      </c>
    </row>
    <row r="112" spans="1:10" x14ac:dyDescent="0.25">
      <c r="A112" s="225" t="s">
        <v>113</v>
      </c>
      <c r="B112" s="228" t="s">
        <v>198</v>
      </c>
      <c r="C112" s="209">
        <v>3473</v>
      </c>
      <c r="D112" s="209">
        <v>662</v>
      </c>
      <c r="E112" s="219">
        <v>0.19061330262021306</v>
      </c>
      <c r="F112" s="220">
        <v>2.4485714285714284</v>
      </c>
      <c r="G112" s="226">
        <v>4.3206193353474323</v>
      </c>
      <c r="H112" s="209">
        <v>22882</v>
      </c>
      <c r="I112" s="209">
        <v>56028.211428571427</v>
      </c>
      <c r="J112" s="210">
        <v>1.6507678266086413E-4</v>
      </c>
    </row>
    <row r="113" spans="1:10" x14ac:dyDescent="0.25">
      <c r="A113" s="225" t="s">
        <v>114</v>
      </c>
      <c r="B113" s="228" t="s">
        <v>195</v>
      </c>
      <c r="C113" s="209">
        <v>123962</v>
      </c>
      <c r="D113" s="209">
        <v>40396</v>
      </c>
      <c r="E113" s="219">
        <v>0.32587405817911941</v>
      </c>
      <c r="F113" s="220">
        <v>2.1917883498860249</v>
      </c>
      <c r="G113" s="226">
        <v>3.9789149915833253</v>
      </c>
      <c r="H113" s="209">
        <v>1285858</v>
      </c>
      <c r="I113" s="209">
        <v>2818328.5840077442</v>
      </c>
      <c r="J113" s="210">
        <v>8.3036849341919065E-3</v>
      </c>
    </row>
    <row r="114" spans="1:10" x14ac:dyDescent="0.25">
      <c r="A114" s="225" t="s">
        <v>115</v>
      </c>
      <c r="B114" s="228" t="s">
        <v>194</v>
      </c>
      <c r="C114" s="209">
        <v>17559</v>
      </c>
      <c r="D114" s="209">
        <v>6464</v>
      </c>
      <c r="E114" s="219">
        <v>0.36813030354803805</v>
      </c>
      <c r="F114" s="220">
        <v>2.1055856093334309</v>
      </c>
      <c r="G114" s="226">
        <v>4.5117574257425739</v>
      </c>
      <c r="H114" s="209">
        <v>233312</v>
      </c>
      <c r="I114" s="209">
        <v>491258.3896848014</v>
      </c>
      <c r="J114" s="210">
        <v>1.4474021632425288E-3</v>
      </c>
    </row>
    <row r="115" spans="1:10" x14ac:dyDescent="0.25">
      <c r="A115" s="225" t="s">
        <v>116</v>
      </c>
      <c r="B115" s="228" t="s">
        <v>193</v>
      </c>
      <c r="C115" s="209">
        <v>300038</v>
      </c>
      <c r="D115" s="209">
        <v>77165</v>
      </c>
      <c r="E115" s="219">
        <v>0.25718409001526471</v>
      </c>
      <c r="F115" s="220">
        <v>2.3319158849402886</v>
      </c>
      <c r="G115" s="226">
        <v>4.0702002203071341</v>
      </c>
      <c r="H115" s="209">
        <v>2512616</v>
      </c>
      <c r="I115" s="209">
        <v>5859209.1631551282</v>
      </c>
      <c r="J115" s="210">
        <v>1.7263078240928317E-2</v>
      </c>
    </row>
    <row r="116" spans="1:10" x14ac:dyDescent="0.25">
      <c r="A116" s="225" t="s">
        <v>117</v>
      </c>
      <c r="B116" s="228" t="s">
        <v>192</v>
      </c>
      <c r="C116" s="209">
        <v>27458</v>
      </c>
      <c r="D116" s="209">
        <v>7001</v>
      </c>
      <c r="E116" s="219">
        <v>0.25497122878578193</v>
      </c>
      <c r="F116" s="220">
        <v>2.3364301218484336</v>
      </c>
      <c r="G116" s="226">
        <v>4.0865947721754035</v>
      </c>
      <c r="H116" s="209">
        <v>228882</v>
      </c>
      <c r="I116" s="209">
        <v>534766.79914891312</v>
      </c>
      <c r="J116" s="210">
        <v>1.5755916604600769E-3</v>
      </c>
    </row>
    <row r="117" spans="1:10" x14ac:dyDescent="0.25">
      <c r="A117" s="225" t="s">
        <v>380</v>
      </c>
      <c r="B117" s="228" t="s">
        <v>379</v>
      </c>
      <c r="C117" s="209">
        <v>5397</v>
      </c>
      <c r="D117" s="209">
        <v>2487</v>
      </c>
      <c r="E117" s="219">
        <v>0.46081156197887713</v>
      </c>
      <c r="F117" s="220">
        <v>1.9165158421345192</v>
      </c>
      <c r="G117" s="226">
        <v>4.7582428628870126</v>
      </c>
      <c r="H117" s="209">
        <v>94670</v>
      </c>
      <c r="I117" s="209">
        <v>181436.55477487494</v>
      </c>
      <c r="J117" s="210">
        <v>5.345693170572029E-4</v>
      </c>
    </row>
    <row r="118" spans="1:10" x14ac:dyDescent="0.25">
      <c r="A118" s="136" t="s">
        <v>118</v>
      </c>
      <c r="B118" s="228" t="s">
        <v>191</v>
      </c>
      <c r="C118" s="209">
        <v>148561</v>
      </c>
      <c r="D118" s="209">
        <v>28135</v>
      </c>
      <c r="E118" s="219">
        <v>0.18938348557158338</v>
      </c>
      <c r="F118" s="220">
        <v>2.4485714285714284</v>
      </c>
      <c r="G118" s="226">
        <v>3.9235693975475385</v>
      </c>
      <c r="H118" s="209">
        <v>883117</v>
      </c>
      <c r="I118" s="209">
        <v>2162375.0542857139</v>
      </c>
      <c r="J118" s="210">
        <v>6.3710389420992188E-3</v>
      </c>
    </row>
    <row r="119" spans="1:10" x14ac:dyDescent="0.25">
      <c r="A119" s="225" t="s">
        <v>119</v>
      </c>
      <c r="B119" s="228" t="s">
        <v>190</v>
      </c>
      <c r="C119" s="209">
        <v>195694</v>
      </c>
      <c r="D119" s="209">
        <v>61542</v>
      </c>
      <c r="E119" s="219">
        <v>0.31448077099962185</v>
      </c>
      <c r="F119" s="220">
        <v>2.2150306557321997</v>
      </c>
      <c r="G119" s="226">
        <v>4.0323681388320169</v>
      </c>
      <c r="H119" s="209">
        <v>1985280</v>
      </c>
      <c r="I119" s="209">
        <v>4397456.0602120217</v>
      </c>
      <c r="J119" s="210">
        <v>1.2956292549830351E-2</v>
      </c>
    </row>
    <row r="120" spans="1:10" ht="24" x14ac:dyDescent="0.25">
      <c r="A120" s="225" t="s">
        <v>120</v>
      </c>
      <c r="B120" s="228" t="s">
        <v>189</v>
      </c>
      <c r="C120" s="209">
        <v>95404</v>
      </c>
      <c r="D120" s="209">
        <v>25000</v>
      </c>
      <c r="E120" s="219">
        <v>0.26204352018783278</v>
      </c>
      <c r="F120" s="220">
        <v>2.3220026473882496</v>
      </c>
      <c r="G120" s="226">
        <v>4.2105249999999996</v>
      </c>
      <c r="H120" s="209">
        <v>842105</v>
      </c>
      <c r="I120" s="209">
        <v>1955370.0393788819</v>
      </c>
      <c r="J120" s="210">
        <v>5.7611368769753214E-3</v>
      </c>
    </row>
    <row r="121" spans="1:10" ht="24" x14ac:dyDescent="0.25">
      <c r="A121" s="225" t="s">
        <v>501</v>
      </c>
      <c r="B121" s="228" t="s">
        <v>188</v>
      </c>
      <c r="C121" s="209">
        <v>1011</v>
      </c>
      <c r="D121" s="209">
        <v>587</v>
      </c>
      <c r="E121" s="219">
        <v>0.58061325420375864</v>
      </c>
      <c r="F121" s="220">
        <v>1.6721203899957608</v>
      </c>
      <c r="G121" s="226">
        <v>4.4531516183986373</v>
      </c>
      <c r="H121" s="209">
        <v>20912</v>
      </c>
      <c r="I121" s="209">
        <v>34967.381595591352</v>
      </c>
      <c r="J121" s="210">
        <v>1.0302493520132904E-4</v>
      </c>
    </row>
    <row r="122" spans="1:10" x14ac:dyDescent="0.25">
      <c r="A122" s="225" t="s">
        <v>122</v>
      </c>
      <c r="B122" s="228" t="s">
        <v>184</v>
      </c>
      <c r="C122" s="209">
        <v>185902</v>
      </c>
      <c r="D122" s="209">
        <v>46640</v>
      </c>
      <c r="E122" s="219">
        <v>0.2508848748265215</v>
      </c>
      <c r="F122" s="220">
        <v>2.3447662839253249</v>
      </c>
      <c r="G122" s="226">
        <v>4.0121381861063465</v>
      </c>
      <c r="H122" s="209">
        <v>1497009</v>
      </c>
      <c r="I122" s="209">
        <v>3510136.2299327669</v>
      </c>
      <c r="J122" s="210">
        <v>1.0341968461323245E-2</v>
      </c>
    </row>
    <row r="123" spans="1:10" x14ac:dyDescent="0.25">
      <c r="A123" s="225" t="s">
        <v>123</v>
      </c>
      <c r="B123" s="228" t="s">
        <v>183</v>
      </c>
      <c r="C123" s="209">
        <v>22919</v>
      </c>
      <c r="D123" s="209">
        <v>6982</v>
      </c>
      <c r="E123" s="219">
        <v>0.30463807321436365</v>
      </c>
      <c r="F123" s="220">
        <v>2.2351097592141267</v>
      </c>
      <c r="G123" s="226">
        <v>4.2773202520767688</v>
      </c>
      <c r="H123" s="209">
        <v>238914</v>
      </c>
      <c r="I123" s="209">
        <v>533999.01301288384</v>
      </c>
      <c r="J123" s="210">
        <v>1.5733295203368121E-3</v>
      </c>
    </row>
    <row r="124" spans="1:10" x14ac:dyDescent="0.25">
      <c r="A124" s="225" t="s">
        <v>124</v>
      </c>
      <c r="B124" s="228" t="s">
        <v>178</v>
      </c>
      <c r="C124" s="209">
        <v>173961</v>
      </c>
      <c r="D124" s="209">
        <v>48914</v>
      </c>
      <c r="E124" s="219">
        <v>0.28117796517610266</v>
      </c>
      <c r="F124" s="220">
        <v>2.2829683796121794</v>
      </c>
      <c r="G124" s="226">
        <v>4.0720064807621537</v>
      </c>
      <c r="H124" s="209">
        <v>1593425</v>
      </c>
      <c r="I124" s="209">
        <v>3637738.8902835371</v>
      </c>
      <c r="J124" s="210">
        <v>1.0717926145721691E-2</v>
      </c>
    </row>
    <row r="125" spans="1:10" ht="24" x14ac:dyDescent="0.25">
      <c r="A125" s="225" t="s">
        <v>125</v>
      </c>
      <c r="B125" s="228" t="s">
        <v>176</v>
      </c>
      <c r="C125" s="209">
        <v>177769</v>
      </c>
      <c r="D125" s="209">
        <v>55588</v>
      </c>
      <c r="E125" s="219">
        <v>0.31269793946076085</v>
      </c>
      <c r="F125" s="220">
        <v>2.2186676320714764</v>
      </c>
      <c r="G125" s="226">
        <v>4.1644599553860546</v>
      </c>
      <c r="H125" s="209">
        <v>1851952</v>
      </c>
      <c r="I125" s="209">
        <v>4108865.958550035</v>
      </c>
      <c r="J125" s="210">
        <v>1.2106015086469477E-2</v>
      </c>
    </row>
    <row r="126" spans="1:10" x14ac:dyDescent="0.25">
      <c r="A126" s="204" t="s">
        <v>13</v>
      </c>
      <c r="B126" s="204"/>
      <c r="C126" s="211">
        <v>16731495</v>
      </c>
      <c r="D126" s="211">
        <v>4521592</v>
      </c>
      <c r="E126" s="221">
        <v>0.27024435054966695</v>
      </c>
      <c r="F126" s="222">
        <v>2.3052729534501077</v>
      </c>
      <c r="G126" s="227">
        <v>4.1046333348962047</v>
      </c>
      <c r="H126" s="211">
        <v>148475818</v>
      </c>
      <c r="I126" s="211">
        <v>339406974.89650321</v>
      </c>
      <c r="J126" s="212">
        <v>1</v>
      </c>
    </row>
    <row r="128" spans="1:10" x14ac:dyDescent="0.25">
      <c r="A128" s="5"/>
    </row>
    <row r="129" spans="1:1" x14ac:dyDescent="0.25">
      <c r="A129" s="15" t="s">
        <v>504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129"/>
  <sheetViews>
    <sheetView workbookViewId="0">
      <pane xSplit="1" ySplit="1" topLeftCell="B2" activePane="bottomRight" state="frozen"/>
      <selection pane="topRight" activeCell="B1" sqref="B1"/>
      <selection pane="bottomLeft" activeCell="A5" sqref="A5"/>
      <selection pane="bottomRight"/>
    </sheetView>
  </sheetViews>
  <sheetFormatPr defaultColWidth="19.5703125" defaultRowHeight="15" x14ac:dyDescent="0.25"/>
  <cols>
    <col min="1" max="1" width="34.28515625" style="137" customWidth="1"/>
    <col min="2" max="8" width="17.42578125" style="137" customWidth="1"/>
    <col min="9" max="16384" width="19.5703125" style="137"/>
  </cols>
  <sheetData>
    <row r="1" spans="1:8" ht="24" x14ac:dyDescent="0.25">
      <c r="A1" s="35" t="s">
        <v>12</v>
      </c>
      <c r="B1" s="35"/>
      <c r="C1" s="35" t="s">
        <v>403</v>
      </c>
      <c r="D1" s="35" t="s">
        <v>404</v>
      </c>
      <c r="E1" s="35" t="s">
        <v>405</v>
      </c>
      <c r="F1" s="35" t="s">
        <v>407</v>
      </c>
      <c r="G1" s="35" t="s">
        <v>408</v>
      </c>
      <c r="H1" s="35" t="s">
        <v>502</v>
      </c>
    </row>
    <row r="2" spans="1:8" x14ac:dyDescent="0.25">
      <c r="A2" s="136" t="s">
        <v>378</v>
      </c>
      <c r="B2" s="228" t="s">
        <v>377</v>
      </c>
      <c r="C2" s="148">
        <v>700273</v>
      </c>
      <c r="D2" s="148">
        <v>118830</v>
      </c>
      <c r="E2" s="154">
        <v>0.16969096338142411</v>
      </c>
      <c r="F2" s="175">
        <v>4.1431945262606709</v>
      </c>
      <c r="G2" s="148">
        <v>4431022.25</v>
      </c>
      <c r="H2" s="152">
        <v>2.4012858758974149E-2</v>
      </c>
    </row>
    <row r="3" spans="1:8" x14ac:dyDescent="0.25">
      <c r="A3" s="136" t="s">
        <v>15</v>
      </c>
      <c r="B3" s="228" t="s">
        <v>320</v>
      </c>
      <c r="C3" s="148">
        <v>34781</v>
      </c>
      <c r="D3" s="148">
        <v>12997</v>
      </c>
      <c r="E3" s="154">
        <v>0.3736810327477646</v>
      </c>
      <c r="F3" s="175">
        <v>4.2035619330956715</v>
      </c>
      <c r="G3" s="148">
        <v>491703.25</v>
      </c>
      <c r="H3" s="152">
        <v>2.6646674350548696E-3</v>
      </c>
    </row>
    <row r="4" spans="1:8" x14ac:dyDescent="0.25">
      <c r="A4" s="136" t="s">
        <v>16</v>
      </c>
      <c r="B4" s="228" t="s">
        <v>319</v>
      </c>
      <c r="C4" s="148">
        <v>1419</v>
      </c>
      <c r="D4" s="148">
        <v>947</v>
      </c>
      <c r="E4" s="154">
        <v>0.6673713883016209</v>
      </c>
      <c r="F4" s="175">
        <v>4.3326293558606128</v>
      </c>
      <c r="G4" s="148">
        <v>36927</v>
      </c>
      <c r="H4" s="152">
        <v>2.0011699002248036E-4</v>
      </c>
    </row>
    <row r="5" spans="1:8" x14ac:dyDescent="0.25">
      <c r="A5" s="136" t="s">
        <v>489</v>
      </c>
      <c r="B5" s="228" t="s">
        <v>488</v>
      </c>
      <c r="C5" s="148">
        <v>80220</v>
      </c>
      <c r="D5" s="148">
        <v>30251</v>
      </c>
      <c r="E5" s="154">
        <v>0.37710047369733235</v>
      </c>
      <c r="F5" s="175">
        <v>4.2655596325557648</v>
      </c>
      <c r="G5" s="148">
        <v>1161337</v>
      </c>
      <c r="H5" s="152">
        <v>6.2935863959091521E-3</v>
      </c>
    </row>
    <row r="6" spans="1:8" x14ac:dyDescent="0.25">
      <c r="A6" s="136" t="s">
        <v>17</v>
      </c>
      <c r="B6" s="228" t="s">
        <v>318</v>
      </c>
      <c r="C6" s="148">
        <v>33251</v>
      </c>
      <c r="D6" s="148">
        <v>10036</v>
      </c>
      <c r="E6" s="154">
        <v>0.30182550900724792</v>
      </c>
      <c r="F6" s="175">
        <v>4.1887538195828347</v>
      </c>
      <c r="G6" s="148">
        <v>378345</v>
      </c>
      <c r="H6" s="152">
        <v>2.0503496788272899E-3</v>
      </c>
    </row>
    <row r="7" spans="1:8" x14ac:dyDescent="0.25">
      <c r="A7" s="136" t="s">
        <v>494</v>
      </c>
      <c r="B7" s="228" t="s">
        <v>316</v>
      </c>
      <c r="C7" s="148">
        <v>42615</v>
      </c>
      <c r="D7" s="148">
        <v>5358</v>
      </c>
      <c r="E7" s="154">
        <v>0.12573037662794789</v>
      </c>
      <c r="F7" s="175">
        <v>4.1784040479449214</v>
      </c>
      <c r="G7" s="148">
        <v>201491</v>
      </c>
      <c r="H7" s="152">
        <v>1.091931985718298E-3</v>
      </c>
    </row>
    <row r="8" spans="1:8" x14ac:dyDescent="0.25">
      <c r="A8" s="136" t="s">
        <v>19</v>
      </c>
      <c r="B8" s="228" t="s">
        <v>315</v>
      </c>
      <c r="C8" s="148">
        <v>99649</v>
      </c>
      <c r="D8" s="148">
        <v>24221</v>
      </c>
      <c r="E8" s="154">
        <v>0.2430631516623348</v>
      </c>
      <c r="F8" s="175">
        <v>4.0896100261939825</v>
      </c>
      <c r="G8" s="148">
        <v>891490</v>
      </c>
      <c r="H8" s="152">
        <v>4.8312155180529424E-3</v>
      </c>
    </row>
    <row r="9" spans="1:8" x14ac:dyDescent="0.25">
      <c r="A9" s="136" t="s">
        <v>148</v>
      </c>
      <c r="B9" s="228" t="s">
        <v>174</v>
      </c>
      <c r="C9" s="148">
        <v>223687</v>
      </c>
      <c r="D9" s="148">
        <v>66182</v>
      </c>
      <c r="E9" s="154">
        <v>0.29586878093049662</v>
      </c>
      <c r="F9" s="175">
        <v>4.2356506804468488</v>
      </c>
      <c r="G9" s="148">
        <v>2522914.5</v>
      </c>
      <c r="H9" s="152">
        <v>1.3672327993719258E-2</v>
      </c>
    </row>
    <row r="10" spans="1:8" x14ac:dyDescent="0.25">
      <c r="A10" s="136" t="s">
        <v>20</v>
      </c>
      <c r="B10" s="228" t="s">
        <v>314</v>
      </c>
      <c r="C10" s="148">
        <v>592</v>
      </c>
      <c r="D10" s="148">
        <v>193</v>
      </c>
      <c r="E10" s="154">
        <v>0.32601351351351349</v>
      </c>
      <c r="F10" s="175">
        <v>4.1306850892343121</v>
      </c>
      <c r="G10" s="148">
        <v>7175</v>
      </c>
      <c r="H10" s="152">
        <v>3.8883185837227409E-5</v>
      </c>
    </row>
    <row r="11" spans="1:8" ht="24" x14ac:dyDescent="0.25">
      <c r="A11" s="136" t="s">
        <v>21</v>
      </c>
      <c r="B11" s="228" t="s">
        <v>313</v>
      </c>
      <c r="C11" s="148">
        <v>381591</v>
      </c>
      <c r="D11" s="148">
        <v>86935</v>
      </c>
      <c r="E11" s="154">
        <v>0.2278224591250842</v>
      </c>
      <c r="F11" s="175">
        <v>3.9377271013464719</v>
      </c>
      <c r="G11" s="148">
        <v>3080936.75</v>
      </c>
      <c r="H11" s="152">
        <v>1.669639528961581E-2</v>
      </c>
    </row>
    <row r="12" spans="1:8" x14ac:dyDescent="0.25">
      <c r="A12" s="136" t="s">
        <v>22</v>
      </c>
      <c r="B12" s="228" t="s">
        <v>312</v>
      </c>
      <c r="C12" s="148">
        <v>310629</v>
      </c>
      <c r="D12" s="148">
        <v>135104</v>
      </c>
      <c r="E12" s="154">
        <v>0.43493685393186082</v>
      </c>
      <c r="F12" s="175">
        <v>4.0209562838833621</v>
      </c>
      <c r="G12" s="148">
        <v>4889225.5</v>
      </c>
      <c r="H12" s="152">
        <v>2.6495981005799456E-2</v>
      </c>
    </row>
    <row r="13" spans="1:8" x14ac:dyDescent="0.25">
      <c r="A13" s="136" t="s">
        <v>23</v>
      </c>
      <c r="B13" s="228" t="s">
        <v>310</v>
      </c>
      <c r="C13" s="148">
        <v>208581</v>
      </c>
      <c r="D13" s="148">
        <v>78861</v>
      </c>
      <c r="E13" s="154">
        <v>0.37808333453190845</v>
      </c>
      <c r="F13" s="175">
        <v>3.9134919527889434</v>
      </c>
      <c r="G13" s="148">
        <v>2777597</v>
      </c>
      <c r="H13" s="152">
        <v>1.5052518513160326E-2</v>
      </c>
    </row>
    <row r="14" spans="1:8" ht="24" x14ac:dyDescent="0.25">
      <c r="A14" s="136" t="s">
        <v>24</v>
      </c>
      <c r="B14" s="228" t="s">
        <v>309</v>
      </c>
      <c r="C14" s="148">
        <v>967</v>
      </c>
      <c r="D14" s="148">
        <v>563</v>
      </c>
      <c r="E14" s="154">
        <v>0.58221302998965874</v>
      </c>
      <c r="F14" s="175">
        <v>4.376554174067496</v>
      </c>
      <c r="G14" s="148">
        <v>22176</v>
      </c>
      <c r="H14" s="152">
        <v>1.2017749534862091E-4</v>
      </c>
    </row>
    <row r="15" spans="1:8" x14ac:dyDescent="0.25">
      <c r="A15" s="136" t="s">
        <v>25</v>
      </c>
      <c r="B15" s="228" t="s">
        <v>308</v>
      </c>
      <c r="C15" s="148">
        <v>2887</v>
      </c>
      <c r="D15" s="148">
        <v>484</v>
      </c>
      <c r="E15" s="154">
        <v>0.16764807758919292</v>
      </c>
      <c r="F15" s="175">
        <v>4.6329201101928374</v>
      </c>
      <c r="G15" s="148">
        <v>20181</v>
      </c>
      <c r="H15" s="152">
        <v>1.0936607294509915E-4</v>
      </c>
    </row>
    <row r="16" spans="1:8" ht="24" x14ac:dyDescent="0.25">
      <c r="A16" s="136" t="s">
        <v>128</v>
      </c>
      <c r="B16" s="228" t="s">
        <v>306</v>
      </c>
      <c r="C16" s="148">
        <v>231</v>
      </c>
      <c r="D16" s="148">
        <v>231</v>
      </c>
      <c r="E16" s="154">
        <v>1</v>
      </c>
      <c r="F16" s="175">
        <v>5</v>
      </c>
      <c r="G16" s="148">
        <v>10395</v>
      </c>
      <c r="H16" s="152">
        <v>5.6333200944666049E-5</v>
      </c>
    </row>
    <row r="17" spans="1:8" ht="24" x14ac:dyDescent="0.25">
      <c r="A17" s="136" t="s">
        <v>495</v>
      </c>
      <c r="B17" s="228" t="s">
        <v>305</v>
      </c>
      <c r="C17" s="148">
        <v>22621</v>
      </c>
      <c r="D17" s="148">
        <v>6906</v>
      </c>
      <c r="E17" s="154">
        <v>0.30529154325626628</v>
      </c>
      <c r="F17" s="175">
        <v>4.2442803359397621</v>
      </c>
      <c r="G17" s="148">
        <v>263799</v>
      </c>
      <c r="H17" s="152">
        <v>1.4295951973065859E-3</v>
      </c>
    </row>
    <row r="18" spans="1:8" x14ac:dyDescent="0.25">
      <c r="A18" s="136" t="s">
        <v>27</v>
      </c>
      <c r="B18" s="228" t="s">
        <v>304</v>
      </c>
      <c r="C18" s="148">
        <v>35950</v>
      </c>
      <c r="D18" s="148">
        <v>4843</v>
      </c>
      <c r="E18" s="154">
        <v>0.13471488178025035</v>
      </c>
      <c r="F18" s="175">
        <v>3.8892559708169867</v>
      </c>
      <c r="G18" s="148">
        <v>169521</v>
      </c>
      <c r="H18" s="152">
        <v>9.1867826429444291E-4</v>
      </c>
    </row>
    <row r="19" spans="1:8" x14ac:dyDescent="0.25">
      <c r="A19" s="136" t="s">
        <v>143</v>
      </c>
      <c r="B19" s="228" t="s">
        <v>303</v>
      </c>
      <c r="C19" s="148">
        <v>3713</v>
      </c>
      <c r="D19" s="148">
        <v>3713</v>
      </c>
      <c r="E19" s="154">
        <v>1</v>
      </c>
      <c r="F19" s="175">
        <v>3.4598557620372863</v>
      </c>
      <c r="G19" s="148">
        <v>115618</v>
      </c>
      <c r="H19" s="152">
        <v>6.2656392754404993E-4</v>
      </c>
    </row>
    <row r="20" spans="1:8" x14ac:dyDescent="0.25">
      <c r="A20" s="136" t="s">
        <v>28</v>
      </c>
      <c r="B20" s="228" t="s">
        <v>302</v>
      </c>
      <c r="C20" s="148">
        <v>595574</v>
      </c>
      <c r="D20" s="148">
        <v>101595</v>
      </c>
      <c r="E20" s="154">
        <v>0.1705833364115962</v>
      </c>
      <c r="F20" s="175">
        <v>4.0750861262857425</v>
      </c>
      <c r="G20" s="148">
        <v>3726075.375</v>
      </c>
      <c r="H20" s="152">
        <v>2.0192568815281087E-2</v>
      </c>
    </row>
    <row r="21" spans="1:8" x14ac:dyDescent="0.25">
      <c r="A21" s="136" t="s">
        <v>29</v>
      </c>
      <c r="B21" s="228" t="s">
        <v>299</v>
      </c>
      <c r="C21" s="148">
        <v>1942</v>
      </c>
      <c r="D21" s="148">
        <v>1657</v>
      </c>
      <c r="E21" s="154">
        <v>0.85324407826982496</v>
      </c>
      <c r="F21" s="175">
        <v>4.9721719305304104</v>
      </c>
      <c r="G21" s="148">
        <v>74150</v>
      </c>
      <c r="H21" s="152">
        <v>4.0183808081260103E-4</v>
      </c>
    </row>
    <row r="22" spans="1:8" x14ac:dyDescent="0.25">
      <c r="A22" s="136" t="s">
        <v>30</v>
      </c>
      <c r="B22" s="228" t="s">
        <v>301</v>
      </c>
      <c r="C22" s="148">
        <v>142172</v>
      </c>
      <c r="D22" s="148">
        <v>27621</v>
      </c>
      <c r="E22" s="154">
        <v>0.19427876093745605</v>
      </c>
      <c r="F22" s="175">
        <v>4.0261938380217952</v>
      </c>
      <c r="G22" s="148">
        <v>1000867.5</v>
      </c>
      <c r="H22" s="152">
        <v>5.4239605576224675E-3</v>
      </c>
    </row>
    <row r="23" spans="1:8" x14ac:dyDescent="0.25">
      <c r="A23" s="136" t="s">
        <v>31</v>
      </c>
      <c r="B23" s="228" t="s">
        <v>300</v>
      </c>
      <c r="C23" s="148">
        <v>52959</v>
      </c>
      <c r="D23" s="148">
        <v>6197</v>
      </c>
      <c r="E23" s="154">
        <v>0.11701504937782058</v>
      </c>
      <c r="F23" s="175">
        <v>3.5423457587004465</v>
      </c>
      <c r="G23" s="148">
        <v>197567.25</v>
      </c>
      <c r="H23" s="152">
        <v>1.070668166843201E-3</v>
      </c>
    </row>
    <row r="24" spans="1:8" x14ac:dyDescent="0.25">
      <c r="A24" s="136" t="s">
        <v>32</v>
      </c>
      <c r="B24" s="228" t="s">
        <v>297</v>
      </c>
      <c r="C24" s="148">
        <v>174217</v>
      </c>
      <c r="D24" s="148">
        <v>40664</v>
      </c>
      <c r="E24" s="154">
        <v>0.23341005757187874</v>
      </c>
      <c r="F24" s="175">
        <v>4.1761785608892383</v>
      </c>
      <c r="G24" s="148">
        <v>1528381.125</v>
      </c>
      <c r="H24" s="152">
        <v>8.2826937022279709E-3</v>
      </c>
    </row>
    <row r="25" spans="1:8" x14ac:dyDescent="0.25">
      <c r="A25" s="136" t="s">
        <v>33</v>
      </c>
      <c r="B25" s="228" t="s">
        <v>296</v>
      </c>
      <c r="C25" s="148">
        <v>55781</v>
      </c>
      <c r="D25" s="148">
        <v>24993</v>
      </c>
      <c r="E25" s="154">
        <v>0.44805578960577974</v>
      </c>
      <c r="F25" s="175">
        <v>3.8389860271987266</v>
      </c>
      <c r="G25" s="148">
        <v>863530</v>
      </c>
      <c r="H25" s="152">
        <v>4.6796930266231338E-3</v>
      </c>
    </row>
    <row r="26" spans="1:8" x14ac:dyDescent="0.25">
      <c r="A26" s="136" t="s">
        <v>34</v>
      </c>
      <c r="B26" s="228" t="s">
        <v>294</v>
      </c>
      <c r="C26" s="148">
        <v>1566</v>
      </c>
      <c r="D26" s="148">
        <v>937</v>
      </c>
      <c r="E26" s="154">
        <v>0.59833971902937422</v>
      </c>
      <c r="F26" s="175">
        <v>4.7968694414799007</v>
      </c>
      <c r="G26" s="148">
        <v>40452</v>
      </c>
      <c r="H26" s="152">
        <v>2.1921987923171054E-4</v>
      </c>
    </row>
    <row r="27" spans="1:8" x14ac:dyDescent="0.25">
      <c r="A27" s="136" t="s">
        <v>35</v>
      </c>
      <c r="B27" s="228" t="s">
        <v>293</v>
      </c>
      <c r="C27" s="148">
        <v>152757</v>
      </c>
      <c r="D27" s="148">
        <v>62765</v>
      </c>
      <c r="E27" s="154">
        <v>0.41088133440693386</v>
      </c>
      <c r="F27" s="175">
        <v>4.3553393611088982</v>
      </c>
      <c r="G27" s="148">
        <v>2460265.875</v>
      </c>
      <c r="H27" s="152">
        <v>1.333281884691483E-2</v>
      </c>
    </row>
    <row r="28" spans="1:8" x14ac:dyDescent="0.25">
      <c r="A28" s="136" t="s">
        <v>36</v>
      </c>
      <c r="B28" s="228" t="s">
        <v>292</v>
      </c>
      <c r="C28" s="148">
        <v>3897</v>
      </c>
      <c r="D28" s="148">
        <v>3073</v>
      </c>
      <c r="E28" s="154">
        <v>0.78855529894790866</v>
      </c>
      <c r="F28" s="175">
        <v>4.0882597534078169</v>
      </c>
      <c r="G28" s="148">
        <v>113069</v>
      </c>
      <c r="H28" s="152">
        <v>6.1275023546055276E-4</v>
      </c>
    </row>
    <row r="29" spans="1:8" x14ac:dyDescent="0.25">
      <c r="A29" s="136" t="s">
        <v>37</v>
      </c>
      <c r="B29" s="228" t="s">
        <v>289</v>
      </c>
      <c r="C29" s="148">
        <v>979</v>
      </c>
      <c r="D29" s="148">
        <v>310</v>
      </c>
      <c r="E29" s="154">
        <v>0.31664964249233912</v>
      </c>
      <c r="F29" s="175">
        <v>4.9935483870967747</v>
      </c>
      <c r="G29" s="148">
        <v>13932</v>
      </c>
      <c r="H29" s="152">
        <v>7.5501121266097879E-5</v>
      </c>
    </row>
    <row r="30" spans="1:8" x14ac:dyDescent="0.25">
      <c r="A30" s="136" t="s">
        <v>38</v>
      </c>
      <c r="B30" s="228" t="s">
        <v>288</v>
      </c>
      <c r="C30" s="148">
        <v>252090</v>
      </c>
      <c r="D30" s="148">
        <v>84666</v>
      </c>
      <c r="E30" s="154">
        <v>0.33585624181839818</v>
      </c>
      <c r="F30" s="175">
        <v>3.8504853712758895</v>
      </c>
      <c r="G30" s="148">
        <v>2934046.75</v>
      </c>
      <c r="H30" s="152">
        <v>1.5900360283674302E-2</v>
      </c>
    </row>
    <row r="31" spans="1:8" x14ac:dyDescent="0.25">
      <c r="A31" s="136" t="s">
        <v>39</v>
      </c>
      <c r="B31" s="228" t="s">
        <v>287</v>
      </c>
      <c r="C31" s="148">
        <v>41650</v>
      </c>
      <c r="D31" s="148">
        <v>7452</v>
      </c>
      <c r="E31" s="154">
        <v>0.17891956782713087</v>
      </c>
      <c r="F31" s="175">
        <v>4.6166726307628076</v>
      </c>
      <c r="G31" s="148">
        <v>309631</v>
      </c>
      <c r="H31" s="152">
        <v>1.6779706918420292E-3</v>
      </c>
    </row>
    <row r="32" spans="1:8" x14ac:dyDescent="0.25">
      <c r="A32" s="136" t="s">
        <v>441</v>
      </c>
      <c r="B32" s="228" t="s">
        <v>286</v>
      </c>
      <c r="C32" s="148">
        <v>495176</v>
      </c>
      <c r="D32" s="148">
        <v>137537</v>
      </c>
      <c r="E32" s="154">
        <v>0.27775376835710941</v>
      </c>
      <c r="F32" s="175">
        <v>4.1132053960429236</v>
      </c>
      <c r="G32" s="148">
        <v>5091461.375</v>
      </c>
      <c r="H32" s="152">
        <v>2.7591949662326188E-2</v>
      </c>
    </row>
    <row r="33" spans="1:8" x14ac:dyDescent="0.25">
      <c r="A33" s="136" t="s">
        <v>40</v>
      </c>
      <c r="B33" s="228" t="s">
        <v>291</v>
      </c>
      <c r="C33" s="148">
        <v>36748</v>
      </c>
      <c r="D33" s="148">
        <v>9367</v>
      </c>
      <c r="E33" s="154">
        <v>0.25489822575378251</v>
      </c>
      <c r="F33" s="175">
        <v>4.4132355906669982</v>
      </c>
      <c r="G33" s="148">
        <v>372049</v>
      </c>
      <c r="H33" s="152">
        <v>2.0162300219588323E-3</v>
      </c>
    </row>
    <row r="34" spans="1:8" x14ac:dyDescent="0.25">
      <c r="A34" s="136" t="s">
        <v>41</v>
      </c>
      <c r="B34" s="228" t="s">
        <v>290</v>
      </c>
      <c r="C34" s="148">
        <v>11872</v>
      </c>
      <c r="D34" s="148">
        <v>5324</v>
      </c>
      <c r="E34" s="154">
        <v>0.44845013477088946</v>
      </c>
      <c r="F34" s="175">
        <v>4.5211620335587277</v>
      </c>
      <c r="G34" s="148">
        <v>216636</v>
      </c>
      <c r="H34" s="152">
        <v>1.1740066685761111E-3</v>
      </c>
    </row>
    <row r="35" spans="1:8" x14ac:dyDescent="0.25">
      <c r="A35" s="136" t="s">
        <v>42</v>
      </c>
      <c r="B35" s="228" t="s">
        <v>285</v>
      </c>
      <c r="C35" s="148">
        <v>42147</v>
      </c>
      <c r="D35" s="148">
        <v>9750</v>
      </c>
      <c r="E35" s="154">
        <v>0.23133319097444657</v>
      </c>
      <c r="F35" s="175">
        <v>4.0417207977207976</v>
      </c>
      <c r="G35" s="148">
        <v>354661</v>
      </c>
      <c r="H35" s="152">
        <v>1.9219999403786634E-3</v>
      </c>
    </row>
    <row r="36" spans="1:8" x14ac:dyDescent="0.25">
      <c r="A36" s="136" t="s">
        <v>43</v>
      </c>
      <c r="B36" s="228" t="s">
        <v>284</v>
      </c>
      <c r="C36" s="148">
        <v>385996</v>
      </c>
      <c r="D36" s="148">
        <v>108433</v>
      </c>
      <c r="E36" s="154">
        <v>0.2809174188333558</v>
      </c>
      <c r="F36" s="175">
        <v>4.1412342952176306</v>
      </c>
      <c r="G36" s="148">
        <v>4041418.125</v>
      </c>
      <c r="H36" s="152">
        <v>2.1901492961716257E-2</v>
      </c>
    </row>
    <row r="37" spans="1:8" ht="24" x14ac:dyDescent="0.25">
      <c r="A37" s="136" t="s">
        <v>149</v>
      </c>
      <c r="B37" s="228" t="s">
        <v>283</v>
      </c>
      <c r="C37" s="148">
        <v>16536</v>
      </c>
      <c r="D37" s="148">
        <v>4530</v>
      </c>
      <c r="E37" s="154">
        <v>0.27394775036284469</v>
      </c>
      <c r="F37" s="175">
        <v>4.4463085602158445</v>
      </c>
      <c r="G37" s="148">
        <v>181276</v>
      </c>
      <c r="H37" s="152">
        <v>9.8238165795529425E-4</v>
      </c>
    </row>
    <row r="38" spans="1:8" ht="24" x14ac:dyDescent="0.25">
      <c r="A38" s="136" t="s">
        <v>496</v>
      </c>
      <c r="B38" s="228" t="s">
        <v>282</v>
      </c>
      <c r="C38" s="148">
        <v>18232</v>
      </c>
      <c r="D38" s="148">
        <v>4752</v>
      </c>
      <c r="E38" s="154">
        <v>0.26064063185607722</v>
      </c>
      <c r="F38" s="175">
        <v>3.7636784511784516</v>
      </c>
      <c r="G38" s="148">
        <v>160965</v>
      </c>
      <c r="H38" s="152">
        <v>8.7231108129467733E-4</v>
      </c>
    </row>
    <row r="39" spans="1:8" x14ac:dyDescent="0.25">
      <c r="A39" s="136" t="s">
        <v>46</v>
      </c>
      <c r="B39" s="228" t="s">
        <v>281</v>
      </c>
      <c r="C39" s="148">
        <v>1258</v>
      </c>
      <c r="D39" s="148">
        <v>994</v>
      </c>
      <c r="E39" s="154">
        <v>0.79014308426073132</v>
      </c>
      <c r="F39" s="175">
        <v>4.2771070869662422</v>
      </c>
      <c r="G39" s="148">
        <v>38263</v>
      </c>
      <c r="H39" s="152">
        <v>2.0735712051426236E-4</v>
      </c>
    </row>
    <row r="40" spans="1:8" ht="24" x14ac:dyDescent="0.25">
      <c r="A40" s="136" t="s">
        <v>497</v>
      </c>
      <c r="B40" s="228" t="s">
        <v>280</v>
      </c>
      <c r="C40" s="148">
        <v>2820</v>
      </c>
      <c r="D40" s="148">
        <v>1552</v>
      </c>
      <c r="E40" s="154">
        <v>0.55035460992907803</v>
      </c>
      <c r="F40" s="175">
        <v>4.6413230240549828</v>
      </c>
      <c r="G40" s="148">
        <v>64830</v>
      </c>
      <c r="H40" s="152">
        <v>3.5133058366933141E-4</v>
      </c>
    </row>
    <row r="41" spans="1:8" x14ac:dyDescent="0.25">
      <c r="A41" s="136" t="s">
        <v>48</v>
      </c>
      <c r="B41" s="228" t="s">
        <v>278</v>
      </c>
      <c r="C41" s="148">
        <v>1947</v>
      </c>
      <c r="D41" s="148">
        <v>1578</v>
      </c>
      <c r="E41" s="154">
        <v>0.81047765793528503</v>
      </c>
      <c r="F41" s="175">
        <v>4.494507815800592</v>
      </c>
      <c r="G41" s="148">
        <v>63831</v>
      </c>
      <c r="H41" s="152">
        <v>3.4591674357854535E-4</v>
      </c>
    </row>
    <row r="42" spans="1:8" ht="24" x14ac:dyDescent="0.25">
      <c r="A42" s="136" t="s">
        <v>49</v>
      </c>
      <c r="B42" s="228" t="s">
        <v>277</v>
      </c>
      <c r="C42" s="148">
        <v>188580</v>
      </c>
      <c r="D42" s="148">
        <v>62549</v>
      </c>
      <c r="E42" s="154">
        <v>0.33168416587124827</v>
      </c>
      <c r="F42" s="175">
        <v>4.4562645108457186</v>
      </c>
      <c r="G42" s="148">
        <v>2508614</v>
      </c>
      <c r="H42" s="152">
        <v>1.3594829875382634E-2</v>
      </c>
    </row>
    <row r="43" spans="1:8" x14ac:dyDescent="0.25">
      <c r="A43" s="136" t="s">
        <v>51</v>
      </c>
      <c r="B43" s="228" t="s">
        <v>266</v>
      </c>
      <c r="C43" s="148">
        <v>308601</v>
      </c>
      <c r="D43" s="148">
        <v>208414</v>
      </c>
      <c r="E43" s="154">
        <v>0.67535101960136223</v>
      </c>
      <c r="F43" s="175">
        <v>4.2257902406854733</v>
      </c>
      <c r="G43" s="148">
        <v>7926424.625</v>
      </c>
      <c r="H43" s="152">
        <v>4.2955350762181266E-2</v>
      </c>
    </row>
    <row r="44" spans="1:8" x14ac:dyDescent="0.25">
      <c r="A44" s="136" t="s">
        <v>52</v>
      </c>
      <c r="B44" s="228" t="s">
        <v>260</v>
      </c>
      <c r="C44" s="148">
        <v>404439</v>
      </c>
      <c r="D44" s="148">
        <v>109572</v>
      </c>
      <c r="E44" s="154">
        <v>0.27092342726591651</v>
      </c>
      <c r="F44" s="175">
        <v>4.2279813729784985</v>
      </c>
      <c r="G44" s="148">
        <v>4169415.375</v>
      </c>
      <c r="H44" s="152">
        <v>2.2595143255570483E-2</v>
      </c>
    </row>
    <row r="45" spans="1:8" x14ac:dyDescent="0.25">
      <c r="A45" s="136" t="s">
        <v>53</v>
      </c>
      <c r="B45" s="228" t="s">
        <v>276</v>
      </c>
      <c r="C45" s="148">
        <v>2875</v>
      </c>
      <c r="D45" s="148">
        <v>549</v>
      </c>
      <c r="E45" s="154">
        <v>0.19095652173913044</v>
      </c>
      <c r="F45" s="175">
        <v>3.4444444444444446</v>
      </c>
      <c r="G45" s="148">
        <v>17019</v>
      </c>
      <c r="H45" s="152">
        <v>9.2230374879968406E-5</v>
      </c>
    </row>
    <row r="46" spans="1:8" x14ac:dyDescent="0.25">
      <c r="A46" s="136" t="s">
        <v>54</v>
      </c>
      <c r="B46" s="228" t="s">
        <v>275</v>
      </c>
      <c r="C46" s="148">
        <v>58010</v>
      </c>
      <c r="D46" s="148">
        <v>15904</v>
      </c>
      <c r="E46" s="154">
        <v>0.27415962765040508</v>
      </c>
      <c r="F46" s="175">
        <v>4.1588489268947022</v>
      </c>
      <c r="G46" s="148">
        <v>595281</v>
      </c>
      <c r="H46" s="152">
        <v>3.2259821252084418E-3</v>
      </c>
    </row>
    <row r="47" spans="1:8" x14ac:dyDescent="0.25">
      <c r="A47" s="136" t="s">
        <v>55</v>
      </c>
      <c r="B47" s="228" t="s">
        <v>274</v>
      </c>
      <c r="C47" s="148">
        <v>244122</v>
      </c>
      <c r="D47" s="148">
        <v>52663</v>
      </c>
      <c r="E47" s="154">
        <v>0.21572410516053447</v>
      </c>
      <c r="F47" s="175">
        <v>4.0499808003510793</v>
      </c>
      <c r="G47" s="148">
        <v>1919557.25</v>
      </c>
      <c r="H47" s="152">
        <v>1.0402578575184278E-2</v>
      </c>
    </row>
    <row r="48" spans="1:8" ht="24" x14ac:dyDescent="0.25">
      <c r="A48" s="136" t="s">
        <v>56</v>
      </c>
      <c r="B48" s="228" t="s">
        <v>273</v>
      </c>
      <c r="C48" s="148">
        <v>2171</v>
      </c>
      <c r="D48" s="148">
        <v>1857</v>
      </c>
      <c r="E48" s="154">
        <v>0.85536619069553199</v>
      </c>
      <c r="F48" s="175">
        <v>4.4369652366421342</v>
      </c>
      <c r="G48" s="148">
        <v>74155</v>
      </c>
      <c r="H48" s="152">
        <v>4.0186517710935171E-4</v>
      </c>
    </row>
    <row r="49" spans="1:8" x14ac:dyDescent="0.25">
      <c r="A49" s="136" t="s">
        <v>492</v>
      </c>
      <c r="B49" s="228" t="s">
        <v>490</v>
      </c>
      <c r="C49" s="148">
        <v>39829</v>
      </c>
      <c r="D49" s="148">
        <v>12384</v>
      </c>
      <c r="E49" s="154">
        <v>0.31092922242587062</v>
      </c>
      <c r="F49" s="175">
        <v>4.3293945592879703</v>
      </c>
      <c r="G49" s="148">
        <v>482537</v>
      </c>
      <c r="H49" s="152">
        <v>2.6149931490366831E-3</v>
      </c>
    </row>
    <row r="50" spans="1:8" x14ac:dyDescent="0.25">
      <c r="A50" s="136" t="s">
        <v>129</v>
      </c>
      <c r="B50" s="228" t="s">
        <v>272</v>
      </c>
      <c r="C50" s="148">
        <v>7191</v>
      </c>
      <c r="D50" s="148">
        <v>1574</v>
      </c>
      <c r="E50" s="154">
        <v>0.21888471700737033</v>
      </c>
      <c r="F50" s="175">
        <v>4.5555555555555554</v>
      </c>
      <c r="G50" s="148">
        <v>64534</v>
      </c>
      <c r="H50" s="152">
        <v>3.4972648290169109E-4</v>
      </c>
    </row>
    <row r="51" spans="1:8" x14ac:dyDescent="0.25">
      <c r="A51" s="136" t="s">
        <v>57</v>
      </c>
      <c r="B51" s="228" t="s">
        <v>271</v>
      </c>
      <c r="C51" s="148">
        <v>15049</v>
      </c>
      <c r="D51" s="148">
        <v>6249</v>
      </c>
      <c r="E51" s="154">
        <v>0.41524353777659645</v>
      </c>
      <c r="F51" s="175">
        <v>4.4479650077345703</v>
      </c>
      <c r="G51" s="148">
        <v>250158</v>
      </c>
      <c r="H51" s="152">
        <v>1.3556710805113776E-3</v>
      </c>
    </row>
    <row r="52" spans="1:8" ht="24" x14ac:dyDescent="0.25">
      <c r="A52" s="136" t="s">
        <v>58</v>
      </c>
      <c r="B52" s="228" t="s">
        <v>270</v>
      </c>
      <c r="C52" s="148">
        <v>191990</v>
      </c>
      <c r="D52" s="148">
        <v>66808</v>
      </c>
      <c r="E52" s="154">
        <v>0.34797645710714098</v>
      </c>
      <c r="F52" s="175">
        <v>4.019662690096995</v>
      </c>
      <c r="G52" s="148">
        <v>2416910.625</v>
      </c>
      <c r="H52" s="152">
        <v>1.3097865502974836E-2</v>
      </c>
    </row>
    <row r="53" spans="1:8" x14ac:dyDescent="0.25">
      <c r="A53" s="136" t="s">
        <v>59</v>
      </c>
      <c r="B53" s="228" t="s">
        <v>269</v>
      </c>
      <c r="C53" s="148">
        <v>919477</v>
      </c>
      <c r="D53" s="148">
        <v>492053</v>
      </c>
      <c r="E53" s="154">
        <v>0.53514443536923706</v>
      </c>
      <c r="F53" s="175">
        <v>4.1301041249621484</v>
      </c>
      <c r="G53" s="148">
        <v>18290071.125</v>
      </c>
      <c r="H53" s="152">
        <v>9.9118638958812816E-2</v>
      </c>
    </row>
    <row r="54" spans="1:8" x14ac:dyDescent="0.25">
      <c r="A54" s="136" t="s">
        <v>470</v>
      </c>
      <c r="B54" s="228" t="s">
        <v>229</v>
      </c>
      <c r="C54" s="148">
        <v>76189</v>
      </c>
      <c r="D54" s="148">
        <v>9750</v>
      </c>
      <c r="E54" s="154">
        <v>0.12797122944257044</v>
      </c>
      <c r="F54" s="175">
        <v>4.2670883190883195</v>
      </c>
      <c r="G54" s="148">
        <v>374437</v>
      </c>
      <c r="H54" s="152">
        <v>2.0291712132869573E-3</v>
      </c>
    </row>
    <row r="55" spans="1:8" x14ac:dyDescent="0.25">
      <c r="A55" s="136" t="s">
        <v>439</v>
      </c>
      <c r="B55" s="228" t="s">
        <v>243</v>
      </c>
      <c r="C55" s="148">
        <v>653162</v>
      </c>
      <c r="D55" s="148">
        <v>300700</v>
      </c>
      <c r="E55" s="154">
        <v>0.46037583325423098</v>
      </c>
      <c r="F55" s="175">
        <v>4.0500159812289844</v>
      </c>
      <c r="G55" s="148">
        <v>10960558.25</v>
      </c>
      <c r="H55" s="152">
        <v>5.9398107779025232E-2</v>
      </c>
    </row>
    <row r="56" spans="1:8" x14ac:dyDescent="0.25">
      <c r="A56" s="136" t="s">
        <v>60</v>
      </c>
      <c r="B56" s="228" t="s">
        <v>268</v>
      </c>
      <c r="C56" s="148">
        <v>273078</v>
      </c>
      <c r="D56" s="148">
        <v>87895</v>
      </c>
      <c r="E56" s="154">
        <v>0.32186774474692215</v>
      </c>
      <c r="F56" s="175">
        <v>4.0334368343541227</v>
      </c>
      <c r="G56" s="148">
        <v>3190670.375</v>
      </c>
      <c r="H56" s="152">
        <v>1.7291070262921402E-2</v>
      </c>
    </row>
    <row r="57" spans="1:8" x14ac:dyDescent="0.25">
      <c r="A57" s="136" t="s">
        <v>474</v>
      </c>
      <c r="B57" s="228" t="s">
        <v>473</v>
      </c>
      <c r="C57" s="148">
        <v>300102</v>
      </c>
      <c r="D57" s="148">
        <v>90231</v>
      </c>
      <c r="E57" s="154">
        <v>0.30066777295719455</v>
      </c>
      <c r="F57" s="175">
        <v>3.9428052874166184</v>
      </c>
      <c r="G57" s="148">
        <v>3201869.375</v>
      </c>
      <c r="H57" s="152">
        <v>1.7351760548383579E-2</v>
      </c>
    </row>
    <row r="58" spans="1:8" x14ac:dyDescent="0.25">
      <c r="A58" s="136" t="s">
        <v>61</v>
      </c>
      <c r="B58" s="228" t="s">
        <v>264</v>
      </c>
      <c r="C58" s="148">
        <v>7317</v>
      </c>
      <c r="D58" s="148">
        <v>1715</v>
      </c>
      <c r="E58" s="154">
        <v>0.23438567719010522</v>
      </c>
      <c r="F58" s="175">
        <v>4.1432782636864269</v>
      </c>
      <c r="G58" s="148">
        <v>63951.5</v>
      </c>
      <c r="H58" s="152">
        <v>3.4656976433023677E-4</v>
      </c>
    </row>
    <row r="59" spans="1:8" ht="24" x14ac:dyDescent="0.25">
      <c r="A59" s="136" t="s">
        <v>498</v>
      </c>
      <c r="B59" s="228" t="s">
        <v>263</v>
      </c>
      <c r="C59" s="148">
        <v>250</v>
      </c>
      <c r="D59" s="148">
        <v>85</v>
      </c>
      <c r="E59" s="154">
        <v>0.34</v>
      </c>
      <c r="F59" s="175">
        <v>4.5424836601307188</v>
      </c>
      <c r="G59" s="148">
        <v>3475</v>
      </c>
      <c r="H59" s="152">
        <v>1.8831926241723379E-5</v>
      </c>
    </row>
    <row r="60" spans="1:8" ht="24" x14ac:dyDescent="0.25">
      <c r="A60" s="136" t="s">
        <v>544</v>
      </c>
      <c r="B60" s="228" t="s">
        <v>262</v>
      </c>
      <c r="C60" s="148">
        <v>9945</v>
      </c>
      <c r="D60" s="148">
        <v>5651</v>
      </c>
      <c r="E60" s="154">
        <v>0.56822523881347409</v>
      </c>
      <c r="F60" s="175">
        <v>4.2116242946184554</v>
      </c>
      <c r="G60" s="148">
        <v>214199</v>
      </c>
      <c r="H60" s="152">
        <v>1.1607999335398291E-3</v>
      </c>
    </row>
    <row r="61" spans="1:8" x14ac:dyDescent="0.25">
      <c r="A61" s="136" t="s">
        <v>64</v>
      </c>
      <c r="B61" s="228" t="s">
        <v>261</v>
      </c>
      <c r="C61" s="148">
        <v>8850</v>
      </c>
      <c r="D61" s="148">
        <v>1465</v>
      </c>
      <c r="E61" s="154">
        <v>0.1655367231638418</v>
      </c>
      <c r="F61" s="175">
        <v>4.0238149412210849</v>
      </c>
      <c r="G61" s="148">
        <v>53054</v>
      </c>
      <c r="H61" s="152">
        <v>2.8751338556212724E-4</v>
      </c>
    </row>
    <row r="62" spans="1:8" x14ac:dyDescent="0.25">
      <c r="A62" s="136" t="s">
        <v>144</v>
      </c>
      <c r="B62" s="228" t="s">
        <v>259</v>
      </c>
      <c r="C62" s="148">
        <v>254</v>
      </c>
      <c r="D62" s="148">
        <v>106</v>
      </c>
      <c r="E62" s="154">
        <v>0.41732283464566927</v>
      </c>
      <c r="F62" s="175">
        <v>4.5890985324947593</v>
      </c>
      <c r="G62" s="148">
        <v>4378</v>
      </c>
      <c r="H62" s="152">
        <v>2.372551743489639E-5</v>
      </c>
    </row>
    <row r="63" spans="1:8" x14ac:dyDescent="0.25">
      <c r="A63" s="136" t="s">
        <v>65</v>
      </c>
      <c r="B63" s="228" t="s">
        <v>298</v>
      </c>
      <c r="C63" s="148">
        <v>5679</v>
      </c>
      <c r="D63" s="148">
        <v>640</v>
      </c>
      <c r="E63" s="154">
        <v>0.11269589716499384</v>
      </c>
      <c r="F63" s="175">
        <v>4.031944444444445</v>
      </c>
      <c r="G63" s="148">
        <v>23224</v>
      </c>
      <c r="H63" s="152">
        <v>1.2585687914756368E-4</v>
      </c>
    </row>
    <row r="64" spans="1:8" x14ac:dyDescent="0.25">
      <c r="A64" s="136" t="s">
        <v>66</v>
      </c>
      <c r="B64" s="228" t="s">
        <v>258</v>
      </c>
      <c r="C64" s="148">
        <v>1909</v>
      </c>
      <c r="D64" s="148">
        <v>872</v>
      </c>
      <c r="E64" s="154">
        <v>0.45678365636458879</v>
      </c>
      <c r="F64" s="175">
        <v>4.5773445463812443</v>
      </c>
      <c r="G64" s="148">
        <v>35923</v>
      </c>
      <c r="H64" s="152">
        <v>1.9467605363494359E-4</v>
      </c>
    </row>
    <row r="65" spans="1:8" x14ac:dyDescent="0.25">
      <c r="A65" s="136" t="s">
        <v>67</v>
      </c>
      <c r="B65" s="228" t="s">
        <v>257</v>
      </c>
      <c r="C65" s="148">
        <v>4993</v>
      </c>
      <c r="D65" s="148">
        <v>1491</v>
      </c>
      <c r="E65" s="154">
        <v>0.298618065291408</v>
      </c>
      <c r="F65" s="175">
        <v>4.171994932558313</v>
      </c>
      <c r="G65" s="148">
        <v>55984</v>
      </c>
      <c r="H65" s="152">
        <v>3.0339181545802638E-4</v>
      </c>
    </row>
    <row r="66" spans="1:8" x14ac:dyDescent="0.25">
      <c r="A66" s="136" t="s">
        <v>469</v>
      </c>
      <c r="B66" s="228" t="s">
        <v>295</v>
      </c>
      <c r="C66" s="148">
        <v>37197</v>
      </c>
      <c r="D66" s="148">
        <v>9438</v>
      </c>
      <c r="E66" s="154">
        <v>0.25373013952738122</v>
      </c>
      <c r="F66" s="175">
        <v>4.270455134091498</v>
      </c>
      <c r="G66" s="148">
        <v>362741</v>
      </c>
      <c r="H66" s="152">
        <v>1.965787555927764E-3</v>
      </c>
    </row>
    <row r="67" spans="1:8" x14ac:dyDescent="0.25">
      <c r="A67" s="136" t="s">
        <v>68</v>
      </c>
      <c r="B67" s="228" t="s">
        <v>256</v>
      </c>
      <c r="C67" s="148">
        <v>164462</v>
      </c>
      <c r="D67" s="148">
        <v>42275</v>
      </c>
      <c r="E67" s="154">
        <v>0.25705026085053084</v>
      </c>
      <c r="F67" s="175">
        <v>4.1506705433996975</v>
      </c>
      <c r="G67" s="148">
        <v>1579226.375</v>
      </c>
      <c r="H67" s="152">
        <v>8.558237298700486E-3</v>
      </c>
    </row>
    <row r="68" spans="1:8" x14ac:dyDescent="0.25">
      <c r="A68" s="136" t="s">
        <v>69</v>
      </c>
      <c r="B68" s="228" t="s">
        <v>254</v>
      </c>
      <c r="C68" s="148">
        <v>135994</v>
      </c>
      <c r="D68" s="148">
        <v>31665</v>
      </c>
      <c r="E68" s="154">
        <v>0.23284115475682751</v>
      </c>
      <c r="F68" s="175">
        <v>4.1015500815832411</v>
      </c>
      <c r="G68" s="148">
        <v>1168880.25</v>
      </c>
      <c r="H68" s="152">
        <v>6.334465224002067E-3</v>
      </c>
    </row>
    <row r="69" spans="1:8" ht="24" x14ac:dyDescent="0.25">
      <c r="A69" s="136" t="s">
        <v>70</v>
      </c>
      <c r="B69" s="228" t="s">
        <v>253</v>
      </c>
      <c r="C69" s="148">
        <v>200254</v>
      </c>
      <c r="D69" s="148">
        <v>31049</v>
      </c>
      <c r="E69" s="154">
        <v>0.15504808892706262</v>
      </c>
      <c r="F69" s="175">
        <v>4.0815905683131684</v>
      </c>
      <c r="G69" s="148">
        <v>1140563.75</v>
      </c>
      <c r="H69" s="152">
        <v>6.1810107666139353E-3</v>
      </c>
    </row>
    <row r="70" spans="1:8" x14ac:dyDescent="0.25">
      <c r="A70" s="136" t="s">
        <v>71</v>
      </c>
      <c r="B70" s="228" t="s">
        <v>252</v>
      </c>
      <c r="C70" s="148">
        <v>292535</v>
      </c>
      <c r="D70" s="148">
        <v>122779</v>
      </c>
      <c r="E70" s="154">
        <v>0.41970704360162031</v>
      </c>
      <c r="F70" s="175">
        <v>3.8233069625551241</v>
      </c>
      <c r="G70" s="148">
        <v>4224796.25</v>
      </c>
      <c r="H70" s="152">
        <v>2.2895266580232956E-2</v>
      </c>
    </row>
    <row r="71" spans="1:8" ht="24" x14ac:dyDescent="0.25">
      <c r="A71" s="136" t="s">
        <v>499</v>
      </c>
      <c r="B71" s="228" t="s">
        <v>250</v>
      </c>
      <c r="C71" s="148">
        <v>14177</v>
      </c>
      <c r="D71" s="148">
        <v>4036</v>
      </c>
      <c r="E71" s="154">
        <v>0.28468646399097131</v>
      </c>
      <c r="F71" s="175">
        <v>4.5959971368791983</v>
      </c>
      <c r="G71" s="148">
        <v>166945</v>
      </c>
      <c r="H71" s="152">
        <v>9.0471825220849193E-4</v>
      </c>
    </row>
    <row r="72" spans="1:8" x14ac:dyDescent="0.25">
      <c r="A72" s="136" t="s">
        <v>73</v>
      </c>
      <c r="B72" s="228" t="s">
        <v>246</v>
      </c>
      <c r="C72" s="148">
        <v>17286</v>
      </c>
      <c r="D72" s="148">
        <v>4500</v>
      </c>
      <c r="E72" s="154">
        <v>0.26032627559875043</v>
      </c>
      <c r="F72" s="175">
        <v>4.3304259259259261</v>
      </c>
      <c r="G72" s="148">
        <v>175382.25</v>
      </c>
      <c r="H72" s="152">
        <v>9.5044189816042885E-4</v>
      </c>
    </row>
    <row r="73" spans="1:8" x14ac:dyDescent="0.25">
      <c r="A73" s="136" t="s">
        <v>74</v>
      </c>
      <c r="B73" s="228" t="s">
        <v>248</v>
      </c>
      <c r="C73" s="148">
        <v>36495</v>
      </c>
      <c r="D73" s="148">
        <v>12724</v>
      </c>
      <c r="E73" s="154">
        <v>0.34865050006850251</v>
      </c>
      <c r="F73" s="175">
        <v>4.4271455517132985</v>
      </c>
      <c r="G73" s="148">
        <v>506979</v>
      </c>
      <c r="H73" s="152">
        <v>2.7474506860727128E-3</v>
      </c>
    </row>
    <row r="74" spans="1:8" x14ac:dyDescent="0.25">
      <c r="A74" s="136" t="s">
        <v>442</v>
      </c>
      <c r="B74" s="228" t="s">
        <v>279</v>
      </c>
      <c r="C74" s="148">
        <v>132860</v>
      </c>
      <c r="D74" s="148">
        <v>26516</v>
      </c>
      <c r="E74" s="154">
        <v>0.19957850368809274</v>
      </c>
      <c r="F74" s="175">
        <v>4.2360335897822701</v>
      </c>
      <c r="G74" s="148">
        <v>1010904</v>
      </c>
      <c r="H74" s="152">
        <v>5.4783509540901098E-3</v>
      </c>
    </row>
    <row r="75" spans="1:8" x14ac:dyDescent="0.25">
      <c r="A75" s="136" t="s">
        <v>75</v>
      </c>
      <c r="B75" s="228" t="s">
        <v>245</v>
      </c>
      <c r="C75" s="148">
        <v>148511</v>
      </c>
      <c r="D75" s="148">
        <v>38073</v>
      </c>
      <c r="E75" s="154">
        <v>0.2563648483950684</v>
      </c>
      <c r="F75" s="175">
        <v>4.2314030502806013</v>
      </c>
      <c r="G75" s="148">
        <v>1449919.875</v>
      </c>
      <c r="H75" s="152">
        <v>7.857491839542095E-3</v>
      </c>
    </row>
    <row r="76" spans="1:8" x14ac:dyDescent="0.25">
      <c r="A76" s="136" t="s">
        <v>76</v>
      </c>
      <c r="B76" s="228" t="s">
        <v>244</v>
      </c>
      <c r="C76" s="148">
        <v>28</v>
      </c>
      <c r="D76" s="148"/>
      <c r="E76" s="154"/>
      <c r="F76" s="175"/>
      <c r="G76" s="148"/>
      <c r="H76" s="152"/>
    </row>
    <row r="77" spans="1:8" x14ac:dyDescent="0.25">
      <c r="A77" s="136" t="s">
        <v>78</v>
      </c>
      <c r="B77" s="228" t="s">
        <v>239</v>
      </c>
      <c r="C77" s="148">
        <v>2862</v>
      </c>
      <c r="D77" s="148">
        <v>454</v>
      </c>
      <c r="E77" s="154">
        <v>0.1586303284416492</v>
      </c>
      <c r="F77" s="175">
        <v>4.42486539402839</v>
      </c>
      <c r="G77" s="148">
        <v>18080</v>
      </c>
      <c r="H77" s="152">
        <v>9.7980209050462929E-5</v>
      </c>
    </row>
    <row r="78" spans="1:8" x14ac:dyDescent="0.25">
      <c r="A78" s="136" t="s">
        <v>79</v>
      </c>
      <c r="B78" s="228" t="s">
        <v>238</v>
      </c>
      <c r="C78" s="148">
        <v>19057</v>
      </c>
      <c r="D78" s="148">
        <v>4174</v>
      </c>
      <c r="E78" s="154">
        <v>0.2190271291388991</v>
      </c>
      <c r="F78" s="175">
        <v>3.9346782995261673</v>
      </c>
      <c r="G78" s="148">
        <v>147810.125</v>
      </c>
      <c r="H78" s="152">
        <v>8.0102140195105411E-4</v>
      </c>
    </row>
    <row r="79" spans="1:8" x14ac:dyDescent="0.25">
      <c r="A79" s="136" t="s">
        <v>80</v>
      </c>
      <c r="B79" s="228" t="s">
        <v>237</v>
      </c>
      <c r="C79" s="148">
        <v>75919</v>
      </c>
      <c r="D79" s="148">
        <v>12734</v>
      </c>
      <c r="E79" s="154">
        <v>0.16773139793727526</v>
      </c>
      <c r="F79" s="175">
        <v>3.8206987417761717</v>
      </c>
      <c r="G79" s="148">
        <v>437875</v>
      </c>
      <c r="H79" s="152">
        <v>2.3729581879408991E-3</v>
      </c>
    </row>
    <row r="80" spans="1:8" x14ac:dyDescent="0.25">
      <c r="A80" s="136" t="s">
        <v>81</v>
      </c>
      <c r="B80" s="228" t="s">
        <v>236</v>
      </c>
      <c r="C80" s="148">
        <v>125834</v>
      </c>
      <c r="D80" s="148">
        <v>65108</v>
      </c>
      <c r="E80" s="154">
        <v>0.51741182828170451</v>
      </c>
      <c r="F80" s="175">
        <v>4.1819195285781579</v>
      </c>
      <c r="G80" s="148">
        <v>2450487.75</v>
      </c>
      <c r="H80" s="152">
        <v>1.3279828651581779E-2</v>
      </c>
    </row>
    <row r="81" spans="1:8" ht="24" x14ac:dyDescent="0.25">
      <c r="A81" s="136" t="s">
        <v>500</v>
      </c>
      <c r="B81" s="228" t="s">
        <v>235</v>
      </c>
      <c r="C81" s="148">
        <v>7591</v>
      </c>
      <c r="D81" s="148">
        <v>2973</v>
      </c>
      <c r="E81" s="154">
        <v>0.39164800421551837</v>
      </c>
      <c r="F81" s="175">
        <v>3.95597413760885</v>
      </c>
      <c r="G81" s="148">
        <v>105850</v>
      </c>
      <c r="H81" s="152">
        <v>5.7362860221191929E-4</v>
      </c>
    </row>
    <row r="82" spans="1:8" x14ac:dyDescent="0.25">
      <c r="A82" s="136" t="s">
        <v>83</v>
      </c>
      <c r="B82" s="228" t="s">
        <v>242</v>
      </c>
      <c r="C82" s="148">
        <v>604729</v>
      </c>
      <c r="D82" s="148">
        <v>102367</v>
      </c>
      <c r="E82" s="154">
        <v>0.16927747801081144</v>
      </c>
      <c r="F82" s="175">
        <v>3.9893780873393445</v>
      </c>
      <c r="G82" s="148">
        <v>3675426</v>
      </c>
      <c r="H82" s="152">
        <v>1.9918086716233782E-2</v>
      </c>
    </row>
    <row r="83" spans="1:8" ht="24" x14ac:dyDescent="0.25">
      <c r="A83" s="136" t="s">
        <v>543</v>
      </c>
      <c r="B83" s="228" t="s">
        <v>232</v>
      </c>
      <c r="C83" s="148">
        <v>28860</v>
      </c>
      <c r="D83" s="148">
        <v>7711</v>
      </c>
      <c r="E83" s="154">
        <v>0.26718641718641717</v>
      </c>
      <c r="F83" s="175">
        <v>3.8428651709678814</v>
      </c>
      <c r="G83" s="148">
        <v>266691</v>
      </c>
      <c r="H83" s="152">
        <v>1.4452676953471799E-3</v>
      </c>
    </row>
    <row r="84" spans="1:8" x14ac:dyDescent="0.25">
      <c r="A84" s="136" t="s">
        <v>85</v>
      </c>
      <c r="B84" s="228" t="s">
        <v>231</v>
      </c>
      <c r="C84" s="148">
        <v>2464</v>
      </c>
      <c r="D84" s="148">
        <v>825</v>
      </c>
      <c r="E84" s="154">
        <v>0.33482142857142855</v>
      </c>
      <c r="F84" s="175">
        <v>4.2595286195286199</v>
      </c>
      <c r="G84" s="148">
        <v>31627</v>
      </c>
      <c r="H84" s="152">
        <v>1.7139491546675837E-4</v>
      </c>
    </row>
    <row r="85" spans="1:8" ht="24" x14ac:dyDescent="0.25">
      <c r="A85" s="136" t="s">
        <v>86</v>
      </c>
      <c r="B85" s="228" t="s">
        <v>230</v>
      </c>
      <c r="C85" s="148">
        <v>26308</v>
      </c>
      <c r="D85" s="148">
        <v>8796</v>
      </c>
      <c r="E85" s="154">
        <v>0.33434696670214381</v>
      </c>
      <c r="F85" s="175">
        <v>4.0369865090192514</v>
      </c>
      <c r="G85" s="148">
        <v>319584</v>
      </c>
      <c r="H85" s="152">
        <v>1.7319085801539352E-3</v>
      </c>
    </row>
    <row r="86" spans="1:8" x14ac:dyDescent="0.25">
      <c r="A86" s="136" t="s">
        <v>87</v>
      </c>
      <c r="B86" s="228" t="s">
        <v>234</v>
      </c>
      <c r="C86" s="148">
        <v>12235</v>
      </c>
      <c r="D86" s="148">
        <v>10860</v>
      </c>
      <c r="E86" s="154">
        <v>0.88761749080506747</v>
      </c>
      <c r="F86" s="175">
        <v>4.9425209740126865</v>
      </c>
      <c r="G86" s="148">
        <v>483082</v>
      </c>
      <c r="H86" s="152">
        <v>2.6179466453825073E-3</v>
      </c>
    </row>
    <row r="87" spans="1:8" x14ac:dyDescent="0.25">
      <c r="A87" s="136" t="s">
        <v>88</v>
      </c>
      <c r="B87" s="228" t="s">
        <v>233</v>
      </c>
      <c r="C87" s="148">
        <v>4019</v>
      </c>
      <c r="D87" s="148">
        <v>1277</v>
      </c>
      <c r="E87" s="154">
        <v>0.31774073152525506</v>
      </c>
      <c r="F87" s="175">
        <v>4.1294701122422346</v>
      </c>
      <c r="G87" s="148">
        <v>47460</v>
      </c>
      <c r="H87" s="152">
        <v>2.5719804875746523E-4</v>
      </c>
    </row>
    <row r="88" spans="1:8" ht="24" x14ac:dyDescent="0.25">
      <c r="A88" s="136" t="s">
        <v>89</v>
      </c>
      <c r="B88" s="228" t="s">
        <v>228</v>
      </c>
      <c r="C88" s="148">
        <v>39603</v>
      </c>
      <c r="D88" s="148">
        <v>13691</v>
      </c>
      <c r="E88" s="154">
        <v>0.34570613337373429</v>
      </c>
      <c r="F88" s="175">
        <v>4.1230126847320623</v>
      </c>
      <c r="G88" s="148">
        <v>508033.5</v>
      </c>
      <c r="H88" s="152">
        <v>2.7531652950574313E-3</v>
      </c>
    </row>
    <row r="89" spans="1:8" x14ac:dyDescent="0.25">
      <c r="A89" s="136" t="s">
        <v>90</v>
      </c>
      <c r="B89" s="228" t="s">
        <v>227</v>
      </c>
      <c r="C89" s="148">
        <v>164056</v>
      </c>
      <c r="D89" s="148">
        <v>48466</v>
      </c>
      <c r="E89" s="154">
        <v>0.29542351392207539</v>
      </c>
      <c r="F89" s="175">
        <v>3.9857732453908121</v>
      </c>
      <c r="G89" s="148">
        <v>1738570.375</v>
      </c>
      <c r="H89" s="152">
        <v>9.4217637605885918E-3</v>
      </c>
    </row>
    <row r="90" spans="1:8" x14ac:dyDescent="0.25">
      <c r="A90" s="136" t="s">
        <v>437</v>
      </c>
      <c r="B90" s="228" t="s">
        <v>249</v>
      </c>
      <c r="C90" s="148">
        <v>139874</v>
      </c>
      <c r="D90" s="148">
        <v>22061</v>
      </c>
      <c r="E90" s="154">
        <v>0.15772051989647826</v>
      </c>
      <c r="F90" s="175">
        <v>4.1669971896106253</v>
      </c>
      <c r="G90" s="148">
        <v>827353.125</v>
      </c>
      <c r="H90" s="152">
        <v>4.483641158520674E-3</v>
      </c>
    </row>
    <row r="91" spans="1:8" x14ac:dyDescent="0.25">
      <c r="A91" s="136" t="s">
        <v>92</v>
      </c>
      <c r="B91" s="228" t="s">
        <v>225</v>
      </c>
      <c r="C91" s="148">
        <v>8408</v>
      </c>
      <c r="D91" s="148">
        <v>1645</v>
      </c>
      <c r="E91" s="154">
        <v>0.19564700285442435</v>
      </c>
      <c r="F91" s="175">
        <v>4.2958459979736574</v>
      </c>
      <c r="G91" s="148">
        <v>63600</v>
      </c>
      <c r="H91" s="152">
        <v>3.4466489466866387E-4</v>
      </c>
    </row>
    <row r="92" spans="1:8" x14ac:dyDescent="0.25">
      <c r="A92" s="136" t="s">
        <v>93</v>
      </c>
      <c r="B92" s="228" t="s">
        <v>224</v>
      </c>
      <c r="C92" s="148">
        <v>5486</v>
      </c>
      <c r="D92" s="148">
        <v>1365</v>
      </c>
      <c r="E92" s="154">
        <v>0.24881516587677724</v>
      </c>
      <c r="F92" s="175">
        <v>3.8110704110704114</v>
      </c>
      <c r="G92" s="148">
        <v>46819</v>
      </c>
      <c r="H92" s="152">
        <v>2.5372430351402786E-4</v>
      </c>
    </row>
    <row r="93" spans="1:8" x14ac:dyDescent="0.25">
      <c r="A93" s="136" t="s">
        <v>94</v>
      </c>
      <c r="B93" s="228" t="s">
        <v>223</v>
      </c>
      <c r="C93" s="148">
        <v>326584</v>
      </c>
      <c r="D93" s="148">
        <v>96509</v>
      </c>
      <c r="E93" s="154">
        <v>0.29551049653381672</v>
      </c>
      <c r="F93" s="175">
        <v>4.1984753005188917</v>
      </c>
      <c r="G93" s="148">
        <v>3646715.875</v>
      </c>
      <c r="H93" s="152">
        <v>1.9762499102883954E-2</v>
      </c>
    </row>
    <row r="94" spans="1:8" x14ac:dyDescent="0.25">
      <c r="A94" s="136" t="s">
        <v>95</v>
      </c>
      <c r="B94" s="228" t="s">
        <v>221</v>
      </c>
      <c r="C94" s="148">
        <v>166825</v>
      </c>
      <c r="D94" s="148">
        <v>28736</v>
      </c>
      <c r="E94" s="154">
        <v>0.17225236025775514</v>
      </c>
      <c r="F94" s="175">
        <v>4.1939069846572634</v>
      </c>
      <c r="G94" s="148">
        <v>1084645</v>
      </c>
      <c r="H94" s="152">
        <v>5.8779725578285051E-3</v>
      </c>
    </row>
    <row r="95" spans="1:8" x14ac:dyDescent="0.25">
      <c r="A95" s="136" t="s">
        <v>96</v>
      </c>
      <c r="B95" s="228" t="s">
        <v>220</v>
      </c>
      <c r="C95" s="148">
        <v>438940</v>
      </c>
      <c r="D95" s="148">
        <v>70837</v>
      </c>
      <c r="E95" s="154">
        <v>0.16138196564450721</v>
      </c>
      <c r="F95" s="175">
        <v>4.0716288411737116</v>
      </c>
      <c r="G95" s="148">
        <v>2595797.75</v>
      </c>
      <c r="H95" s="152">
        <v>1.4067301227750073E-2</v>
      </c>
    </row>
    <row r="96" spans="1:8" x14ac:dyDescent="0.25">
      <c r="A96" s="136" t="s">
        <v>97</v>
      </c>
      <c r="B96" s="228" t="s">
        <v>219</v>
      </c>
      <c r="C96" s="148">
        <v>335803</v>
      </c>
      <c r="D96" s="148">
        <v>107744</v>
      </c>
      <c r="E96" s="154">
        <v>0.32085478688397662</v>
      </c>
      <c r="F96" s="175">
        <v>4.2371467449592446</v>
      </c>
      <c r="G96" s="148">
        <v>4108744.25</v>
      </c>
      <c r="H96" s="152">
        <v>2.2266350694130948E-2</v>
      </c>
    </row>
    <row r="97" spans="1:8" x14ac:dyDescent="0.25">
      <c r="A97" s="136" t="s">
        <v>98</v>
      </c>
      <c r="B97" s="228" t="s">
        <v>218</v>
      </c>
      <c r="C97" s="148">
        <v>888613</v>
      </c>
      <c r="D97" s="148">
        <v>199273</v>
      </c>
      <c r="E97" s="154">
        <v>0.22425172712980793</v>
      </c>
      <c r="F97" s="175">
        <v>4.2067134171602669</v>
      </c>
      <c r="G97" s="148">
        <v>7544559.625</v>
      </c>
      <c r="H97" s="152">
        <v>4.0885925290441494E-2</v>
      </c>
    </row>
    <row r="98" spans="1:8" x14ac:dyDescent="0.25">
      <c r="A98" s="136" t="s">
        <v>99</v>
      </c>
      <c r="B98" s="228" t="s">
        <v>217</v>
      </c>
      <c r="C98" s="148">
        <v>493700</v>
      </c>
      <c r="D98" s="148">
        <v>191557</v>
      </c>
      <c r="E98" s="154">
        <v>0.3880028357302005</v>
      </c>
      <c r="F98" s="175">
        <v>4.0607852870018961</v>
      </c>
      <c r="G98" s="148">
        <v>7000846.625</v>
      </c>
      <c r="H98" s="152">
        <v>3.7939403531400878E-2</v>
      </c>
    </row>
    <row r="99" spans="1:8" x14ac:dyDescent="0.25">
      <c r="A99" s="136" t="s">
        <v>100</v>
      </c>
      <c r="B99" s="228" t="s">
        <v>216</v>
      </c>
      <c r="C99" s="148">
        <v>281523</v>
      </c>
      <c r="D99" s="148">
        <v>135680</v>
      </c>
      <c r="E99" s="154">
        <v>0.4819499650117397</v>
      </c>
      <c r="F99" s="175">
        <v>4.0811550052410901</v>
      </c>
      <c r="G99" s="148">
        <v>4983580</v>
      </c>
      <c r="H99" s="152">
        <v>2.7007312512151885E-2</v>
      </c>
    </row>
    <row r="100" spans="1:8" ht="24" x14ac:dyDescent="0.25">
      <c r="A100" s="136" t="s">
        <v>130</v>
      </c>
      <c r="B100" s="228" t="s">
        <v>212</v>
      </c>
      <c r="C100" s="148">
        <v>259</v>
      </c>
      <c r="D100" s="148">
        <v>216</v>
      </c>
      <c r="E100" s="154">
        <v>0.83397683397683398</v>
      </c>
      <c r="F100" s="175">
        <v>4.1033950617283956</v>
      </c>
      <c r="G100" s="148">
        <v>7977</v>
      </c>
      <c r="H100" s="152">
        <v>4.3229431836036658E-5</v>
      </c>
    </row>
    <row r="101" spans="1:8" ht="24" x14ac:dyDescent="0.25">
      <c r="A101" s="136" t="s">
        <v>468</v>
      </c>
      <c r="B101" s="228" t="s">
        <v>211</v>
      </c>
      <c r="C101" s="148">
        <v>15299</v>
      </c>
      <c r="D101" s="148">
        <v>6487</v>
      </c>
      <c r="E101" s="154">
        <v>0.42401464147983531</v>
      </c>
      <c r="F101" s="175">
        <v>3.8932223421201377</v>
      </c>
      <c r="G101" s="148">
        <v>227298</v>
      </c>
      <c r="H101" s="152">
        <v>1.2317868117672636E-3</v>
      </c>
    </row>
    <row r="102" spans="1:8" ht="24" x14ac:dyDescent="0.25">
      <c r="A102" s="136" t="s">
        <v>103</v>
      </c>
      <c r="B102" s="228" t="s">
        <v>210</v>
      </c>
      <c r="C102" s="148">
        <v>32692</v>
      </c>
      <c r="D102" s="148">
        <v>5625</v>
      </c>
      <c r="E102" s="154">
        <v>0.17206044292181574</v>
      </c>
      <c r="F102" s="175">
        <v>3.9051851851851853</v>
      </c>
      <c r="G102" s="148">
        <v>197700</v>
      </c>
      <c r="H102" s="152">
        <v>1.0713875735219316E-3</v>
      </c>
    </row>
    <row r="103" spans="1:8" x14ac:dyDescent="0.25">
      <c r="A103" s="136" t="s">
        <v>104</v>
      </c>
      <c r="B103" s="228" t="s">
        <v>209</v>
      </c>
      <c r="C103" s="148">
        <v>29014</v>
      </c>
      <c r="D103" s="148">
        <v>15541</v>
      </c>
      <c r="E103" s="154">
        <v>0.53563796787757634</v>
      </c>
      <c r="F103" s="175">
        <v>4.0136127376330712</v>
      </c>
      <c r="G103" s="148">
        <v>561380</v>
      </c>
      <c r="H103" s="152">
        <v>3.0422638139794736E-3</v>
      </c>
    </row>
    <row r="104" spans="1:8" x14ac:dyDescent="0.25">
      <c r="A104" s="136" t="s">
        <v>434</v>
      </c>
      <c r="B104" s="228" t="s">
        <v>208</v>
      </c>
      <c r="C104" s="148">
        <v>15599</v>
      </c>
      <c r="D104" s="148">
        <v>1623</v>
      </c>
      <c r="E104" s="154">
        <v>0.10404513109814732</v>
      </c>
      <c r="F104" s="175">
        <v>4.4438967618265215</v>
      </c>
      <c r="G104" s="148">
        <v>64912</v>
      </c>
      <c r="H104" s="152">
        <v>3.517749629360426E-4</v>
      </c>
    </row>
    <row r="105" spans="1:8" x14ac:dyDescent="0.25">
      <c r="A105" s="136" t="s">
        <v>105</v>
      </c>
      <c r="B105" s="228" t="s">
        <v>207</v>
      </c>
      <c r="C105" s="148">
        <v>46854</v>
      </c>
      <c r="D105" s="148">
        <v>11769</v>
      </c>
      <c r="E105" s="154">
        <v>0.25118453066974006</v>
      </c>
      <c r="F105" s="175">
        <v>4.220551165491262</v>
      </c>
      <c r="G105" s="148">
        <v>447045</v>
      </c>
      <c r="H105" s="152">
        <v>2.4226527961816484E-3</v>
      </c>
    </row>
    <row r="106" spans="1:8" ht="24" x14ac:dyDescent="0.25">
      <c r="A106" s="136" t="s">
        <v>106</v>
      </c>
      <c r="B106" s="228" t="s">
        <v>206</v>
      </c>
      <c r="C106" s="148">
        <v>50962</v>
      </c>
      <c r="D106" s="148">
        <v>11038</v>
      </c>
      <c r="E106" s="154">
        <v>0.21659275538636633</v>
      </c>
      <c r="F106" s="175">
        <v>3.904521753135632</v>
      </c>
      <c r="G106" s="148">
        <v>387883</v>
      </c>
      <c r="H106" s="152">
        <v>2.1020385745088889E-3</v>
      </c>
    </row>
    <row r="107" spans="1:8" ht="24" x14ac:dyDescent="0.25">
      <c r="A107" s="136" t="s">
        <v>107</v>
      </c>
      <c r="B107" s="228" t="s">
        <v>205</v>
      </c>
      <c r="C107" s="148">
        <v>156603</v>
      </c>
      <c r="D107" s="148">
        <v>47026</v>
      </c>
      <c r="E107" s="154">
        <v>0.30028798937440532</v>
      </c>
      <c r="F107" s="175">
        <v>3.993230399731591</v>
      </c>
      <c r="G107" s="148">
        <v>1690070.875</v>
      </c>
      <c r="H107" s="152">
        <v>9.1589323917366603E-3</v>
      </c>
    </row>
    <row r="108" spans="1:8" x14ac:dyDescent="0.25">
      <c r="A108" s="136" t="s">
        <v>108</v>
      </c>
      <c r="B108" s="228" t="s">
        <v>204</v>
      </c>
      <c r="C108" s="148">
        <v>319824</v>
      </c>
      <c r="D108" s="148">
        <v>101773</v>
      </c>
      <c r="E108" s="154">
        <v>0.31821564360398219</v>
      </c>
      <c r="F108" s="175">
        <v>4.2003223131653558</v>
      </c>
      <c r="G108" s="148">
        <v>3847314.625</v>
      </c>
      <c r="H108" s="152">
        <v>2.084959575444709E-2</v>
      </c>
    </row>
    <row r="109" spans="1:8" x14ac:dyDescent="0.25">
      <c r="A109" s="136" t="s">
        <v>109</v>
      </c>
      <c r="B109" s="228" t="s">
        <v>203</v>
      </c>
      <c r="C109" s="148">
        <v>793184</v>
      </c>
      <c r="D109" s="148">
        <v>168023</v>
      </c>
      <c r="E109" s="154">
        <v>0.21183357203372735</v>
      </c>
      <c r="F109" s="175">
        <v>3.9906996859556929</v>
      </c>
      <c r="G109" s="148">
        <v>6034764</v>
      </c>
      <c r="H109" s="152">
        <v>3.2703951232865479E-2</v>
      </c>
    </row>
    <row r="110" spans="1:8" x14ac:dyDescent="0.25">
      <c r="A110" s="136" t="s">
        <v>111</v>
      </c>
      <c r="B110" s="228" t="s">
        <v>201</v>
      </c>
      <c r="C110" s="148">
        <v>5843</v>
      </c>
      <c r="D110" s="148">
        <v>3901</v>
      </c>
      <c r="E110" s="154">
        <v>0.66763648810542531</v>
      </c>
      <c r="F110" s="175">
        <v>4.2296562135065079</v>
      </c>
      <c r="G110" s="148">
        <v>148499</v>
      </c>
      <c r="H110" s="152">
        <v>8.0475459423587912E-4</v>
      </c>
    </row>
    <row r="111" spans="1:8" x14ac:dyDescent="0.25">
      <c r="A111" s="136" t="s">
        <v>112</v>
      </c>
      <c r="B111" s="228" t="s">
        <v>197</v>
      </c>
      <c r="C111" s="148">
        <v>10680</v>
      </c>
      <c r="D111" s="148">
        <v>3084</v>
      </c>
      <c r="E111" s="154">
        <v>0.28876404494382024</v>
      </c>
      <c r="F111" s="175">
        <v>4.0758754863813236</v>
      </c>
      <c r="G111" s="148">
        <v>113130</v>
      </c>
      <c r="H111" s="152">
        <v>6.1308081028091106E-4</v>
      </c>
    </row>
    <row r="112" spans="1:8" x14ac:dyDescent="0.25">
      <c r="A112" s="136" t="s">
        <v>113</v>
      </c>
      <c r="B112" s="228" t="s">
        <v>198</v>
      </c>
      <c r="C112" s="148">
        <v>3473</v>
      </c>
      <c r="D112" s="148">
        <v>870</v>
      </c>
      <c r="E112" s="154">
        <v>0.25050388712928306</v>
      </c>
      <c r="F112" s="175">
        <v>4.007407407407408</v>
      </c>
      <c r="G112" s="148">
        <v>31378</v>
      </c>
      <c r="H112" s="152">
        <v>1.7004551988857445E-4</v>
      </c>
    </row>
    <row r="113" spans="1:8" x14ac:dyDescent="0.25">
      <c r="A113" s="136" t="s">
        <v>114</v>
      </c>
      <c r="B113" s="228" t="s">
        <v>195</v>
      </c>
      <c r="C113" s="148">
        <v>123962</v>
      </c>
      <c r="D113" s="148">
        <v>23362</v>
      </c>
      <c r="E113" s="154">
        <v>0.18846097997773512</v>
      </c>
      <c r="F113" s="175">
        <v>4.1556040673838801</v>
      </c>
      <c r="G113" s="148">
        <v>873749</v>
      </c>
      <c r="H113" s="152">
        <v>4.7350724379221758E-3</v>
      </c>
    </row>
    <row r="114" spans="1:8" x14ac:dyDescent="0.25">
      <c r="A114" s="136" t="s">
        <v>115</v>
      </c>
      <c r="B114" s="228" t="s">
        <v>194</v>
      </c>
      <c r="C114" s="148">
        <v>17559</v>
      </c>
      <c r="D114" s="148">
        <v>6943</v>
      </c>
      <c r="E114" s="154">
        <v>0.39540976137593259</v>
      </c>
      <c r="F114" s="175">
        <v>4.3513570822731129</v>
      </c>
      <c r="G114" s="148">
        <v>271903.25</v>
      </c>
      <c r="H114" s="152">
        <v>1.4735142298949273E-3</v>
      </c>
    </row>
    <row r="115" spans="1:8" x14ac:dyDescent="0.25">
      <c r="A115" s="136" t="s">
        <v>116</v>
      </c>
      <c r="B115" s="228" t="s">
        <v>193</v>
      </c>
      <c r="C115" s="148">
        <v>300038</v>
      </c>
      <c r="D115" s="148">
        <v>55928</v>
      </c>
      <c r="E115" s="154">
        <v>0.1864030556129557</v>
      </c>
      <c r="F115" s="175">
        <v>4.0095142166913016</v>
      </c>
      <c r="G115" s="148">
        <v>2018197</v>
      </c>
      <c r="H115" s="152">
        <v>1.0937132962666877E-2</v>
      </c>
    </row>
    <row r="116" spans="1:8" x14ac:dyDescent="0.25">
      <c r="A116" s="136" t="s">
        <v>117</v>
      </c>
      <c r="B116" s="228" t="s">
        <v>192</v>
      </c>
      <c r="C116" s="148">
        <v>27458</v>
      </c>
      <c r="D116" s="148">
        <v>6735</v>
      </c>
      <c r="E116" s="154">
        <v>0.24528370602374536</v>
      </c>
      <c r="F116" s="175">
        <v>4.1680277159119026</v>
      </c>
      <c r="G116" s="148">
        <v>252645</v>
      </c>
      <c r="H116" s="152">
        <v>1.3691487785151663E-3</v>
      </c>
    </row>
    <row r="117" spans="1:8" x14ac:dyDescent="0.25">
      <c r="A117" s="136" t="s">
        <v>380</v>
      </c>
      <c r="B117" s="228" t="s">
        <v>379</v>
      </c>
      <c r="C117" s="148">
        <v>5397</v>
      </c>
      <c r="D117" s="148">
        <v>2533</v>
      </c>
      <c r="E117" s="154">
        <v>0.46933481563831758</v>
      </c>
      <c r="F117" s="175">
        <v>4.5613896565337546</v>
      </c>
      <c r="G117" s="148">
        <v>103986</v>
      </c>
      <c r="H117" s="152">
        <v>5.6352710278326538E-4</v>
      </c>
    </row>
    <row r="118" spans="1:8" x14ac:dyDescent="0.25">
      <c r="A118" s="136" t="s">
        <v>118</v>
      </c>
      <c r="B118" s="228" t="s">
        <v>191</v>
      </c>
      <c r="C118" s="148">
        <v>148561</v>
      </c>
      <c r="D118" s="148">
        <v>34811</v>
      </c>
      <c r="E118" s="154">
        <v>0.23432125524195449</v>
      </c>
      <c r="F118" s="175">
        <v>4.1133837005544223</v>
      </c>
      <c r="G118" s="148">
        <v>1288719</v>
      </c>
      <c r="H118" s="152">
        <v>6.9839024904482048E-3</v>
      </c>
    </row>
    <row r="119" spans="1:8" x14ac:dyDescent="0.25">
      <c r="A119" s="136" t="s">
        <v>119</v>
      </c>
      <c r="B119" s="228" t="s">
        <v>190</v>
      </c>
      <c r="C119" s="148">
        <v>195694</v>
      </c>
      <c r="D119" s="148">
        <v>47401</v>
      </c>
      <c r="E119" s="154">
        <v>0.24221999652518728</v>
      </c>
      <c r="F119" s="175">
        <v>3.9925505556610386</v>
      </c>
      <c r="G119" s="148">
        <v>1703258</v>
      </c>
      <c r="H119" s="152">
        <v>9.2303968421943248E-3</v>
      </c>
    </row>
    <row r="120" spans="1:8" ht="24" x14ac:dyDescent="0.25">
      <c r="A120" s="136" t="s">
        <v>120</v>
      </c>
      <c r="B120" s="228" t="s">
        <v>189</v>
      </c>
      <c r="C120" s="148">
        <v>95404</v>
      </c>
      <c r="D120" s="148">
        <v>21726</v>
      </c>
      <c r="E120" s="154">
        <v>0.22772630078403422</v>
      </c>
      <c r="F120" s="175">
        <v>4.0343981097916481</v>
      </c>
      <c r="G120" s="148">
        <v>788862</v>
      </c>
      <c r="H120" s="152">
        <v>4.2750477694671624E-3</v>
      </c>
    </row>
    <row r="121" spans="1:8" ht="24" x14ac:dyDescent="0.25">
      <c r="A121" s="136" t="s">
        <v>501</v>
      </c>
      <c r="B121" s="228" t="s">
        <v>188</v>
      </c>
      <c r="C121" s="148">
        <v>1011</v>
      </c>
      <c r="D121" s="148">
        <v>381</v>
      </c>
      <c r="E121" s="154">
        <v>0.37685459940652821</v>
      </c>
      <c r="F121" s="175">
        <v>4.6264216972878387</v>
      </c>
      <c r="G121" s="148">
        <v>15864</v>
      </c>
      <c r="H121" s="152">
        <v>8.5971130330561062E-5</v>
      </c>
    </row>
    <row r="122" spans="1:8" x14ac:dyDescent="0.25">
      <c r="A122" s="136" t="s">
        <v>122</v>
      </c>
      <c r="B122" s="228" t="s">
        <v>184</v>
      </c>
      <c r="C122" s="148">
        <v>185902</v>
      </c>
      <c r="D122" s="148">
        <v>39503</v>
      </c>
      <c r="E122" s="154">
        <v>0.21249367946552486</v>
      </c>
      <c r="F122" s="175">
        <v>3.9565996394085396</v>
      </c>
      <c r="G122" s="148">
        <v>1406678</v>
      </c>
      <c r="H122" s="152">
        <v>7.623152904130924E-3</v>
      </c>
    </row>
    <row r="123" spans="1:8" x14ac:dyDescent="0.25">
      <c r="A123" s="136" t="s">
        <v>123</v>
      </c>
      <c r="B123" s="228" t="s">
        <v>183</v>
      </c>
      <c r="C123" s="148">
        <v>22919</v>
      </c>
      <c r="D123" s="148">
        <v>9004</v>
      </c>
      <c r="E123" s="154">
        <v>0.39286181770583356</v>
      </c>
      <c r="F123" s="175">
        <v>4.269509847475196</v>
      </c>
      <c r="G123" s="148">
        <v>345984</v>
      </c>
      <c r="H123" s="152">
        <v>1.8749770269975315E-3</v>
      </c>
    </row>
    <row r="124" spans="1:8" x14ac:dyDescent="0.25">
      <c r="A124" s="136" t="s">
        <v>124</v>
      </c>
      <c r="B124" s="228" t="s">
        <v>178</v>
      </c>
      <c r="C124" s="148">
        <v>173961</v>
      </c>
      <c r="D124" s="148">
        <v>87090</v>
      </c>
      <c r="E124" s="154">
        <v>0.50062945142876847</v>
      </c>
      <c r="F124" s="175">
        <v>4.1377637756599173</v>
      </c>
      <c r="G124" s="148">
        <v>3243220.625</v>
      </c>
      <c r="H124" s="152">
        <v>1.7575853696585899E-2</v>
      </c>
    </row>
    <row r="125" spans="1:8" ht="24" x14ac:dyDescent="0.25">
      <c r="A125" s="136" t="s">
        <v>125</v>
      </c>
      <c r="B125" s="228" t="s">
        <v>176</v>
      </c>
      <c r="C125" s="148">
        <v>177769</v>
      </c>
      <c r="D125" s="148">
        <v>63375</v>
      </c>
      <c r="E125" s="154">
        <v>0.35650197728512845</v>
      </c>
      <c r="F125" s="175">
        <v>4.0665432829278982</v>
      </c>
      <c r="G125" s="148">
        <v>2319454.625</v>
      </c>
      <c r="H125" s="152">
        <v>1.2569726163747959E-2</v>
      </c>
    </row>
    <row r="126" spans="1:8" x14ac:dyDescent="0.25">
      <c r="A126" s="36" t="s">
        <v>13</v>
      </c>
      <c r="B126" s="36"/>
      <c r="C126" s="149">
        <v>16731048</v>
      </c>
      <c r="D126" s="149">
        <v>4997245</v>
      </c>
      <c r="E126" s="155">
        <v>0.29868093140369928</v>
      </c>
      <c r="F126" s="174">
        <v>4.1028620297561735</v>
      </c>
      <c r="G126" s="149">
        <v>184527060.875</v>
      </c>
      <c r="H126" s="153">
        <v>1</v>
      </c>
    </row>
    <row r="128" spans="1:8" x14ac:dyDescent="0.25">
      <c r="A128" s="5"/>
    </row>
    <row r="129" spans="1:1" x14ac:dyDescent="0.25">
      <c r="A129" s="15" t="s">
        <v>503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CH146"/>
  <sheetViews>
    <sheetView showGridLines="0" zoomScaleNormal="100" workbookViewId="0">
      <pane ySplit="7" topLeftCell="A125" activePane="bottomLeft" state="frozen"/>
      <selection pane="bottomLeft" activeCell="A3" sqref="A3"/>
    </sheetView>
  </sheetViews>
  <sheetFormatPr defaultColWidth="9.140625" defaultRowHeight="12.75" x14ac:dyDescent="0.2"/>
  <cols>
    <col min="1" max="1" width="42.28515625" style="89" customWidth="1"/>
    <col min="2" max="2" width="9.5703125" style="89" customWidth="1"/>
    <col min="3" max="3" width="12.7109375" style="89" customWidth="1"/>
    <col min="4" max="5" width="11.7109375" style="89" customWidth="1"/>
    <col min="6" max="7" width="14.7109375" style="89" customWidth="1"/>
    <col min="8" max="9" width="12.7109375" style="89" customWidth="1"/>
    <col min="10" max="10" width="10.7109375" style="89" customWidth="1"/>
    <col min="11" max="12" width="12.7109375" style="89" customWidth="1"/>
    <col min="13" max="13" width="6.7109375" style="89" hidden="1" customWidth="1"/>
    <col min="14" max="14" width="42.28515625" style="89" customWidth="1"/>
    <col min="15" max="15" width="9.5703125" style="89" customWidth="1"/>
    <col min="16" max="16" width="13.7109375" style="89" customWidth="1"/>
    <col min="17" max="17" width="14.7109375" style="89" customWidth="1"/>
    <col min="18" max="18" width="12.7109375" style="89" customWidth="1"/>
    <col min="19" max="19" width="11.7109375" style="89" customWidth="1"/>
    <col min="20" max="20" width="14.7109375" style="89" customWidth="1"/>
    <col min="21" max="22" width="11.7109375" style="89" customWidth="1"/>
    <col min="23" max="24" width="14.7109375" style="89" customWidth="1"/>
    <col min="25" max="25" width="11.7109375" style="89" customWidth="1"/>
    <col min="26" max="26" width="6.7109375" style="89" hidden="1" customWidth="1"/>
    <col min="27" max="27" width="42.28515625" style="89" customWidth="1"/>
    <col min="28" max="28" width="9.5703125" style="89" customWidth="1"/>
    <col min="29" max="29" width="14.7109375" style="89" customWidth="1"/>
    <col min="30" max="31" width="11.7109375" style="89" customWidth="1"/>
    <col min="32" max="32" width="12.85546875" style="89" customWidth="1"/>
    <col min="33" max="33" width="11.7109375" style="89" customWidth="1"/>
    <col min="34" max="34" width="12.7109375" style="89" customWidth="1"/>
    <col min="35" max="36" width="11.7109375" style="89" customWidth="1"/>
    <col min="37" max="37" width="12.7109375" style="89" customWidth="1"/>
    <col min="38" max="38" width="11.7109375" style="89" customWidth="1"/>
    <col min="39" max="40" width="12.7109375" style="89" customWidth="1"/>
    <col min="41" max="16384" width="9.140625" style="89"/>
  </cols>
  <sheetData>
    <row r="1" spans="1:86" ht="12.75" customHeight="1" x14ac:dyDescent="0.25">
      <c r="A1" s="319" t="s">
        <v>529</v>
      </c>
      <c r="N1" s="319"/>
      <c r="AA1" s="319"/>
    </row>
    <row r="2" spans="1:86" ht="12.75" customHeight="1" x14ac:dyDescent="0.25">
      <c r="A2" s="1"/>
      <c r="M2" s="3"/>
      <c r="S2" s="1"/>
      <c r="Z2" s="3"/>
    </row>
    <row r="3" spans="1:86" ht="12.75" customHeight="1" x14ac:dyDescent="0.25">
      <c r="A3" s="1" t="s">
        <v>578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3"/>
    </row>
    <row r="4" spans="1:86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3"/>
    </row>
    <row r="5" spans="1:86" ht="15.95" customHeight="1" x14ac:dyDescent="0.2">
      <c r="A5" s="291" t="s">
        <v>530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3"/>
      <c r="M5" s="320"/>
      <c r="N5" s="291" t="s">
        <v>530</v>
      </c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3"/>
      <c r="Z5" s="320"/>
      <c r="AA5" s="291" t="s">
        <v>530</v>
      </c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3"/>
      <c r="AM5" s="3"/>
    </row>
    <row r="6" spans="1:86" ht="12.75" customHeight="1" x14ac:dyDescent="0.2">
      <c r="A6" s="168"/>
      <c r="B6" s="169"/>
      <c r="C6" s="170">
        <v>1</v>
      </c>
      <c r="D6" s="170">
        <v>2</v>
      </c>
      <c r="E6" s="170">
        <v>3</v>
      </c>
      <c r="F6" s="170">
        <v>4</v>
      </c>
      <c r="G6" s="170">
        <v>5</v>
      </c>
      <c r="H6" s="170">
        <v>6</v>
      </c>
      <c r="I6" s="170">
        <v>7</v>
      </c>
      <c r="J6" s="170">
        <v>8</v>
      </c>
      <c r="K6" s="170">
        <v>9</v>
      </c>
      <c r="L6" s="171">
        <v>10</v>
      </c>
      <c r="M6" s="167"/>
      <c r="N6" s="168"/>
      <c r="O6" s="169"/>
      <c r="P6" s="170">
        <v>11</v>
      </c>
      <c r="Q6" s="170">
        <v>12</v>
      </c>
      <c r="R6" s="170">
        <v>13</v>
      </c>
      <c r="S6" s="170">
        <v>14</v>
      </c>
      <c r="T6" s="170">
        <v>15</v>
      </c>
      <c r="U6" s="170">
        <v>16</v>
      </c>
      <c r="V6" s="170">
        <v>17</v>
      </c>
      <c r="W6" s="170">
        <v>18</v>
      </c>
      <c r="X6" s="170">
        <v>19</v>
      </c>
      <c r="Y6" s="171">
        <v>20</v>
      </c>
      <c r="Z6" s="167"/>
      <c r="AA6" s="168"/>
      <c r="AB6" s="169"/>
      <c r="AC6" s="170">
        <v>21</v>
      </c>
      <c r="AD6" s="170">
        <v>22</v>
      </c>
      <c r="AE6" s="170">
        <v>23</v>
      </c>
      <c r="AF6" s="170">
        <v>24</v>
      </c>
      <c r="AG6" s="170">
        <v>25</v>
      </c>
      <c r="AH6" s="170">
        <v>26</v>
      </c>
      <c r="AI6" s="170">
        <v>27</v>
      </c>
      <c r="AJ6" s="170">
        <v>28</v>
      </c>
      <c r="AK6" s="170">
        <v>29</v>
      </c>
      <c r="AL6" s="171">
        <v>30</v>
      </c>
      <c r="AM6" s="3"/>
    </row>
    <row r="7" spans="1:86" ht="54.75" customHeight="1" x14ac:dyDescent="0.2">
      <c r="A7" s="162" t="s">
        <v>0</v>
      </c>
      <c r="B7" s="172" t="s">
        <v>382</v>
      </c>
      <c r="C7" s="163" t="s">
        <v>399</v>
      </c>
      <c r="D7" s="164" t="s">
        <v>396</v>
      </c>
      <c r="E7" s="163" t="s">
        <v>142</v>
      </c>
      <c r="F7" s="163" t="s">
        <v>383</v>
      </c>
      <c r="G7" s="163" t="s">
        <v>537</v>
      </c>
      <c r="H7" s="163" t="s">
        <v>398</v>
      </c>
      <c r="I7" s="163" t="s">
        <v>384</v>
      </c>
      <c r="J7" s="163" t="s">
        <v>385</v>
      </c>
      <c r="K7" s="163" t="s">
        <v>386</v>
      </c>
      <c r="L7" s="165" t="s">
        <v>387</v>
      </c>
      <c r="M7" s="166"/>
      <c r="N7" s="162" t="s">
        <v>0</v>
      </c>
      <c r="O7" s="172" t="s">
        <v>382</v>
      </c>
      <c r="P7" s="163" t="s">
        <v>388</v>
      </c>
      <c r="Q7" s="163" t="s">
        <v>11</v>
      </c>
      <c r="R7" s="163" t="s">
        <v>400</v>
      </c>
      <c r="S7" s="163" t="s">
        <v>389</v>
      </c>
      <c r="T7" s="163" t="s">
        <v>390</v>
      </c>
      <c r="U7" s="163" t="s">
        <v>391</v>
      </c>
      <c r="V7" s="163" t="s">
        <v>392</v>
      </c>
      <c r="W7" s="163" t="s">
        <v>393</v>
      </c>
      <c r="X7" s="163" t="s">
        <v>466</v>
      </c>
      <c r="Y7" s="165" t="s">
        <v>394</v>
      </c>
      <c r="Z7" s="166"/>
      <c r="AA7" s="162" t="s">
        <v>0</v>
      </c>
      <c r="AB7" s="172" t="s">
        <v>382</v>
      </c>
      <c r="AC7" s="163" t="s">
        <v>395</v>
      </c>
      <c r="AD7" s="163" t="s">
        <v>401</v>
      </c>
      <c r="AE7" s="163" t="s">
        <v>533</v>
      </c>
      <c r="AF7" s="163" t="s">
        <v>534</v>
      </c>
      <c r="AG7" s="163" t="s">
        <v>538</v>
      </c>
      <c r="AH7" s="163" t="s">
        <v>535</v>
      </c>
      <c r="AI7" s="163" t="s">
        <v>536</v>
      </c>
      <c r="AJ7" s="163" t="s">
        <v>402</v>
      </c>
      <c r="AK7" s="163" t="s">
        <v>467</v>
      </c>
      <c r="AL7" s="165" t="s">
        <v>465</v>
      </c>
      <c r="AM7" s="321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22"/>
      <c r="BD7" s="322"/>
      <c r="BE7" s="322"/>
      <c r="BF7" s="322"/>
      <c r="BG7" s="322"/>
      <c r="BH7" s="322"/>
      <c r="BI7" s="322"/>
      <c r="BJ7" s="322"/>
      <c r="BK7" s="322"/>
      <c r="BL7" s="322"/>
      <c r="BM7" s="322"/>
      <c r="BN7" s="322"/>
      <c r="BO7" s="322"/>
      <c r="BP7" s="322"/>
      <c r="BQ7" s="322"/>
      <c r="BR7" s="322"/>
      <c r="BS7" s="322"/>
      <c r="BT7" s="322"/>
      <c r="BU7" s="322"/>
      <c r="BV7" s="322"/>
      <c r="BW7" s="322"/>
      <c r="BX7" s="322"/>
      <c r="BY7" s="322"/>
      <c r="BZ7" s="322"/>
      <c r="CA7" s="322"/>
      <c r="CB7" s="322"/>
      <c r="CC7" s="322"/>
      <c r="CD7" s="322"/>
      <c r="CE7" s="322"/>
      <c r="CF7" s="322"/>
      <c r="CG7" s="322"/>
      <c r="CH7" s="322"/>
    </row>
    <row r="8" spans="1:86" ht="15" customHeight="1" x14ac:dyDescent="0.2">
      <c r="A8" s="323" t="s">
        <v>378</v>
      </c>
      <c r="B8" s="3" t="s">
        <v>377</v>
      </c>
      <c r="C8" s="32">
        <v>4282</v>
      </c>
      <c r="D8" s="32">
        <v>700</v>
      </c>
      <c r="E8" s="324">
        <v>0.86719544430065265</v>
      </c>
      <c r="F8" s="158">
        <v>3713.3</v>
      </c>
      <c r="G8" s="32">
        <v>24127601</v>
      </c>
      <c r="H8" s="32">
        <v>135000</v>
      </c>
      <c r="I8" s="32">
        <v>24262601</v>
      </c>
      <c r="J8" s="32">
        <v>2092</v>
      </c>
      <c r="K8" s="158">
        <v>50728.172399999377</v>
      </c>
      <c r="L8" s="107">
        <v>376727</v>
      </c>
      <c r="M8" s="32"/>
      <c r="N8" s="323" t="s">
        <v>378</v>
      </c>
      <c r="O8" s="3" t="s">
        <v>377</v>
      </c>
      <c r="P8" s="158">
        <v>254716.95500000002</v>
      </c>
      <c r="Q8" s="158">
        <v>305445.09999999998</v>
      </c>
      <c r="R8" s="32">
        <v>8056308</v>
      </c>
      <c r="S8" s="32">
        <v>3386</v>
      </c>
      <c r="T8" s="158">
        <v>6855.9</v>
      </c>
      <c r="U8" s="32">
        <v>3155701</v>
      </c>
      <c r="V8" s="32">
        <v>25701</v>
      </c>
      <c r="W8" s="158">
        <v>56294.400000000001</v>
      </c>
      <c r="X8" s="32">
        <v>275634</v>
      </c>
      <c r="Y8" s="107">
        <v>69281</v>
      </c>
      <c r="Z8" s="32"/>
      <c r="AA8" s="323" t="s">
        <v>378</v>
      </c>
      <c r="AB8" s="3" t="s">
        <v>377</v>
      </c>
      <c r="AC8" s="158">
        <v>315245.09999999998</v>
      </c>
      <c r="AD8" s="32">
        <v>763221</v>
      </c>
      <c r="AE8" s="32">
        <v>6630300</v>
      </c>
      <c r="AF8" s="158">
        <v>16234763.1</v>
      </c>
      <c r="AG8" s="32">
        <v>936092</v>
      </c>
      <c r="AH8" s="158">
        <v>5813344.7999999998</v>
      </c>
      <c r="AI8" s="32">
        <v>233540</v>
      </c>
      <c r="AJ8" s="32">
        <v>5364188</v>
      </c>
      <c r="AK8" s="32">
        <v>37683097</v>
      </c>
      <c r="AL8" s="107">
        <v>2356362</v>
      </c>
      <c r="AM8" s="3"/>
    </row>
    <row r="9" spans="1:86" ht="15" customHeight="1" x14ac:dyDescent="0.2">
      <c r="A9" s="323" t="s">
        <v>15</v>
      </c>
      <c r="B9" s="3" t="s">
        <v>320</v>
      </c>
      <c r="C9" s="32">
        <v>332</v>
      </c>
      <c r="D9" s="32">
        <v>0</v>
      </c>
      <c r="E9" s="324">
        <v>1.1572317990232279</v>
      </c>
      <c r="F9" s="158">
        <v>384.2</v>
      </c>
      <c r="G9" s="32">
        <v>2496384</v>
      </c>
      <c r="H9" s="32">
        <v>5000</v>
      </c>
      <c r="I9" s="32">
        <v>2501384</v>
      </c>
      <c r="J9" s="32">
        <v>154</v>
      </c>
      <c r="K9" s="158">
        <v>7199.6670359999962</v>
      </c>
      <c r="L9" s="107">
        <v>29859</v>
      </c>
      <c r="M9" s="32"/>
      <c r="N9" s="323" t="s">
        <v>15</v>
      </c>
      <c r="O9" s="3" t="s">
        <v>320</v>
      </c>
      <c r="P9" s="158">
        <v>30320.345000000081</v>
      </c>
      <c r="Q9" s="158">
        <v>37520</v>
      </c>
      <c r="R9" s="32">
        <v>989614</v>
      </c>
      <c r="S9" s="32">
        <v>248</v>
      </c>
      <c r="T9" s="158">
        <v>630.9</v>
      </c>
      <c r="U9" s="32">
        <v>290397</v>
      </c>
      <c r="V9" s="32">
        <v>3044</v>
      </c>
      <c r="W9" s="158">
        <v>5153.1000000000004</v>
      </c>
      <c r="X9" s="32">
        <v>25231</v>
      </c>
      <c r="Y9" s="107">
        <v>6398</v>
      </c>
      <c r="Z9" s="32"/>
      <c r="AA9" s="323" t="s">
        <v>15</v>
      </c>
      <c r="AB9" s="3" t="s">
        <v>320</v>
      </c>
      <c r="AC9" s="158">
        <v>25875.4</v>
      </c>
      <c r="AD9" s="32">
        <v>62645</v>
      </c>
      <c r="AE9" s="32">
        <v>251353</v>
      </c>
      <c r="AF9" s="158">
        <v>615455.80000000005</v>
      </c>
      <c r="AG9" s="32">
        <v>35487</v>
      </c>
      <c r="AH9" s="158">
        <v>705288</v>
      </c>
      <c r="AI9" s="32">
        <v>28334</v>
      </c>
      <c r="AJ9" s="32">
        <v>442094</v>
      </c>
      <c r="AK9" s="32">
        <v>3933092</v>
      </c>
      <c r="AL9" s="107">
        <v>161794</v>
      </c>
      <c r="AM9" s="3"/>
    </row>
    <row r="10" spans="1:86" ht="15" customHeight="1" x14ac:dyDescent="0.2">
      <c r="A10" s="323" t="s">
        <v>16</v>
      </c>
      <c r="B10" s="3" t="s">
        <v>319</v>
      </c>
      <c r="C10" s="32">
        <v>99</v>
      </c>
      <c r="D10" s="32">
        <v>0</v>
      </c>
      <c r="E10" s="324">
        <v>6.1080532043530811</v>
      </c>
      <c r="F10" s="158">
        <v>604.70000000000005</v>
      </c>
      <c r="G10" s="32">
        <v>3929109</v>
      </c>
      <c r="H10" s="32">
        <v>0</v>
      </c>
      <c r="I10" s="32">
        <v>3929109</v>
      </c>
      <c r="J10" s="32">
        <v>12</v>
      </c>
      <c r="K10" s="158">
        <v>3396.2400000000007</v>
      </c>
      <c r="L10" s="107">
        <v>2598.5</v>
      </c>
      <c r="M10" s="32"/>
      <c r="N10" s="323" t="s">
        <v>16</v>
      </c>
      <c r="O10" s="3" t="s">
        <v>319</v>
      </c>
      <c r="P10" s="158">
        <v>9695.4749999999985</v>
      </c>
      <c r="Q10" s="158">
        <v>13091.7</v>
      </c>
      <c r="R10" s="32">
        <v>345302</v>
      </c>
      <c r="S10" s="32">
        <v>1</v>
      </c>
      <c r="T10" s="158">
        <v>24</v>
      </c>
      <c r="U10" s="32">
        <v>11047</v>
      </c>
      <c r="V10" s="32">
        <v>264</v>
      </c>
      <c r="W10" s="158">
        <v>264</v>
      </c>
      <c r="X10" s="32">
        <v>1293</v>
      </c>
      <c r="Y10" s="107">
        <v>983</v>
      </c>
      <c r="Z10" s="32"/>
      <c r="AA10" s="323" t="s">
        <v>16</v>
      </c>
      <c r="AB10" s="3" t="s">
        <v>319</v>
      </c>
      <c r="AC10" s="158">
        <v>2829</v>
      </c>
      <c r="AD10" s="32">
        <v>6849</v>
      </c>
      <c r="AE10" s="32">
        <v>35491</v>
      </c>
      <c r="AF10" s="158">
        <v>62638.7</v>
      </c>
      <c r="AG10" s="32">
        <v>3612</v>
      </c>
      <c r="AH10" s="158">
        <v>21444</v>
      </c>
      <c r="AI10" s="32">
        <v>861</v>
      </c>
      <c r="AJ10" s="32">
        <v>23662</v>
      </c>
      <c r="AK10" s="32">
        <v>4298073</v>
      </c>
      <c r="AL10" s="107">
        <v>184630</v>
      </c>
      <c r="AM10" s="3"/>
    </row>
    <row r="11" spans="1:86" ht="15" customHeight="1" x14ac:dyDescent="0.2">
      <c r="A11" s="323" t="s">
        <v>489</v>
      </c>
      <c r="B11" s="3" t="s">
        <v>488</v>
      </c>
      <c r="C11" s="32">
        <v>1608</v>
      </c>
      <c r="D11" s="32">
        <v>0</v>
      </c>
      <c r="E11" s="324">
        <v>5.1666874370506353</v>
      </c>
      <c r="F11" s="158">
        <v>8308</v>
      </c>
      <c r="G11" s="32">
        <v>53982201</v>
      </c>
      <c r="H11" s="32">
        <v>0</v>
      </c>
      <c r="I11" s="32">
        <v>53982201</v>
      </c>
      <c r="J11" s="32">
        <v>324</v>
      </c>
      <c r="K11" s="158">
        <v>88703.693758000125</v>
      </c>
      <c r="L11" s="107">
        <v>71774</v>
      </c>
      <c r="M11" s="32"/>
      <c r="N11" s="323" t="s">
        <v>489</v>
      </c>
      <c r="O11" s="3" t="s">
        <v>488</v>
      </c>
      <c r="P11" s="158">
        <v>284999.06000000017</v>
      </c>
      <c r="Q11" s="158">
        <v>373702.8</v>
      </c>
      <c r="R11" s="32">
        <v>9856648</v>
      </c>
      <c r="S11" s="32">
        <v>262</v>
      </c>
      <c r="T11" s="158">
        <v>1545</v>
      </c>
      <c r="U11" s="32">
        <v>711148</v>
      </c>
      <c r="V11" s="32">
        <v>4270</v>
      </c>
      <c r="W11" s="158">
        <v>8297.7000000000007</v>
      </c>
      <c r="X11" s="32">
        <v>40628</v>
      </c>
      <c r="Y11" s="107">
        <v>13342</v>
      </c>
      <c r="Z11" s="32"/>
      <c r="AA11" s="323" t="s">
        <v>489</v>
      </c>
      <c r="AB11" s="3" t="s">
        <v>488</v>
      </c>
      <c r="AC11" s="158">
        <v>65413.8</v>
      </c>
      <c r="AD11" s="32">
        <v>158369</v>
      </c>
      <c r="AE11" s="32">
        <v>1059444</v>
      </c>
      <c r="AF11" s="158">
        <v>2433318.2999999998</v>
      </c>
      <c r="AG11" s="32">
        <v>140304</v>
      </c>
      <c r="AH11" s="158">
        <v>612083</v>
      </c>
      <c r="AI11" s="32">
        <v>24589</v>
      </c>
      <c r="AJ11" s="32">
        <v>1075038</v>
      </c>
      <c r="AK11" s="32">
        <v>64913887</v>
      </c>
      <c r="AL11" s="107">
        <v>2642014</v>
      </c>
      <c r="AM11" s="3"/>
    </row>
    <row r="12" spans="1:86" ht="15" customHeight="1" x14ac:dyDescent="0.2">
      <c r="A12" s="323" t="s">
        <v>17</v>
      </c>
      <c r="B12" s="3" t="s">
        <v>318</v>
      </c>
      <c r="C12" s="32">
        <v>1131</v>
      </c>
      <c r="D12" s="32">
        <v>0</v>
      </c>
      <c r="E12" s="324">
        <v>5.4348201873437816</v>
      </c>
      <c r="F12" s="158">
        <v>6146.8</v>
      </c>
      <c r="G12" s="32">
        <v>39939552</v>
      </c>
      <c r="H12" s="32">
        <v>10000</v>
      </c>
      <c r="I12" s="32">
        <v>39949552</v>
      </c>
      <c r="J12" s="32">
        <v>255</v>
      </c>
      <c r="K12" s="158">
        <v>82708.562862000079</v>
      </c>
      <c r="L12" s="107">
        <v>45274</v>
      </c>
      <c r="M12" s="32"/>
      <c r="N12" s="323" t="s">
        <v>17</v>
      </c>
      <c r="O12" s="3" t="s">
        <v>318</v>
      </c>
      <c r="P12" s="158">
        <v>205763.28999999951</v>
      </c>
      <c r="Q12" s="158">
        <v>288471.90000000002</v>
      </c>
      <c r="R12" s="32">
        <v>7608629</v>
      </c>
      <c r="S12" s="32">
        <v>97</v>
      </c>
      <c r="T12" s="158">
        <v>708.3</v>
      </c>
      <c r="U12" s="32">
        <v>326023</v>
      </c>
      <c r="V12" s="32">
        <v>3875</v>
      </c>
      <c r="W12" s="158">
        <v>6352.1</v>
      </c>
      <c r="X12" s="32">
        <v>31102</v>
      </c>
      <c r="Y12" s="107">
        <v>9738</v>
      </c>
      <c r="Z12" s="32"/>
      <c r="AA12" s="323" t="s">
        <v>17</v>
      </c>
      <c r="AB12" s="3" t="s">
        <v>318</v>
      </c>
      <c r="AC12" s="158">
        <v>35306.800000000003</v>
      </c>
      <c r="AD12" s="32">
        <v>85479</v>
      </c>
      <c r="AE12" s="32">
        <v>641919</v>
      </c>
      <c r="AF12" s="158">
        <v>1419663</v>
      </c>
      <c r="AG12" s="32">
        <v>81857</v>
      </c>
      <c r="AH12" s="158">
        <v>566759</v>
      </c>
      <c r="AI12" s="32">
        <v>22768</v>
      </c>
      <c r="AJ12" s="32">
        <v>547229</v>
      </c>
      <c r="AK12" s="32">
        <v>48105410</v>
      </c>
      <c r="AL12" s="107">
        <v>2515580</v>
      </c>
      <c r="AM12" s="3"/>
    </row>
    <row r="13" spans="1:86" ht="15" customHeight="1" x14ac:dyDescent="0.2">
      <c r="A13" s="323" t="s">
        <v>147</v>
      </c>
      <c r="B13" s="3" t="s">
        <v>316</v>
      </c>
      <c r="C13" s="32">
        <v>75</v>
      </c>
      <c r="D13" s="32">
        <v>0</v>
      </c>
      <c r="E13" s="324">
        <v>0.72540000000001847</v>
      </c>
      <c r="F13" s="158">
        <v>54.4</v>
      </c>
      <c r="G13" s="32">
        <v>353470</v>
      </c>
      <c r="H13" s="32">
        <v>8000</v>
      </c>
      <c r="I13" s="32">
        <v>361470</v>
      </c>
      <c r="J13" s="32">
        <v>95</v>
      </c>
      <c r="K13" s="158">
        <v>1195.5049849999984</v>
      </c>
      <c r="L13" s="107">
        <v>9239.995309999993</v>
      </c>
      <c r="M13" s="32"/>
      <c r="N13" s="323" t="s">
        <v>147</v>
      </c>
      <c r="O13" s="3" t="s">
        <v>316</v>
      </c>
      <c r="P13" s="158">
        <v>4684.6776221700075</v>
      </c>
      <c r="Q13" s="158">
        <v>5880.2</v>
      </c>
      <c r="R13" s="32">
        <v>155094</v>
      </c>
      <c r="S13" s="32">
        <v>112</v>
      </c>
      <c r="T13" s="158">
        <v>225.4</v>
      </c>
      <c r="U13" s="32">
        <v>103749</v>
      </c>
      <c r="V13" s="32">
        <v>1298</v>
      </c>
      <c r="W13" s="158">
        <v>2709.7</v>
      </c>
      <c r="X13" s="32">
        <v>13268</v>
      </c>
      <c r="Y13" s="107">
        <v>5406</v>
      </c>
      <c r="Z13" s="32"/>
      <c r="AA13" s="323" t="s">
        <v>147</v>
      </c>
      <c r="AB13" s="3" t="s">
        <v>316</v>
      </c>
      <c r="AC13" s="158">
        <v>24311.9</v>
      </c>
      <c r="AD13" s="32">
        <v>58860</v>
      </c>
      <c r="AE13" s="32">
        <v>466165</v>
      </c>
      <c r="AF13" s="158">
        <v>1141438.3</v>
      </c>
      <c r="AG13" s="32">
        <v>65815</v>
      </c>
      <c r="AH13" s="158">
        <v>887373</v>
      </c>
      <c r="AI13" s="32">
        <v>35648</v>
      </c>
      <c r="AJ13" s="32">
        <v>277340</v>
      </c>
      <c r="AK13" s="32">
        <v>793904</v>
      </c>
      <c r="AL13" s="107">
        <v>51590</v>
      </c>
      <c r="AM13" s="3"/>
    </row>
    <row r="14" spans="1:86" ht="15" customHeight="1" x14ac:dyDescent="0.2">
      <c r="A14" s="323" t="s">
        <v>19</v>
      </c>
      <c r="B14" s="3" t="s">
        <v>315</v>
      </c>
      <c r="C14" s="32">
        <v>1837</v>
      </c>
      <c r="D14" s="32">
        <v>10</v>
      </c>
      <c r="E14" s="324">
        <v>1.0802086437743459</v>
      </c>
      <c r="F14" s="158">
        <v>1984.3</v>
      </c>
      <c r="G14" s="32">
        <v>12893221</v>
      </c>
      <c r="H14" s="32">
        <v>30000</v>
      </c>
      <c r="I14" s="32">
        <v>12923221</v>
      </c>
      <c r="J14" s="32">
        <v>525</v>
      </c>
      <c r="K14" s="158">
        <v>24148.89999299997</v>
      </c>
      <c r="L14" s="107">
        <v>122895.5</v>
      </c>
      <c r="M14" s="32"/>
      <c r="N14" s="323" t="s">
        <v>19</v>
      </c>
      <c r="O14" s="3" t="s">
        <v>315</v>
      </c>
      <c r="P14" s="158">
        <v>118117.40250000036</v>
      </c>
      <c r="Q14" s="158">
        <v>142266.29999999999</v>
      </c>
      <c r="R14" s="32">
        <v>3752364</v>
      </c>
      <c r="S14" s="32">
        <v>1148</v>
      </c>
      <c r="T14" s="158">
        <v>3060</v>
      </c>
      <c r="U14" s="32">
        <v>1408487</v>
      </c>
      <c r="V14" s="32">
        <v>6546</v>
      </c>
      <c r="W14" s="158">
        <v>14802.2</v>
      </c>
      <c r="X14" s="32">
        <v>72476</v>
      </c>
      <c r="Y14" s="107">
        <v>18604</v>
      </c>
      <c r="Z14" s="32"/>
      <c r="AA14" s="323" t="s">
        <v>19</v>
      </c>
      <c r="AB14" s="3" t="s">
        <v>315</v>
      </c>
      <c r="AC14" s="158">
        <v>88211</v>
      </c>
      <c r="AD14" s="32">
        <v>213562</v>
      </c>
      <c r="AE14" s="32">
        <v>1033970</v>
      </c>
      <c r="AF14" s="158">
        <v>2461071.7000000002</v>
      </c>
      <c r="AG14" s="32">
        <v>141905</v>
      </c>
      <c r="AH14" s="158">
        <v>1269005</v>
      </c>
      <c r="AI14" s="32">
        <v>50980</v>
      </c>
      <c r="AJ14" s="32">
        <v>1887410</v>
      </c>
      <c r="AK14" s="32">
        <v>18562995</v>
      </c>
      <c r="AL14" s="107">
        <v>1277678</v>
      </c>
      <c r="AM14" s="3"/>
    </row>
    <row r="15" spans="1:86" ht="15" customHeight="1" x14ac:dyDescent="0.2">
      <c r="A15" s="323" t="s">
        <v>148</v>
      </c>
      <c r="B15" s="3" t="s">
        <v>174</v>
      </c>
      <c r="C15" s="32">
        <v>3179</v>
      </c>
      <c r="D15" s="32">
        <v>250</v>
      </c>
      <c r="E15" s="324">
        <v>0.97219455154816448</v>
      </c>
      <c r="F15" s="158">
        <v>3090.6</v>
      </c>
      <c r="G15" s="32">
        <v>20081535</v>
      </c>
      <c r="H15" s="32">
        <v>62000</v>
      </c>
      <c r="I15" s="32">
        <v>20143535</v>
      </c>
      <c r="J15" s="32">
        <v>1374</v>
      </c>
      <c r="K15" s="158">
        <v>49705.469189999829</v>
      </c>
      <c r="L15" s="107">
        <v>271900.5</v>
      </c>
      <c r="M15" s="32"/>
      <c r="N15" s="323" t="s">
        <v>148</v>
      </c>
      <c r="O15" s="3" t="s">
        <v>174</v>
      </c>
      <c r="P15" s="158">
        <v>211351.41250000091</v>
      </c>
      <c r="Q15" s="158">
        <v>261056.9</v>
      </c>
      <c r="R15" s="32">
        <v>6885541</v>
      </c>
      <c r="S15" s="32">
        <v>2161</v>
      </c>
      <c r="T15" s="158">
        <v>5433.5</v>
      </c>
      <c r="U15" s="32">
        <v>2500984</v>
      </c>
      <c r="V15" s="32">
        <v>18848</v>
      </c>
      <c r="W15" s="158">
        <v>39674.199999999997</v>
      </c>
      <c r="X15" s="32">
        <v>194257</v>
      </c>
      <c r="Y15" s="107">
        <v>54251</v>
      </c>
      <c r="Z15" s="32"/>
      <c r="AA15" s="323" t="s">
        <v>148</v>
      </c>
      <c r="AB15" s="3" t="s">
        <v>174</v>
      </c>
      <c r="AC15" s="158">
        <v>253597.5</v>
      </c>
      <c r="AD15" s="32">
        <v>613970</v>
      </c>
      <c r="AE15" s="32">
        <v>2926049</v>
      </c>
      <c r="AF15" s="158">
        <v>7164640</v>
      </c>
      <c r="AG15" s="32">
        <v>413111</v>
      </c>
      <c r="AH15" s="158">
        <v>3876166.6</v>
      </c>
      <c r="AI15" s="32">
        <v>155717</v>
      </c>
      <c r="AJ15" s="32">
        <v>3878039</v>
      </c>
      <c r="AK15" s="32">
        <v>30907115</v>
      </c>
      <c r="AL15" s="107">
        <v>1958113</v>
      </c>
      <c r="AM15" s="3"/>
    </row>
    <row r="16" spans="1:86" ht="15" customHeight="1" x14ac:dyDescent="0.2">
      <c r="A16" s="323" t="s">
        <v>20</v>
      </c>
      <c r="B16" s="3" t="s">
        <v>314</v>
      </c>
      <c r="C16" s="32">
        <v>3</v>
      </c>
      <c r="D16" s="32">
        <v>3</v>
      </c>
      <c r="E16" s="324">
        <v>0.790685999999998</v>
      </c>
      <c r="F16" s="158">
        <v>2.4</v>
      </c>
      <c r="G16" s="32">
        <v>15594</v>
      </c>
      <c r="H16" s="32">
        <v>0</v>
      </c>
      <c r="I16" s="32">
        <v>15594</v>
      </c>
      <c r="J16" s="32">
        <v>21</v>
      </c>
      <c r="K16" s="158">
        <v>273.78028300000005</v>
      </c>
      <c r="L16" s="107">
        <v>599.99940000000015</v>
      </c>
      <c r="M16" s="32"/>
      <c r="N16" s="323" t="s">
        <v>20</v>
      </c>
      <c r="O16" s="3" t="s">
        <v>314</v>
      </c>
      <c r="P16" s="158">
        <v>304.19969579999997</v>
      </c>
      <c r="Q16" s="158">
        <v>578</v>
      </c>
      <c r="R16" s="32">
        <v>15245</v>
      </c>
      <c r="S16" s="32">
        <v>15</v>
      </c>
      <c r="T16" s="158">
        <v>52.7</v>
      </c>
      <c r="U16" s="32">
        <v>24257</v>
      </c>
      <c r="V16" s="32">
        <v>0</v>
      </c>
      <c r="W16" s="158">
        <v>0</v>
      </c>
      <c r="X16" s="32">
        <v>0</v>
      </c>
      <c r="Y16" s="107">
        <v>212</v>
      </c>
      <c r="Z16" s="32"/>
      <c r="AA16" s="323" t="s">
        <v>20</v>
      </c>
      <c r="AB16" s="3" t="s">
        <v>314</v>
      </c>
      <c r="AC16" s="158">
        <v>1168.0999999999999</v>
      </c>
      <c r="AD16" s="32">
        <v>2828</v>
      </c>
      <c r="AE16" s="32">
        <v>1480</v>
      </c>
      <c r="AF16" s="158">
        <v>3623.9</v>
      </c>
      <c r="AG16" s="32">
        <v>209</v>
      </c>
      <c r="AH16" s="158">
        <v>2440</v>
      </c>
      <c r="AI16" s="32">
        <v>98</v>
      </c>
      <c r="AJ16" s="32">
        <v>27392</v>
      </c>
      <c r="AK16" s="32">
        <v>58231</v>
      </c>
      <c r="AL16" s="107">
        <v>503</v>
      </c>
      <c r="AM16" s="3"/>
    </row>
    <row r="17" spans="1:39" ht="15" customHeight="1" x14ac:dyDescent="0.2">
      <c r="A17" s="323" t="s">
        <v>21</v>
      </c>
      <c r="B17" s="3" t="s">
        <v>313</v>
      </c>
      <c r="C17" s="32">
        <v>7905</v>
      </c>
      <c r="D17" s="32">
        <v>300</v>
      </c>
      <c r="E17" s="324">
        <v>0.99981003472899255</v>
      </c>
      <c r="F17" s="158">
        <v>7903.5</v>
      </c>
      <c r="G17" s="32">
        <v>51353915</v>
      </c>
      <c r="H17" s="32">
        <v>137000</v>
      </c>
      <c r="I17" s="32">
        <v>51490915</v>
      </c>
      <c r="J17" s="32">
        <v>2322</v>
      </c>
      <c r="K17" s="158">
        <v>112109.75292900103</v>
      </c>
      <c r="L17" s="107">
        <v>457106</v>
      </c>
      <c r="M17" s="32"/>
      <c r="N17" s="323" t="s">
        <v>21</v>
      </c>
      <c r="O17" s="3" t="s">
        <v>313</v>
      </c>
      <c r="P17" s="158">
        <v>396269.81199998781</v>
      </c>
      <c r="Q17" s="158">
        <v>508379.6</v>
      </c>
      <c r="R17" s="32">
        <v>13408834</v>
      </c>
      <c r="S17" s="32">
        <v>3464</v>
      </c>
      <c r="T17" s="158">
        <v>11052.5</v>
      </c>
      <c r="U17" s="32">
        <v>5087353</v>
      </c>
      <c r="V17" s="32">
        <v>22578</v>
      </c>
      <c r="W17" s="158">
        <v>50738.1</v>
      </c>
      <c r="X17" s="32">
        <v>248429</v>
      </c>
      <c r="Y17" s="107">
        <v>49374</v>
      </c>
      <c r="Z17" s="32"/>
      <c r="AA17" s="323" t="s">
        <v>21</v>
      </c>
      <c r="AB17" s="3" t="s">
        <v>313</v>
      </c>
      <c r="AC17" s="158">
        <v>299735.7</v>
      </c>
      <c r="AD17" s="32">
        <v>725672</v>
      </c>
      <c r="AE17" s="32">
        <v>4017260</v>
      </c>
      <c r="AF17" s="158">
        <v>9836548.0999999996</v>
      </c>
      <c r="AG17" s="32">
        <v>567172</v>
      </c>
      <c r="AH17" s="158">
        <v>2074084.9</v>
      </c>
      <c r="AI17" s="32">
        <v>83322</v>
      </c>
      <c r="AJ17" s="32">
        <v>6711948</v>
      </c>
      <c r="AK17" s="32">
        <v>71611697</v>
      </c>
      <c r="AL17" s="107">
        <v>0</v>
      </c>
      <c r="AM17" s="3"/>
    </row>
    <row r="18" spans="1:39" ht="15" customHeight="1" x14ac:dyDescent="0.2">
      <c r="A18" s="323" t="s">
        <v>22</v>
      </c>
      <c r="B18" s="3" t="s">
        <v>312</v>
      </c>
      <c r="C18" s="32">
        <v>3069</v>
      </c>
      <c r="D18" s="32">
        <v>210</v>
      </c>
      <c r="E18" s="324">
        <v>1.0949138913973753</v>
      </c>
      <c r="F18" s="158">
        <v>3360.3</v>
      </c>
      <c r="G18" s="32">
        <v>21833942</v>
      </c>
      <c r="H18" s="32">
        <v>58000</v>
      </c>
      <c r="I18" s="32">
        <v>21891942</v>
      </c>
      <c r="J18" s="32">
        <v>1042</v>
      </c>
      <c r="K18" s="158">
        <v>54669.459845999889</v>
      </c>
      <c r="L18" s="107">
        <v>204792</v>
      </c>
      <c r="M18" s="32"/>
      <c r="N18" s="323" t="s">
        <v>22</v>
      </c>
      <c r="O18" s="3" t="s">
        <v>312</v>
      </c>
      <c r="P18" s="158">
        <v>197455.92750000054</v>
      </c>
      <c r="Q18" s="158">
        <v>252125.4</v>
      </c>
      <c r="R18" s="32">
        <v>6649967</v>
      </c>
      <c r="S18" s="32">
        <v>1526</v>
      </c>
      <c r="T18" s="158">
        <v>5101.6000000000004</v>
      </c>
      <c r="U18" s="32">
        <v>2348214</v>
      </c>
      <c r="V18" s="32">
        <v>13308</v>
      </c>
      <c r="W18" s="158">
        <v>27009.200000000001</v>
      </c>
      <c r="X18" s="32">
        <v>132245</v>
      </c>
      <c r="Y18" s="107">
        <v>35135</v>
      </c>
      <c r="Z18" s="32"/>
      <c r="AA18" s="323" t="s">
        <v>22</v>
      </c>
      <c r="AB18" s="3" t="s">
        <v>312</v>
      </c>
      <c r="AC18" s="158">
        <v>158167.70000000001</v>
      </c>
      <c r="AD18" s="32">
        <v>382930</v>
      </c>
      <c r="AE18" s="32">
        <v>1985441</v>
      </c>
      <c r="AF18" s="158">
        <v>4861494.0999999996</v>
      </c>
      <c r="AG18" s="32">
        <v>280312</v>
      </c>
      <c r="AH18" s="158">
        <v>2793822</v>
      </c>
      <c r="AI18" s="32">
        <v>112236</v>
      </c>
      <c r="AJ18" s="32">
        <v>3255937</v>
      </c>
      <c r="AK18" s="32">
        <v>31797846</v>
      </c>
      <c r="AL18" s="107">
        <v>0</v>
      </c>
      <c r="AM18" s="3"/>
    </row>
    <row r="19" spans="1:39" ht="15" customHeight="1" x14ac:dyDescent="0.2">
      <c r="A19" s="323" t="s">
        <v>23</v>
      </c>
      <c r="B19" s="3" t="s">
        <v>310</v>
      </c>
      <c r="C19" s="32">
        <v>2550</v>
      </c>
      <c r="D19" s="32">
        <v>135</v>
      </c>
      <c r="E19" s="324">
        <v>1.2326825971893702</v>
      </c>
      <c r="F19" s="158">
        <v>3143.3</v>
      </c>
      <c r="G19" s="32">
        <v>20423959</v>
      </c>
      <c r="H19" s="32">
        <v>38000</v>
      </c>
      <c r="I19" s="32">
        <v>20461959</v>
      </c>
      <c r="J19" s="32">
        <v>873</v>
      </c>
      <c r="K19" s="158">
        <v>51045.003445999777</v>
      </c>
      <c r="L19" s="107">
        <v>167272</v>
      </c>
      <c r="M19" s="32"/>
      <c r="N19" s="323" t="s">
        <v>23</v>
      </c>
      <c r="O19" s="3" t="s">
        <v>310</v>
      </c>
      <c r="P19" s="158">
        <v>177171.3675000006</v>
      </c>
      <c r="Q19" s="158">
        <v>228216.4</v>
      </c>
      <c r="R19" s="32">
        <v>6019352</v>
      </c>
      <c r="S19" s="32">
        <v>1356</v>
      </c>
      <c r="T19" s="158">
        <v>4498.7</v>
      </c>
      <c r="U19" s="32">
        <v>2070706</v>
      </c>
      <c r="V19" s="32">
        <v>8847</v>
      </c>
      <c r="W19" s="158">
        <v>18781.400000000001</v>
      </c>
      <c r="X19" s="32">
        <v>91959</v>
      </c>
      <c r="Y19" s="107">
        <v>22141</v>
      </c>
      <c r="Z19" s="32"/>
      <c r="AA19" s="323" t="s">
        <v>23</v>
      </c>
      <c r="AB19" s="3" t="s">
        <v>310</v>
      </c>
      <c r="AC19" s="158">
        <v>116705.2</v>
      </c>
      <c r="AD19" s="32">
        <v>282548</v>
      </c>
      <c r="AE19" s="32">
        <v>3124020</v>
      </c>
      <c r="AF19" s="158">
        <v>6985385.0999999996</v>
      </c>
      <c r="AG19" s="32">
        <v>402775</v>
      </c>
      <c r="AH19" s="158">
        <v>4030325.3</v>
      </c>
      <c r="AI19" s="32">
        <v>161910</v>
      </c>
      <c r="AJ19" s="32">
        <v>3009898</v>
      </c>
      <c r="AK19" s="32">
        <v>29491209</v>
      </c>
      <c r="AL19" s="107">
        <v>1803828</v>
      </c>
      <c r="AM19" s="3"/>
    </row>
    <row r="20" spans="1:39" ht="15" customHeight="1" x14ac:dyDescent="0.2">
      <c r="A20" s="323" t="s">
        <v>24</v>
      </c>
      <c r="B20" s="3" t="s">
        <v>309</v>
      </c>
      <c r="C20" s="32">
        <v>25</v>
      </c>
      <c r="D20" s="32">
        <v>0</v>
      </c>
      <c r="E20" s="324">
        <v>0.7456393636549038</v>
      </c>
      <c r="F20" s="158">
        <v>18.600000000000001</v>
      </c>
      <c r="G20" s="32">
        <v>120856</v>
      </c>
      <c r="H20" s="32">
        <v>0</v>
      </c>
      <c r="I20" s="32">
        <v>120856</v>
      </c>
      <c r="J20" s="32">
        <v>13</v>
      </c>
      <c r="K20" s="158">
        <v>200.77199999999996</v>
      </c>
      <c r="L20" s="107">
        <v>1840</v>
      </c>
      <c r="M20" s="32"/>
      <c r="N20" s="323" t="s">
        <v>24</v>
      </c>
      <c r="O20" s="3" t="s">
        <v>309</v>
      </c>
      <c r="P20" s="158">
        <v>932.88000000000056</v>
      </c>
      <c r="Q20" s="158">
        <v>1133.7</v>
      </c>
      <c r="R20" s="32">
        <v>29902</v>
      </c>
      <c r="S20" s="32">
        <v>32</v>
      </c>
      <c r="T20" s="158">
        <v>77.400000000000006</v>
      </c>
      <c r="U20" s="32">
        <v>35626</v>
      </c>
      <c r="V20" s="32">
        <v>241</v>
      </c>
      <c r="W20" s="158">
        <v>275.39999999999998</v>
      </c>
      <c r="X20" s="32">
        <v>1348</v>
      </c>
      <c r="Y20" s="107">
        <v>701</v>
      </c>
      <c r="Z20" s="32"/>
      <c r="AA20" s="323" t="s">
        <v>24</v>
      </c>
      <c r="AB20" s="3" t="s">
        <v>309</v>
      </c>
      <c r="AC20" s="158">
        <v>2264.8000000000002</v>
      </c>
      <c r="AD20" s="32">
        <v>5483</v>
      </c>
      <c r="AE20" s="32">
        <v>15666</v>
      </c>
      <c r="AF20" s="158">
        <v>30106.1</v>
      </c>
      <c r="AG20" s="32">
        <v>1736</v>
      </c>
      <c r="AH20" s="158">
        <v>13503</v>
      </c>
      <c r="AI20" s="32">
        <v>542</v>
      </c>
      <c r="AJ20" s="32">
        <v>44735</v>
      </c>
      <c r="AK20" s="32">
        <v>195493</v>
      </c>
      <c r="AL20" s="107">
        <v>0</v>
      </c>
      <c r="AM20" s="3"/>
    </row>
    <row r="21" spans="1:39" ht="15" customHeight="1" x14ac:dyDescent="0.2">
      <c r="A21" s="323" t="s">
        <v>471</v>
      </c>
      <c r="B21" s="3" t="s">
        <v>317</v>
      </c>
      <c r="C21" s="32">
        <v>20</v>
      </c>
      <c r="D21" s="32">
        <v>0</v>
      </c>
      <c r="E21" s="324">
        <v>0.95000000000000406</v>
      </c>
      <c r="F21" s="158">
        <v>19</v>
      </c>
      <c r="G21" s="32">
        <v>123455</v>
      </c>
      <c r="H21" s="32">
        <v>1250000</v>
      </c>
      <c r="I21" s="32">
        <v>1373455</v>
      </c>
      <c r="J21" s="32">
        <v>0</v>
      </c>
      <c r="K21" s="158">
        <v>0</v>
      </c>
      <c r="L21" s="107">
        <v>0</v>
      </c>
      <c r="M21" s="32"/>
      <c r="N21" s="323" t="s">
        <v>471</v>
      </c>
      <c r="O21" s="3" t="s">
        <v>317</v>
      </c>
      <c r="P21" s="158">
        <v>0</v>
      </c>
      <c r="Q21" s="158">
        <v>0</v>
      </c>
      <c r="R21" s="32">
        <v>0</v>
      </c>
      <c r="S21" s="32">
        <v>0</v>
      </c>
      <c r="T21" s="158">
        <v>0</v>
      </c>
      <c r="U21" s="32">
        <v>0</v>
      </c>
      <c r="V21" s="32">
        <v>0</v>
      </c>
      <c r="W21" s="158">
        <v>0</v>
      </c>
      <c r="X21" s="32">
        <v>0</v>
      </c>
      <c r="Y21" s="107">
        <v>0</v>
      </c>
      <c r="Z21" s="32"/>
      <c r="AA21" s="323" t="s">
        <v>471</v>
      </c>
      <c r="AB21" s="3" t="s">
        <v>317</v>
      </c>
      <c r="AC21" s="158">
        <v>0</v>
      </c>
      <c r="AD21" s="32">
        <v>0</v>
      </c>
      <c r="AE21" s="32">
        <v>0</v>
      </c>
      <c r="AF21" s="158">
        <v>0</v>
      </c>
      <c r="AG21" s="32">
        <v>0</v>
      </c>
      <c r="AH21" s="158">
        <v>0</v>
      </c>
      <c r="AI21" s="32">
        <v>0</v>
      </c>
      <c r="AJ21" s="32">
        <v>0</v>
      </c>
      <c r="AK21" s="32">
        <v>1373455</v>
      </c>
      <c r="AL21" s="107">
        <v>96593</v>
      </c>
      <c r="AM21" s="3"/>
    </row>
    <row r="22" spans="1:39" ht="15" customHeight="1" x14ac:dyDescent="0.2">
      <c r="A22" s="323" t="s">
        <v>25</v>
      </c>
      <c r="B22" s="3" t="s">
        <v>308</v>
      </c>
      <c r="C22" s="32">
        <v>107</v>
      </c>
      <c r="D22" s="32">
        <v>0</v>
      </c>
      <c r="E22" s="324">
        <v>1.6153002490378074</v>
      </c>
      <c r="F22" s="158">
        <v>172.8</v>
      </c>
      <c r="G22" s="32">
        <v>1122788</v>
      </c>
      <c r="H22" s="32">
        <v>0</v>
      </c>
      <c r="I22" s="32">
        <v>1122788</v>
      </c>
      <c r="J22" s="32">
        <v>54</v>
      </c>
      <c r="K22" s="158">
        <v>3342.9603239999988</v>
      </c>
      <c r="L22" s="107">
        <v>13439.990000000003</v>
      </c>
      <c r="M22" s="32"/>
      <c r="N22" s="323" t="s">
        <v>25</v>
      </c>
      <c r="O22" s="3" t="s">
        <v>308</v>
      </c>
      <c r="P22" s="158">
        <v>13862.762407500004</v>
      </c>
      <c r="Q22" s="158">
        <v>17205.7</v>
      </c>
      <c r="R22" s="32">
        <v>453811</v>
      </c>
      <c r="S22" s="32">
        <v>83</v>
      </c>
      <c r="T22" s="158">
        <v>230</v>
      </c>
      <c r="U22" s="32">
        <v>105867</v>
      </c>
      <c r="V22" s="32">
        <v>870</v>
      </c>
      <c r="W22" s="158">
        <v>923.3</v>
      </c>
      <c r="X22" s="32">
        <v>4521</v>
      </c>
      <c r="Y22" s="107">
        <v>1519</v>
      </c>
      <c r="Z22" s="32"/>
      <c r="AA22" s="323" t="s">
        <v>25</v>
      </c>
      <c r="AB22" s="3" t="s">
        <v>308</v>
      </c>
      <c r="AC22" s="158">
        <v>6679</v>
      </c>
      <c r="AD22" s="32">
        <v>16170</v>
      </c>
      <c r="AE22" s="32">
        <v>72465</v>
      </c>
      <c r="AF22" s="158">
        <v>141803.20000000001</v>
      </c>
      <c r="AG22" s="32">
        <v>8176</v>
      </c>
      <c r="AH22" s="158">
        <v>5430</v>
      </c>
      <c r="AI22" s="32">
        <v>218</v>
      </c>
      <c r="AJ22" s="32">
        <v>134952</v>
      </c>
      <c r="AK22" s="32">
        <v>1711551</v>
      </c>
      <c r="AL22" s="107">
        <v>193727</v>
      </c>
      <c r="AM22" s="3"/>
    </row>
    <row r="23" spans="1:39" ht="15" customHeight="1" x14ac:dyDescent="0.2">
      <c r="A23" s="323" t="s">
        <v>381</v>
      </c>
      <c r="B23" s="3" t="s">
        <v>307</v>
      </c>
      <c r="C23" s="32">
        <v>19</v>
      </c>
      <c r="D23" s="32">
        <v>0</v>
      </c>
      <c r="E23" s="324">
        <v>1.5621133290405655</v>
      </c>
      <c r="F23" s="158">
        <v>29.7</v>
      </c>
      <c r="G23" s="32">
        <v>192979</v>
      </c>
      <c r="H23" s="32">
        <v>0</v>
      </c>
      <c r="I23" s="32">
        <v>192979</v>
      </c>
      <c r="J23" s="32">
        <v>4</v>
      </c>
      <c r="K23" s="158">
        <v>279.36</v>
      </c>
      <c r="L23" s="107">
        <v>720</v>
      </c>
      <c r="M23" s="32"/>
      <c r="N23" s="323" t="s">
        <v>381</v>
      </c>
      <c r="O23" s="3" t="s">
        <v>307</v>
      </c>
      <c r="P23" s="158">
        <v>671.8</v>
      </c>
      <c r="Q23" s="158">
        <v>951.2</v>
      </c>
      <c r="R23" s="32">
        <v>25089</v>
      </c>
      <c r="S23" s="32">
        <v>6</v>
      </c>
      <c r="T23" s="158">
        <v>27.3</v>
      </c>
      <c r="U23" s="32">
        <v>12566</v>
      </c>
      <c r="V23" s="32">
        <v>97</v>
      </c>
      <c r="W23" s="158">
        <v>97</v>
      </c>
      <c r="X23" s="32">
        <v>475</v>
      </c>
      <c r="Y23" s="107">
        <v>106</v>
      </c>
      <c r="Z23" s="32"/>
      <c r="AA23" s="323" t="s">
        <v>381</v>
      </c>
      <c r="AB23" s="3" t="s">
        <v>307</v>
      </c>
      <c r="AC23" s="158">
        <v>318</v>
      </c>
      <c r="AD23" s="32">
        <v>770</v>
      </c>
      <c r="AE23" s="32">
        <v>0</v>
      </c>
      <c r="AF23" s="158">
        <v>0</v>
      </c>
      <c r="AG23" s="32">
        <v>0</v>
      </c>
      <c r="AH23" s="158">
        <v>0</v>
      </c>
      <c r="AI23" s="32">
        <v>0</v>
      </c>
      <c r="AJ23" s="32">
        <v>13811</v>
      </c>
      <c r="AK23" s="32">
        <v>231879</v>
      </c>
      <c r="AL23" s="107">
        <v>0</v>
      </c>
      <c r="AM23" s="3"/>
    </row>
    <row r="24" spans="1:39" ht="15" customHeight="1" x14ac:dyDescent="0.2">
      <c r="A24" s="323" t="s">
        <v>128</v>
      </c>
      <c r="B24" s="3" t="s">
        <v>306</v>
      </c>
      <c r="C24" s="32">
        <v>29</v>
      </c>
      <c r="D24" s="32">
        <v>0</v>
      </c>
      <c r="E24" s="324">
        <v>0.74650310254090368</v>
      </c>
      <c r="F24" s="158">
        <v>21.6</v>
      </c>
      <c r="G24" s="32">
        <v>140349</v>
      </c>
      <c r="H24" s="32">
        <v>0</v>
      </c>
      <c r="I24" s="32">
        <v>140349</v>
      </c>
      <c r="J24" s="32">
        <v>174</v>
      </c>
      <c r="K24" s="158">
        <v>3549.0049090000084</v>
      </c>
      <c r="L24" s="107">
        <v>3479.98862250001</v>
      </c>
      <c r="M24" s="32"/>
      <c r="N24" s="323" t="s">
        <v>128</v>
      </c>
      <c r="O24" s="3" t="s">
        <v>306</v>
      </c>
      <c r="P24" s="158">
        <v>1785.4586787374938</v>
      </c>
      <c r="Q24" s="158">
        <v>5334.5</v>
      </c>
      <c r="R24" s="32">
        <v>140701</v>
      </c>
      <c r="S24" s="32">
        <v>117</v>
      </c>
      <c r="T24" s="158">
        <v>280.7</v>
      </c>
      <c r="U24" s="32">
        <v>129203</v>
      </c>
      <c r="V24" s="32">
        <v>721</v>
      </c>
      <c r="W24" s="158">
        <v>1309.2</v>
      </c>
      <c r="X24" s="32">
        <v>6410</v>
      </c>
      <c r="Y24" s="107">
        <v>2909</v>
      </c>
      <c r="Z24" s="32"/>
      <c r="AA24" s="323" t="s">
        <v>128</v>
      </c>
      <c r="AB24" s="3" t="s">
        <v>306</v>
      </c>
      <c r="AC24" s="158">
        <v>13899.1</v>
      </c>
      <c r="AD24" s="32">
        <v>33650</v>
      </c>
      <c r="AE24" s="32">
        <v>0</v>
      </c>
      <c r="AF24" s="158">
        <v>0</v>
      </c>
      <c r="AG24" s="32">
        <v>0</v>
      </c>
      <c r="AH24" s="158">
        <v>0</v>
      </c>
      <c r="AI24" s="32">
        <v>0</v>
      </c>
      <c r="AJ24" s="32">
        <v>169263</v>
      </c>
      <c r="AK24" s="32">
        <v>450313</v>
      </c>
      <c r="AL24" s="107">
        <v>13429</v>
      </c>
      <c r="AM24" s="3"/>
    </row>
    <row r="25" spans="1:39" ht="15" customHeight="1" x14ac:dyDescent="0.2">
      <c r="A25" s="323" t="s">
        <v>26</v>
      </c>
      <c r="B25" s="3" t="s">
        <v>305</v>
      </c>
      <c r="C25" s="32">
        <v>136</v>
      </c>
      <c r="D25" s="32">
        <v>0</v>
      </c>
      <c r="E25" s="324">
        <v>1.0286135924188262</v>
      </c>
      <c r="F25" s="158">
        <v>139.9</v>
      </c>
      <c r="G25" s="32">
        <v>909017</v>
      </c>
      <c r="H25" s="32">
        <v>5000</v>
      </c>
      <c r="I25" s="32">
        <v>914017</v>
      </c>
      <c r="J25" s="32">
        <v>44</v>
      </c>
      <c r="K25" s="158">
        <v>1420.4434859999999</v>
      </c>
      <c r="L25" s="107">
        <v>9722</v>
      </c>
      <c r="M25" s="32"/>
      <c r="N25" s="323" t="s">
        <v>26</v>
      </c>
      <c r="O25" s="3" t="s">
        <v>305</v>
      </c>
      <c r="P25" s="158">
        <v>8254.6549999999952</v>
      </c>
      <c r="Q25" s="158">
        <v>9675.1</v>
      </c>
      <c r="R25" s="32">
        <v>255187</v>
      </c>
      <c r="S25" s="32">
        <v>104</v>
      </c>
      <c r="T25" s="158">
        <v>268.3</v>
      </c>
      <c r="U25" s="32">
        <v>123496</v>
      </c>
      <c r="V25" s="32">
        <v>932</v>
      </c>
      <c r="W25" s="158">
        <v>1777.2</v>
      </c>
      <c r="X25" s="32">
        <v>8702</v>
      </c>
      <c r="Y25" s="107">
        <v>1831</v>
      </c>
      <c r="Z25" s="32"/>
      <c r="AA25" s="323" t="s">
        <v>26</v>
      </c>
      <c r="AB25" s="3" t="s">
        <v>305</v>
      </c>
      <c r="AC25" s="158">
        <v>8898.6</v>
      </c>
      <c r="AD25" s="32">
        <v>21544</v>
      </c>
      <c r="AE25" s="32">
        <v>217681</v>
      </c>
      <c r="AF25" s="158">
        <v>533007.5</v>
      </c>
      <c r="AG25" s="32">
        <v>30733</v>
      </c>
      <c r="AH25" s="158">
        <v>238138</v>
      </c>
      <c r="AI25" s="32">
        <v>9567</v>
      </c>
      <c r="AJ25" s="32">
        <v>194042</v>
      </c>
      <c r="AK25" s="32">
        <v>1363246</v>
      </c>
      <c r="AL25" s="107">
        <v>65440</v>
      </c>
      <c r="AM25" s="3"/>
    </row>
    <row r="26" spans="1:39" ht="15" customHeight="1" x14ac:dyDescent="0.2">
      <c r="A26" s="323" t="s">
        <v>27</v>
      </c>
      <c r="B26" s="3" t="s">
        <v>304</v>
      </c>
      <c r="C26" s="32">
        <v>222</v>
      </c>
      <c r="D26" s="32">
        <v>0</v>
      </c>
      <c r="E26" s="324">
        <v>1.7136493672396653</v>
      </c>
      <c r="F26" s="158">
        <v>380.4</v>
      </c>
      <c r="G26" s="32">
        <v>2471693</v>
      </c>
      <c r="H26" s="32">
        <v>5000</v>
      </c>
      <c r="I26" s="32">
        <v>2476693</v>
      </c>
      <c r="J26" s="32">
        <v>42</v>
      </c>
      <c r="K26" s="158">
        <v>2990.7174059999993</v>
      </c>
      <c r="L26" s="107">
        <v>12497</v>
      </c>
      <c r="M26" s="32"/>
      <c r="N26" s="323" t="s">
        <v>27</v>
      </c>
      <c r="O26" s="3" t="s">
        <v>304</v>
      </c>
      <c r="P26" s="158">
        <v>16337.452499999974</v>
      </c>
      <c r="Q26" s="158">
        <v>19328.2</v>
      </c>
      <c r="R26" s="32">
        <v>509794</v>
      </c>
      <c r="S26" s="32">
        <v>94</v>
      </c>
      <c r="T26" s="158">
        <v>295</v>
      </c>
      <c r="U26" s="32">
        <v>135785</v>
      </c>
      <c r="V26" s="32">
        <v>680</v>
      </c>
      <c r="W26" s="158">
        <v>1548.9</v>
      </c>
      <c r="X26" s="32">
        <v>7584</v>
      </c>
      <c r="Y26" s="107">
        <v>1013</v>
      </c>
      <c r="Z26" s="32"/>
      <c r="AA26" s="323" t="s">
        <v>27</v>
      </c>
      <c r="AB26" s="3" t="s">
        <v>304</v>
      </c>
      <c r="AC26" s="158">
        <v>6732.7</v>
      </c>
      <c r="AD26" s="32">
        <v>16300</v>
      </c>
      <c r="AE26" s="32">
        <v>430108</v>
      </c>
      <c r="AF26" s="158">
        <v>938233.6</v>
      </c>
      <c r="AG26" s="32">
        <v>54098</v>
      </c>
      <c r="AH26" s="158">
        <v>273270</v>
      </c>
      <c r="AI26" s="32">
        <v>10978</v>
      </c>
      <c r="AJ26" s="32">
        <v>224745</v>
      </c>
      <c r="AK26" s="32">
        <v>3211232</v>
      </c>
      <c r="AL26" s="107">
        <v>259941</v>
      </c>
      <c r="AM26" s="3"/>
    </row>
    <row r="27" spans="1:39" ht="15" customHeight="1" x14ac:dyDescent="0.2">
      <c r="A27" s="323" t="s">
        <v>143</v>
      </c>
      <c r="B27" s="3" t="s">
        <v>303</v>
      </c>
      <c r="C27" s="32">
        <v>28</v>
      </c>
      <c r="D27" s="32">
        <v>0</v>
      </c>
      <c r="E27" s="324">
        <v>0.72540000000000038</v>
      </c>
      <c r="F27" s="158">
        <v>20.3</v>
      </c>
      <c r="G27" s="32">
        <v>131902</v>
      </c>
      <c r="H27" s="32">
        <v>0</v>
      </c>
      <c r="I27" s="32">
        <v>131902</v>
      </c>
      <c r="J27" s="32">
        <v>23</v>
      </c>
      <c r="K27" s="158">
        <v>209.89800000000005</v>
      </c>
      <c r="L27" s="107">
        <v>2999.9971799999985</v>
      </c>
      <c r="M27" s="32"/>
      <c r="N27" s="323" t="s">
        <v>143</v>
      </c>
      <c r="O27" s="3" t="s">
        <v>303</v>
      </c>
      <c r="P27" s="158">
        <v>1520.9985702599993</v>
      </c>
      <c r="Q27" s="158">
        <v>1730.9</v>
      </c>
      <c r="R27" s="32">
        <v>45654</v>
      </c>
      <c r="S27" s="32">
        <v>20</v>
      </c>
      <c r="T27" s="158">
        <v>38.9</v>
      </c>
      <c r="U27" s="32">
        <v>17905</v>
      </c>
      <c r="V27" s="32">
        <v>122</v>
      </c>
      <c r="W27" s="158">
        <v>275.89999999999998</v>
      </c>
      <c r="X27" s="32">
        <v>1351</v>
      </c>
      <c r="Y27" s="107">
        <v>491</v>
      </c>
      <c r="Z27" s="32"/>
      <c r="AA27" s="323" t="s">
        <v>143</v>
      </c>
      <c r="AB27" s="3" t="s">
        <v>303</v>
      </c>
      <c r="AC27" s="158">
        <v>2626.2</v>
      </c>
      <c r="AD27" s="32">
        <v>6358</v>
      </c>
      <c r="AE27" s="32">
        <v>0</v>
      </c>
      <c r="AF27" s="158">
        <v>0</v>
      </c>
      <c r="AG27" s="32">
        <v>0</v>
      </c>
      <c r="AH27" s="158">
        <v>0</v>
      </c>
      <c r="AI27" s="32">
        <v>0</v>
      </c>
      <c r="AJ27" s="32">
        <v>25614</v>
      </c>
      <c r="AK27" s="32">
        <v>203170</v>
      </c>
      <c r="AL27" s="107">
        <v>12993</v>
      </c>
      <c r="AM27" s="3"/>
    </row>
    <row r="28" spans="1:39" ht="15" customHeight="1" x14ac:dyDescent="0.2">
      <c r="A28" s="323" t="s">
        <v>28</v>
      </c>
      <c r="B28" s="3" t="s">
        <v>302</v>
      </c>
      <c r="C28" s="32">
        <v>9763</v>
      </c>
      <c r="D28" s="32">
        <v>230</v>
      </c>
      <c r="E28" s="324">
        <v>1.1178612766078788</v>
      </c>
      <c r="F28" s="158">
        <v>10913.7</v>
      </c>
      <c r="G28" s="32">
        <v>70913042</v>
      </c>
      <c r="H28" s="32">
        <v>172000</v>
      </c>
      <c r="I28" s="32">
        <v>71085042</v>
      </c>
      <c r="J28" s="32">
        <v>2838</v>
      </c>
      <c r="K28" s="158">
        <v>157335.39072599966</v>
      </c>
      <c r="L28" s="107">
        <v>564983.5</v>
      </c>
      <c r="M28" s="32"/>
      <c r="N28" s="323" t="s">
        <v>28</v>
      </c>
      <c r="O28" s="3" t="s">
        <v>302</v>
      </c>
      <c r="P28" s="158">
        <v>537272.15299998585</v>
      </c>
      <c r="Q28" s="158">
        <v>694607.5</v>
      </c>
      <c r="R28" s="32">
        <v>18320713</v>
      </c>
      <c r="S28" s="32">
        <v>5145</v>
      </c>
      <c r="T28" s="158">
        <v>15938.5</v>
      </c>
      <c r="U28" s="32">
        <v>7336328</v>
      </c>
      <c r="V28" s="32">
        <v>25029</v>
      </c>
      <c r="W28" s="158">
        <v>56427.8</v>
      </c>
      <c r="X28" s="32">
        <v>276288</v>
      </c>
      <c r="Y28" s="107">
        <v>48295</v>
      </c>
      <c r="Z28" s="32"/>
      <c r="AA28" s="323" t="s">
        <v>28</v>
      </c>
      <c r="AB28" s="3" t="s">
        <v>302</v>
      </c>
      <c r="AC28" s="158">
        <v>299424.59999999998</v>
      </c>
      <c r="AD28" s="32">
        <v>724919</v>
      </c>
      <c r="AE28" s="32">
        <v>7582887</v>
      </c>
      <c r="AF28" s="158">
        <v>17914061.600000001</v>
      </c>
      <c r="AG28" s="32">
        <v>1032920</v>
      </c>
      <c r="AH28" s="158">
        <v>5889257.9000000004</v>
      </c>
      <c r="AI28" s="32">
        <v>236590</v>
      </c>
      <c r="AJ28" s="32">
        <v>9607045</v>
      </c>
      <c r="AK28" s="32">
        <v>99012800</v>
      </c>
      <c r="AL28" s="107">
        <v>0</v>
      </c>
      <c r="AM28" s="3"/>
    </row>
    <row r="29" spans="1:39" ht="15" customHeight="1" x14ac:dyDescent="0.2">
      <c r="A29" s="323" t="s">
        <v>29</v>
      </c>
      <c r="B29" s="3" t="s">
        <v>299</v>
      </c>
      <c r="C29" s="32">
        <v>61</v>
      </c>
      <c r="D29" s="32">
        <v>0</v>
      </c>
      <c r="E29" s="324">
        <v>1.4638627325797291</v>
      </c>
      <c r="F29" s="158">
        <v>89.3</v>
      </c>
      <c r="G29" s="32">
        <v>580237</v>
      </c>
      <c r="H29" s="32">
        <v>0</v>
      </c>
      <c r="I29" s="32">
        <v>580237</v>
      </c>
      <c r="J29" s="32">
        <v>28</v>
      </c>
      <c r="K29" s="158">
        <v>2821.6797299999985</v>
      </c>
      <c r="L29" s="107">
        <v>5537</v>
      </c>
      <c r="M29" s="32"/>
      <c r="N29" s="323" t="s">
        <v>29</v>
      </c>
      <c r="O29" s="3" t="s">
        <v>299</v>
      </c>
      <c r="P29" s="158">
        <v>7431.8199999999979</v>
      </c>
      <c r="Q29" s="158">
        <v>10253.5</v>
      </c>
      <c r="R29" s="32">
        <v>270443</v>
      </c>
      <c r="S29" s="32">
        <v>61</v>
      </c>
      <c r="T29" s="158">
        <v>176.3</v>
      </c>
      <c r="U29" s="32">
        <v>81149</v>
      </c>
      <c r="V29" s="32">
        <v>531</v>
      </c>
      <c r="W29" s="158">
        <v>695.8</v>
      </c>
      <c r="X29" s="32">
        <v>3407</v>
      </c>
      <c r="Y29" s="107">
        <v>1221</v>
      </c>
      <c r="Z29" s="32"/>
      <c r="AA29" s="323" t="s">
        <v>29</v>
      </c>
      <c r="AB29" s="3" t="s">
        <v>299</v>
      </c>
      <c r="AC29" s="158">
        <v>5346.4</v>
      </c>
      <c r="AD29" s="32">
        <v>12944</v>
      </c>
      <c r="AE29" s="32">
        <v>12580</v>
      </c>
      <c r="AF29" s="158">
        <v>21893.5</v>
      </c>
      <c r="AG29" s="32">
        <v>1262</v>
      </c>
      <c r="AH29" s="158">
        <v>3053</v>
      </c>
      <c r="AI29" s="32">
        <v>123</v>
      </c>
      <c r="AJ29" s="32">
        <v>98885</v>
      </c>
      <c r="AK29" s="32">
        <v>949565</v>
      </c>
      <c r="AL29" s="107">
        <v>28094</v>
      </c>
      <c r="AM29" s="3"/>
    </row>
    <row r="30" spans="1:39" ht="15" customHeight="1" x14ac:dyDescent="0.2">
      <c r="A30" s="323" t="s">
        <v>30</v>
      </c>
      <c r="B30" s="3" t="s">
        <v>301</v>
      </c>
      <c r="C30" s="32">
        <v>2055</v>
      </c>
      <c r="D30" s="32">
        <v>0</v>
      </c>
      <c r="E30" s="324">
        <v>0.89861251115964558</v>
      </c>
      <c r="F30" s="158">
        <v>1846.6</v>
      </c>
      <c r="G30" s="32">
        <v>11998499</v>
      </c>
      <c r="H30" s="32">
        <v>0</v>
      </c>
      <c r="I30" s="32">
        <v>11998499</v>
      </c>
      <c r="J30" s="32">
        <v>796</v>
      </c>
      <c r="K30" s="158">
        <v>37298.668365999998</v>
      </c>
      <c r="L30" s="107">
        <v>142710.5</v>
      </c>
      <c r="M30" s="32"/>
      <c r="N30" s="323" t="s">
        <v>30</v>
      </c>
      <c r="O30" s="3" t="s">
        <v>301</v>
      </c>
      <c r="P30" s="158">
        <v>115554.37500000009</v>
      </c>
      <c r="Q30" s="158">
        <v>152853</v>
      </c>
      <c r="R30" s="32">
        <v>4031595</v>
      </c>
      <c r="S30" s="32">
        <v>898</v>
      </c>
      <c r="T30" s="158">
        <v>3193.9</v>
      </c>
      <c r="U30" s="32">
        <v>1470119</v>
      </c>
      <c r="V30" s="32">
        <v>7928</v>
      </c>
      <c r="W30" s="158">
        <v>15462.3</v>
      </c>
      <c r="X30" s="32">
        <v>75708</v>
      </c>
      <c r="Y30" s="107">
        <v>20631</v>
      </c>
      <c r="Z30" s="32"/>
      <c r="AA30" s="323" t="s">
        <v>30</v>
      </c>
      <c r="AB30" s="3" t="s">
        <v>301</v>
      </c>
      <c r="AC30" s="158">
        <v>113777.2</v>
      </c>
      <c r="AD30" s="32">
        <v>275459</v>
      </c>
      <c r="AE30" s="32">
        <v>1364975</v>
      </c>
      <c r="AF30" s="158">
        <v>3248933.8</v>
      </c>
      <c r="AG30" s="32">
        <v>187333</v>
      </c>
      <c r="AH30" s="158">
        <v>963926.5</v>
      </c>
      <c r="AI30" s="32">
        <v>38724</v>
      </c>
      <c r="AJ30" s="32">
        <v>2047343</v>
      </c>
      <c r="AK30" s="32">
        <v>18077437</v>
      </c>
      <c r="AL30" s="107">
        <v>1322391</v>
      </c>
      <c r="AM30" s="3"/>
    </row>
    <row r="31" spans="1:39" ht="15" customHeight="1" x14ac:dyDescent="0.2">
      <c r="A31" s="323" t="s">
        <v>31</v>
      </c>
      <c r="B31" s="3" t="s">
        <v>300</v>
      </c>
      <c r="C31" s="32">
        <v>324</v>
      </c>
      <c r="D31" s="32">
        <v>0</v>
      </c>
      <c r="E31" s="324">
        <v>1.50922321464331</v>
      </c>
      <c r="F31" s="158">
        <v>489</v>
      </c>
      <c r="G31" s="32">
        <v>3177335</v>
      </c>
      <c r="H31" s="32">
        <v>7000</v>
      </c>
      <c r="I31" s="32">
        <v>3184335</v>
      </c>
      <c r="J31" s="32">
        <v>109</v>
      </c>
      <c r="K31" s="158">
        <v>5907.2059349999963</v>
      </c>
      <c r="L31" s="107">
        <v>23751.5</v>
      </c>
      <c r="M31" s="32"/>
      <c r="N31" s="323" t="s">
        <v>31</v>
      </c>
      <c r="O31" s="3" t="s">
        <v>300</v>
      </c>
      <c r="P31" s="158">
        <v>27482.473749999972</v>
      </c>
      <c r="Q31" s="158">
        <v>33389.699999999997</v>
      </c>
      <c r="R31" s="32">
        <v>880674</v>
      </c>
      <c r="S31" s="32">
        <v>188</v>
      </c>
      <c r="T31" s="158">
        <v>461.5</v>
      </c>
      <c r="U31" s="32">
        <v>212424</v>
      </c>
      <c r="V31" s="32">
        <v>858</v>
      </c>
      <c r="W31" s="158">
        <v>1917.8</v>
      </c>
      <c r="X31" s="32">
        <v>9390</v>
      </c>
      <c r="Y31" s="107">
        <v>3366</v>
      </c>
      <c r="Z31" s="32"/>
      <c r="AA31" s="323" t="s">
        <v>31</v>
      </c>
      <c r="AB31" s="3" t="s">
        <v>300</v>
      </c>
      <c r="AC31" s="158">
        <v>16963.3</v>
      </c>
      <c r="AD31" s="32">
        <v>41069</v>
      </c>
      <c r="AE31" s="32">
        <v>688279</v>
      </c>
      <c r="AF31" s="158">
        <v>1577666.9</v>
      </c>
      <c r="AG31" s="32">
        <v>90968</v>
      </c>
      <c r="AH31" s="158">
        <v>1836948.1</v>
      </c>
      <c r="AI31" s="32">
        <v>73796</v>
      </c>
      <c r="AJ31" s="32">
        <v>427647</v>
      </c>
      <c r="AK31" s="32">
        <v>4492656</v>
      </c>
      <c r="AL31" s="107">
        <v>328264</v>
      </c>
      <c r="AM31" s="3"/>
    </row>
    <row r="32" spans="1:39" ht="15" customHeight="1" x14ac:dyDescent="0.2">
      <c r="A32" s="323" t="s">
        <v>32</v>
      </c>
      <c r="B32" s="3" t="s">
        <v>297</v>
      </c>
      <c r="C32" s="32">
        <v>3800</v>
      </c>
      <c r="D32" s="32">
        <v>180</v>
      </c>
      <c r="E32" s="324">
        <v>1.0855476191003499</v>
      </c>
      <c r="F32" s="158">
        <v>4125.1000000000004</v>
      </c>
      <c r="G32" s="32">
        <v>26803320</v>
      </c>
      <c r="H32" s="32">
        <v>62000</v>
      </c>
      <c r="I32" s="32">
        <v>26865320</v>
      </c>
      <c r="J32" s="32">
        <v>1172</v>
      </c>
      <c r="K32" s="158">
        <v>55011.320236000196</v>
      </c>
      <c r="L32" s="107">
        <v>250049.5</v>
      </c>
      <c r="M32" s="32"/>
      <c r="N32" s="323" t="s">
        <v>32</v>
      </c>
      <c r="O32" s="3" t="s">
        <v>297</v>
      </c>
      <c r="P32" s="158">
        <v>223478.12250000113</v>
      </c>
      <c r="Q32" s="158">
        <v>278489.40000000002</v>
      </c>
      <c r="R32" s="32">
        <v>7345334</v>
      </c>
      <c r="S32" s="32">
        <v>2275</v>
      </c>
      <c r="T32" s="158">
        <v>6175.3</v>
      </c>
      <c r="U32" s="32">
        <v>2842427</v>
      </c>
      <c r="V32" s="32">
        <v>11252</v>
      </c>
      <c r="W32" s="158">
        <v>25995</v>
      </c>
      <c r="X32" s="32">
        <v>127279</v>
      </c>
      <c r="Y32" s="107">
        <v>30272</v>
      </c>
      <c r="Z32" s="32"/>
      <c r="AA32" s="323" t="s">
        <v>32</v>
      </c>
      <c r="AB32" s="3" t="s">
        <v>297</v>
      </c>
      <c r="AC32" s="158">
        <v>164239.5</v>
      </c>
      <c r="AD32" s="32">
        <v>397630</v>
      </c>
      <c r="AE32" s="32">
        <v>2261878</v>
      </c>
      <c r="AF32" s="158">
        <v>5538369.7999999998</v>
      </c>
      <c r="AG32" s="32">
        <v>319341</v>
      </c>
      <c r="AH32" s="158">
        <v>2487420.4</v>
      </c>
      <c r="AI32" s="32">
        <v>99927</v>
      </c>
      <c r="AJ32" s="32">
        <v>3786604</v>
      </c>
      <c r="AK32" s="32">
        <v>37997258</v>
      </c>
      <c r="AL32" s="107">
        <v>4748850</v>
      </c>
      <c r="AM32" s="3"/>
    </row>
    <row r="33" spans="1:39" ht="15" customHeight="1" x14ac:dyDescent="0.2">
      <c r="A33" s="323" t="s">
        <v>33</v>
      </c>
      <c r="B33" s="3" t="s">
        <v>296</v>
      </c>
      <c r="C33" s="32">
        <v>488</v>
      </c>
      <c r="D33" s="32">
        <v>0</v>
      </c>
      <c r="E33" s="324">
        <v>1.2749076412085105</v>
      </c>
      <c r="F33" s="158">
        <v>622.20000000000005</v>
      </c>
      <c r="G33" s="32">
        <v>4042817</v>
      </c>
      <c r="H33" s="32">
        <v>8000</v>
      </c>
      <c r="I33" s="32">
        <v>4050817</v>
      </c>
      <c r="J33" s="32">
        <v>236</v>
      </c>
      <c r="K33" s="158">
        <v>7748.8281529999858</v>
      </c>
      <c r="L33" s="107">
        <v>42294</v>
      </c>
      <c r="M33" s="32"/>
      <c r="N33" s="323" t="s">
        <v>33</v>
      </c>
      <c r="O33" s="3" t="s">
        <v>296</v>
      </c>
      <c r="P33" s="158">
        <v>38264.494999999995</v>
      </c>
      <c r="Q33" s="158">
        <v>46013.3</v>
      </c>
      <c r="R33" s="32">
        <v>1213630</v>
      </c>
      <c r="S33" s="32">
        <v>421</v>
      </c>
      <c r="T33" s="158">
        <v>884</v>
      </c>
      <c r="U33" s="32">
        <v>406896</v>
      </c>
      <c r="V33" s="32">
        <v>2656</v>
      </c>
      <c r="W33" s="158">
        <v>4842.5</v>
      </c>
      <c r="X33" s="32">
        <v>23710</v>
      </c>
      <c r="Y33" s="107">
        <v>5173</v>
      </c>
      <c r="Z33" s="32"/>
      <c r="AA33" s="323" t="s">
        <v>33</v>
      </c>
      <c r="AB33" s="3" t="s">
        <v>296</v>
      </c>
      <c r="AC33" s="158">
        <v>29134.3</v>
      </c>
      <c r="AD33" s="32">
        <v>70535</v>
      </c>
      <c r="AE33" s="32">
        <v>567055</v>
      </c>
      <c r="AF33" s="158">
        <v>1297712.3999999999</v>
      </c>
      <c r="AG33" s="32">
        <v>74826</v>
      </c>
      <c r="AH33" s="158">
        <v>581513</v>
      </c>
      <c r="AI33" s="32">
        <v>23361</v>
      </c>
      <c r="AJ33" s="32">
        <v>599328</v>
      </c>
      <c r="AK33" s="32">
        <v>5863775</v>
      </c>
      <c r="AL33" s="107">
        <v>544435</v>
      </c>
      <c r="AM33" s="3"/>
    </row>
    <row r="34" spans="1:39" ht="15" customHeight="1" x14ac:dyDescent="0.2">
      <c r="A34" s="323" t="s">
        <v>34</v>
      </c>
      <c r="B34" s="3" t="s">
        <v>294</v>
      </c>
      <c r="C34" s="32">
        <v>42</v>
      </c>
      <c r="D34" s="32">
        <v>0</v>
      </c>
      <c r="E34" s="324">
        <v>1.4809404237240367</v>
      </c>
      <c r="F34" s="158">
        <v>62.2</v>
      </c>
      <c r="G34" s="32">
        <v>404152</v>
      </c>
      <c r="H34" s="32">
        <v>0</v>
      </c>
      <c r="I34" s="32">
        <v>404152</v>
      </c>
      <c r="J34" s="32">
        <v>30</v>
      </c>
      <c r="K34" s="158">
        <v>1579.3919999999994</v>
      </c>
      <c r="L34" s="107">
        <v>5279.9967059999999</v>
      </c>
      <c r="M34" s="32"/>
      <c r="N34" s="323" t="s">
        <v>34</v>
      </c>
      <c r="O34" s="3" t="s">
        <v>294</v>
      </c>
      <c r="P34" s="158">
        <v>4801.3411474200011</v>
      </c>
      <c r="Q34" s="158">
        <v>6380.7</v>
      </c>
      <c r="R34" s="32">
        <v>168295</v>
      </c>
      <c r="S34" s="32">
        <v>24</v>
      </c>
      <c r="T34" s="158">
        <v>72.099999999999994</v>
      </c>
      <c r="U34" s="32">
        <v>33187</v>
      </c>
      <c r="V34" s="32">
        <v>135</v>
      </c>
      <c r="W34" s="158">
        <v>328.3</v>
      </c>
      <c r="X34" s="32">
        <v>1607</v>
      </c>
      <c r="Y34" s="107">
        <v>513</v>
      </c>
      <c r="Z34" s="32"/>
      <c r="AA34" s="323" t="s">
        <v>34</v>
      </c>
      <c r="AB34" s="3" t="s">
        <v>294</v>
      </c>
      <c r="AC34" s="158">
        <v>3349.7</v>
      </c>
      <c r="AD34" s="32">
        <v>8110</v>
      </c>
      <c r="AE34" s="32">
        <v>15676</v>
      </c>
      <c r="AF34" s="158">
        <v>37531.199999999997</v>
      </c>
      <c r="AG34" s="32">
        <v>2164</v>
      </c>
      <c r="AH34" s="158">
        <v>17232</v>
      </c>
      <c r="AI34" s="32">
        <v>692</v>
      </c>
      <c r="AJ34" s="32">
        <v>45760</v>
      </c>
      <c r="AK34" s="32">
        <v>618207</v>
      </c>
      <c r="AL34" s="107">
        <v>37516</v>
      </c>
      <c r="AM34" s="3"/>
    </row>
    <row r="35" spans="1:39" ht="15" customHeight="1" x14ac:dyDescent="0.2">
      <c r="A35" s="323" t="s">
        <v>35</v>
      </c>
      <c r="B35" s="3" t="s">
        <v>293</v>
      </c>
      <c r="C35" s="32">
        <v>1524</v>
      </c>
      <c r="D35" s="32">
        <v>90</v>
      </c>
      <c r="E35" s="324">
        <v>1.0785576060078517</v>
      </c>
      <c r="F35" s="158">
        <v>1643.7</v>
      </c>
      <c r="G35" s="32">
        <v>10680133</v>
      </c>
      <c r="H35" s="32">
        <v>30000</v>
      </c>
      <c r="I35" s="32">
        <v>10710133</v>
      </c>
      <c r="J35" s="32">
        <v>978</v>
      </c>
      <c r="K35" s="158">
        <v>28614.554373999927</v>
      </c>
      <c r="L35" s="107">
        <v>169110.5</v>
      </c>
      <c r="M35" s="32"/>
      <c r="N35" s="323" t="s">
        <v>35</v>
      </c>
      <c r="O35" s="3" t="s">
        <v>293</v>
      </c>
      <c r="P35" s="158">
        <v>127007.05750000043</v>
      </c>
      <c r="Q35" s="158">
        <v>155621.6</v>
      </c>
      <c r="R35" s="32">
        <v>4104618</v>
      </c>
      <c r="S35" s="32">
        <v>1371</v>
      </c>
      <c r="T35" s="158">
        <v>3626.6</v>
      </c>
      <c r="U35" s="32">
        <v>1669287</v>
      </c>
      <c r="V35" s="32">
        <v>14701</v>
      </c>
      <c r="W35" s="158">
        <v>22465.5</v>
      </c>
      <c r="X35" s="32">
        <v>109998</v>
      </c>
      <c r="Y35" s="107">
        <v>32517</v>
      </c>
      <c r="Z35" s="32"/>
      <c r="AA35" s="323" t="s">
        <v>35</v>
      </c>
      <c r="AB35" s="3" t="s">
        <v>293</v>
      </c>
      <c r="AC35" s="158">
        <v>114622</v>
      </c>
      <c r="AD35" s="32">
        <v>277504</v>
      </c>
      <c r="AE35" s="32">
        <v>1118158</v>
      </c>
      <c r="AF35" s="158">
        <v>2737889.7</v>
      </c>
      <c r="AG35" s="32">
        <v>157866</v>
      </c>
      <c r="AH35" s="158">
        <v>3016052.6</v>
      </c>
      <c r="AI35" s="32">
        <v>121164</v>
      </c>
      <c r="AJ35" s="32">
        <v>2335819</v>
      </c>
      <c r="AK35" s="32">
        <v>17150570</v>
      </c>
      <c r="AL35" s="107">
        <v>0</v>
      </c>
      <c r="AM35" s="3"/>
    </row>
    <row r="36" spans="1:39" ht="15" customHeight="1" x14ac:dyDescent="0.2">
      <c r="A36" s="323" t="s">
        <v>36</v>
      </c>
      <c r="B36" s="3" t="s">
        <v>292</v>
      </c>
      <c r="C36" s="32">
        <v>85</v>
      </c>
      <c r="D36" s="32">
        <v>0</v>
      </c>
      <c r="E36" s="324">
        <v>0.75812085917411554</v>
      </c>
      <c r="F36" s="158">
        <v>64.400000000000006</v>
      </c>
      <c r="G36" s="32">
        <v>418447</v>
      </c>
      <c r="H36" s="32">
        <v>0</v>
      </c>
      <c r="I36" s="32">
        <v>418447</v>
      </c>
      <c r="J36" s="32">
        <v>79</v>
      </c>
      <c r="K36" s="158">
        <v>1378.0259139999989</v>
      </c>
      <c r="L36" s="107">
        <v>9959.9925900000235</v>
      </c>
      <c r="M36" s="32"/>
      <c r="N36" s="323" t="s">
        <v>36</v>
      </c>
      <c r="O36" s="3" t="s">
        <v>292</v>
      </c>
      <c r="P36" s="158">
        <v>5049.7162431299912</v>
      </c>
      <c r="Q36" s="158">
        <v>6427.7</v>
      </c>
      <c r="R36" s="32">
        <v>169535</v>
      </c>
      <c r="S36" s="32">
        <v>87</v>
      </c>
      <c r="T36" s="158">
        <v>206.1</v>
      </c>
      <c r="U36" s="32">
        <v>94866</v>
      </c>
      <c r="V36" s="32">
        <v>984</v>
      </c>
      <c r="W36" s="158">
        <v>1597.6</v>
      </c>
      <c r="X36" s="32">
        <v>7822</v>
      </c>
      <c r="Y36" s="107">
        <v>2136</v>
      </c>
      <c r="Z36" s="32"/>
      <c r="AA36" s="323" t="s">
        <v>36</v>
      </c>
      <c r="AB36" s="3" t="s">
        <v>292</v>
      </c>
      <c r="AC36" s="158">
        <v>11651.6</v>
      </c>
      <c r="AD36" s="32">
        <v>28209</v>
      </c>
      <c r="AE36" s="32">
        <v>52917</v>
      </c>
      <c r="AF36" s="158">
        <v>125352.2</v>
      </c>
      <c r="AG36" s="32">
        <v>7228</v>
      </c>
      <c r="AH36" s="158">
        <v>28874</v>
      </c>
      <c r="AI36" s="32">
        <v>1160</v>
      </c>
      <c r="AJ36" s="32">
        <v>139285</v>
      </c>
      <c r="AK36" s="32">
        <v>727267</v>
      </c>
      <c r="AL36" s="107">
        <v>23031</v>
      </c>
      <c r="AM36" s="3"/>
    </row>
    <row r="37" spans="1:39" ht="15" customHeight="1" x14ac:dyDescent="0.2">
      <c r="A37" s="323" t="s">
        <v>37</v>
      </c>
      <c r="B37" s="3" t="s">
        <v>289</v>
      </c>
      <c r="C37" s="32">
        <v>57</v>
      </c>
      <c r="D37" s="32">
        <v>0</v>
      </c>
      <c r="E37" s="324">
        <v>1.4742633347531799</v>
      </c>
      <c r="F37" s="158">
        <v>84</v>
      </c>
      <c r="G37" s="32">
        <v>545800</v>
      </c>
      <c r="H37" s="32">
        <v>0</v>
      </c>
      <c r="I37" s="32">
        <v>545800</v>
      </c>
      <c r="J37" s="32">
        <v>13</v>
      </c>
      <c r="K37" s="158">
        <v>972.36032400000022</v>
      </c>
      <c r="L37" s="107">
        <v>2888</v>
      </c>
      <c r="M37" s="32"/>
      <c r="N37" s="323" t="s">
        <v>37</v>
      </c>
      <c r="O37" s="3" t="s">
        <v>289</v>
      </c>
      <c r="P37" s="158">
        <v>3917.28</v>
      </c>
      <c r="Q37" s="158">
        <v>4889.6000000000004</v>
      </c>
      <c r="R37" s="32">
        <v>128966</v>
      </c>
      <c r="S37" s="32">
        <v>37</v>
      </c>
      <c r="T37" s="158">
        <v>126.5</v>
      </c>
      <c r="U37" s="32">
        <v>58227</v>
      </c>
      <c r="V37" s="32">
        <v>132</v>
      </c>
      <c r="W37" s="158">
        <v>257.39999999999998</v>
      </c>
      <c r="X37" s="32">
        <v>1260</v>
      </c>
      <c r="Y37" s="107">
        <v>259</v>
      </c>
      <c r="Z37" s="32"/>
      <c r="AA37" s="323" t="s">
        <v>37</v>
      </c>
      <c r="AB37" s="3" t="s">
        <v>289</v>
      </c>
      <c r="AC37" s="158">
        <v>1499.1</v>
      </c>
      <c r="AD37" s="32">
        <v>3629</v>
      </c>
      <c r="AE37" s="32">
        <v>12734</v>
      </c>
      <c r="AF37" s="158">
        <v>30594.9</v>
      </c>
      <c r="AG37" s="32">
        <v>1764</v>
      </c>
      <c r="AH37" s="158">
        <v>0</v>
      </c>
      <c r="AI37" s="32">
        <v>0</v>
      </c>
      <c r="AJ37" s="32">
        <v>64880</v>
      </c>
      <c r="AK37" s="32">
        <v>739646</v>
      </c>
      <c r="AL37" s="107">
        <v>0</v>
      </c>
      <c r="AM37" s="3"/>
    </row>
    <row r="38" spans="1:39" ht="15" customHeight="1" x14ac:dyDescent="0.2">
      <c r="A38" s="323" t="s">
        <v>38</v>
      </c>
      <c r="B38" s="3" t="s">
        <v>288</v>
      </c>
      <c r="C38" s="32">
        <v>2733</v>
      </c>
      <c r="D38" s="32">
        <v>55</v>
      </c>
      <c r="E38" s="324">
        <v>1.1591012553664763</v>
      </c>
      <c r="F38" s="158">
        <v>3167.8</v>
      </c>
      <c r="G38" s="32">
        <v>20583151</v>
      </c>
      <c r="H38" s="32">
        <v>46000</v>
      </c>
      <c r="I38" s="32">
        <v>20629151</v>
      </c>
      <c r="J38" s="32">
        <v>1048</v>
      </c>
      <c r="K38" s="158">
        <v>52025.898665999586</v>
      </c>
      <c r="L38" s="107">
        <v>195848</v>
      </c>
      <c r="M38" s="32"/>
      <c r="N38" s="323" t="s">
        <v>38</v>
      </c>
      <c r="O38" s="3" t="s">
        <v>288</v>
      </c>
      <c r="P38" s="158">
        <v>182216.06250000076</v>
      </c>
      <c r="Q38" s="158">
        <v>234242</v>
      </c>
      <c r="R38" s="32">
        <v>6178281</v>
      </c>
      <c r="S38" s="32">
        <v>1733</v>
      </c>
      <c r="T38" s="158">
        <v>5444.9</v>
      </c>
      <c r="U38" s="32">
        <v>2506232</v>
      </c>
      <c r="V38" s="32">
        <v>14477</v>
      </c>
      <c r="W38" s="158">
        <v>26412</v>
      </c>
      <c r="X38" s="32">
        <v>129321</v>
      </c>
      <c r="Y38" s="107">
        <v>27460</v>
      </c>
      <c r="Z38" s="32"/>
      <c r="AA38" s="323" t="s">
        <v>38</v>
      </c>
      <c r="AB38" s="3" t="s">
        <v>288</v>
      </c>
      <c r="AC38" s="158">
        <v>141217.9</v>
      </c>
      <c r="AD38" s="32">
        <v>341894</v>
      </c>
      <c r="AE38" s="32">
        <v>3172127</v>
      </c>
      <c r="AF38" s="158">
        <v>7249150.2000000002</v>
      </c>
      <c r="AG38" s="32">
        <v>417984</v>
      </c>
      <c r="AH38" s="158">
        <v>3832215.3</v>
      </c>
      <c r="AI38" s="32">
        <v>153952</v>
      </c>
      <c r="AJ38" s="32">
        <v>3549383</v>
      </c>
      <c r="AK38" s="32">
        <v>30356815</v>
      </c>
      <c r="AL38" s="107">
        <v>0</v>
      </c>
      <c r="AM38" s="3"/>
    </row>
    <row r="39" spans="1:39" ht="15" customHeight="1" x14ac:dyDescent="0.2">
      <c r="A39" s="323" t="s">
        <v>39</v>
      </c>
      <c r="B39" s="3" t="s">
        <v>287</v>
      </c>
      <c r="C39" s="32">
        <v>136</v>
      </c>
      <c r="D39" s="32">
        <v>0</v>
      </c>
      <c r="E39" s="324">
        <v>0.72540000000001725</v>
      </c>
      <c r="F39" s="158">
        <v>98.7</v>
      </c>
      <c r="G39" s="32">
        <v>641315</v>
      </c>
      <c r="H39" s="32">
        <v>0</v>
      </c>
      <c r="I39" s="32">
        <v>641315</v>
      </c>
      <c r="J39" s="32">
        <v>176</v>
      </c>
      <c r="K39" s="158">
        <v>2263.249666000007</v>
      </c>
      <c r="L39" s="107">
        <v>17519.97372000002</v>
      </c>
      <c r="M39" s="32"/>
      <c r="N39" s="323" t="s">
        <v>39</v>
      </c>
      <c r="O39" s="3" t="s">
        <v>287</v>
      </c>
      <c r="P39" s="158">
        <v>8882.6266760400431</v>
      </c>
      <c r="Q39" s="158">
        <v>11145.9</v>
      </c>
      <c r="R39" s="32">
        <v>293980</v>
      </c>
      <c r="S39" s="32">
        <v>128</v>
      </c>
      <c r="T39" s="158">
        <v>224.5</v>
      </c>
      <c r="U39" s="32">
        <v>103335</v>
      </c>
      <c r="V39" s="32">
        <v>3092</v>
      </c>
      <c r="W39" s="158">
        <v>3637.6</v>
      </c>
      <c r="X39" s="32">
        <v>17811</v>
      </c>
      <c r="Y39" s="107">
        <v>7288</v>
      </c>
      <c r="Z39" s="32"/>
      <c r="AA39" s="323" t="s">
        <v>39</v>
      </c>
      <c r="AB39" s="3" t="s">
        <v>287</v>
      </c>
      <c r="AC39" s="158">
        <v>26871</v>
      </c>
      <c r="AD39" s="32">
        <v>65056</v>
      </c>
      <c r="AE39" s="32">
        <v>901438</v>
      </c>
      <c r="AF39" s="158">
        <v>2048164.1</v>
      </c>
      <c r="AG39" s="32">
        <v>118097</v>
      </c>
      <c r="AH39" s="158">
        <v>1963301</v>
      </c>
      <c r="AI39" s="32">
        <v>78872</v>
      </c>
      <c r="AJ39" s="32">
        <v>383171</v>
      </c>
      <c r="AK39" s="32">
        <v>1318466</v>
      </c>
      <c r="AL39" s="107">
        <v>38623</v>
      </c>
      <c r="AM39" s="3"/>
    </row>
    <row r="40" spans="1:39" ht="15" customHeight="1" x14ac:dyDescent="0.2">
      <c r="A40" s="323" t="s">
        <v>441</v>
      </c>
      <c r="B40" s="3" t="s">
        <v>286</v>
      </c>
      <c r="C40" s="32">
        <v>6354</v>
      </c>
      <c r="D40" s="32">
        <v>360</v>
      </c>
      <c r="E40" s="324">
        <v>1.0983715323503576</v>
      </c>
      <c r="F40" s="158">
        <v>6979.1</v>
      </c>
      <c r="G40" s="32">
        <v>45347518</v>
      </c>
      <c r="H40" s="32">
        <v>97000</v>
      </c>
      <c r="I40" s="32">
        <v>45444518</v>
      </c>
      <c r="J40" s="32">
        <v>2447</v>
      </c>
      <c r="K40" s="158">
        <v>112354.77399599805</v>
      </c>
      <c r="L40" s="107">
        <v>482120.5</v>
      </c>
      <c r="M40" s="32"/>
      <c r="N40" s="323" t="s">
        <v>441</v>
      </c>
      <c r="O40" s="3" t="s">
        <v>286</v>
      </c>
      <c r="P40" s="158">
        <v>437516.48749999603</v>
      </c>
      <c r="Q40" s="158">
        <v>549871.30000000005</v>
      </c>
      <c r="R40" s="32">
        <v>14503204</v>
      </c>
      <c r="S40" s="32">
        <v>3941</v>
      </c>
      <c r="T40" s="158">
        <v>12292.7</v>
      </c>
      <c r="U40" s="32">
        <v>5658204</v>
      </c>
      <c r="V40" s="32">
        <v>19789</v>
      </c>
      <c r="W40" s="158">
        <v>44595</v>
      </c>
      <c r="X40" s="32">
        <v>218351</v>
      </c>
      <c r="Y40" s="107">
        <v>59201</v>
      </c>
      <c r="Z40" s="32"/>
      <c r="AA40" s="323" t="s">
        <v>441</v>
      </c>
      <c r="AB40" s="3" t="s">
        <v>286</v>
      </c>
      <c r="AC40" s="158">
        <v>331098</v>
      </c>
      <c r="AD40" s="32">
        <v>801601</v>
      </c>
      <c r="AE40" s="32">
        <v>5534733</v>
      </c>
      <c r="AF40" s="158">
        <v>13172600.6</v>
      </c>
      <c r="AG40" s="32">
        <v>759528</v>
      </c>
      <c r="AH40" s="158">
        <v>5886968</v>
      </c>
      <c r="AI40" s="32">
        <v>236498</v>
      </c>
      <c r="AJ40" s="32">
        <v>7674182</v>
      </c>
      <c r="AK40" s="32">
        <v>67621904</v>
      </c>
      <c r="AL40" s="107">
        <v>0</v>
      </c>
      <c r="AM40" s="3"/>
    </row>
    <row r="41" spans="1:39" ht="15" customHeight="1" x14ac:dyDescent="0.2">
      <c r="A41" s="323" t="s">
        <v>40</v>
      </c>
      <c r="B41" s="3" t="s">
        <v>291</v>
      </c>
      <c r="C41" s="32">
        <v>195</v>
      </c>
      <c r="D41" s="32">
        <v>0</v>
      </c>
      <c r="E41" s="324">
        <v>0.93447862688310612</v>
      </c>
      <c r="F41" s="158">
        <v>182.2</v>
      </c>
      <c r="G41" s="32">
        <v>1183866</v>
      </c>
      <c r="H41" s="32">
        <v>8000</v>
      </c>
      <c r="I41" s="32">
        <v>1191866</v>
      </c>
      <c r="J41" s="32">
        <v>119</v>
      </c>
      <c r="K41" s="158">
        <v>3159.0895679999967</v>
      </c>
      <c r="L41" s="107">
        <v>22439.981016000165</v>
      </c>
      <c r="M41" s="32"/>
      <c r="N41" s="323" t="s">
        <v>40</v>
      </c>
      <c r="O41" s="3" t="s">
        <v>291</v>
      </c>
      <c r="P41" s="158">
        <v>16704.479922633003</v>
      </c>
      <c r="Q41" s="158">
        <v>19863.599999999999</v>
      </c>
      <c r="R41" s="32">
        <v>523915</v>
      </c>
      <c r="S41" s="32">
        <v>166</v>
      </c>
      <c r="T41" s="158">
        <v>443.3</v>
      </c>
      <c r="U41" s="32">
        <v>204046</v>
      </c>
      <c r="V41" s="32">
        <v>2218</v>
      </c>
      <c r="W41" s="158">
        <v>3725.5</v>
      </c>
      <c r="X41" s="32">
        <v>18241</v>
      </c>
      <c r="Y41" s="107">
        <v>4263</v>
      </c>
      <c r="Z41" s="32"/>
      <c r="AA41" s="323" t="s">
        <v>40</v>
      </c>
      <c r="AB41" s="3" t="s">
        <v>291</v>
      </c>
      <c r="AC41" s="158">
        <v>19361.099999999999</v>
      </c>
      <c r="AD41" s="32">
        <v>46874</v>
      </c>
      <c r="AE41" s="32">
        <v>560484</v>
      </c>
      <c r="AF41" s="158">
        <v>1226354</v>
      </c>
      <c r="AG41" s="32">
        <v>70711</v>
      </c>
      <c r="AH41" s="158">
        <v>872880.3</v>
      </c>
      <c r="AI41" s="32">
        <v>35066</v>
      </c>
      <c r="AJ41" s="32">
        <v>374938</v>
      </c>
      <c r="AK41" s="32">
        <v>2090719</v>
      </c>
      <c r="AL41" s="107">
        <v>99117</v>
      </c>
      <c r="AM41" s="3"/>
    </row>
    <row r="42" spans="1:39" ht="15" customHeight="1" x14ac:dyDescent="0.2">
      <c r="A42" s="323" t="s">
        <v>41</v>
      </c>
      <c r="B42" s="3" t="s">
        <v>290</v>
      </c>
      <c r="C42" s="32">
        <v>121</v>
      </c>
      <c r="D42" s="32">
        <v>0</v>
      </c>
      <c r="E42" s="324">
        <v>1.1131497611046373</v>
      </c>
      <c r="F42" s="158">
        <v>134.69999999999999</v>
      </c>
      <c r="G42" s="32">
        <v>875229</v>
      </c>
      <c r="H42" s="32">
        <v>0</v>
      </c>
      <c r="I42" s="32">
        <v>875229</v>
      </c>
      <c r="J42" s="32">
        <v>46</v>
      </c>
      <c r="K42" s="158">
        <v>3497.2190820000001</v>
      </c>
      <c r="L42" s="107">
        <v>8788</v>
      </c>
      <c r="M42" s="32"/>
      <c r="N42" s="323" t="s">
        <v>41</v>
      </c>
      <c r="O42" s="3" t="s">
        <v>290</v>
      </c>
      <c r="P42" s="158">
        <v>9427.3900000000067</v>
      </c>
      <c r="Q42" s="158">
        <v>12924.6</v>
      </c>
      <c r="R42" s="32">
        <v>340895</v>
      </c>
      <c r="S42" s="32">
        <v>47</v>
      </c>
      <c r="T42" s="158">
        <v>193.7</v>
      </c>
      <c r="U42" s="32">
        <v>89158</v>
      </c>
      <c r="V42" s="32">
        <v>949</v>
      </c>
      <c r="W42" s="158">
        <v>1104.3</v>
      </c>
      <c r="X42" s="32">
        <v>5407</v>
      </c>
      <c r="Y42" s="107">
        <v>1767</v>
      </c>
      <c r="Z42" s="32"/>
      <c r="AA42" s="323" t="s">
        <v>41</v>
      </c>
      <c r="AB42" s="3" t="s">
        <v>290</v>
      </c>
      <c r="AC42" s="158">
        <v>7264.3</v>
      </c>
      <c r="AD42" s="32">
        <v>17587</v>
      </c>
      <c r="AE42" s="32">
        <v>216072</v>
      </c>
      <c r="AF42" s="158">
        <v>390364.7</v>
      </c>
      <c r="AG42" s="32">
        <v>22508</v>
      </c>
      <c r="AH42" s="158">
        <v>260716</v>
      </c>
      <c r="AI42" s="32">
        <v>10474</v>
      </c>
      <c r="AJ42" s="32">
        <v>145134</v>
      </c>
      <c r="AK42" s="32">
        <v>1361258</v>
      </c>
      <c r="AL42" s="107">
        <v>58895</v>
      </c>
      <c r="AM42" s="3"/>
    </row>
    <row r="43" spans="1:39" ht="15" customHeight="1" x14ac:dyDescent="0.2">
      <c r="A43" s="323" t="s">
        <v>42</v>
      </c>
      <c r="B43" s="3" t="s">
        <v>285</v>
      </c>
      <c r="C43" s="32">
        <v>567</v>
      </c>
      <c r="D43" s="32">
        <v>15</v>
      </c>
      <c r="E43" s="324">
        <v>1.2815893741694033</v>
      </c>
      <c r="F43" s="158">
        <v>726.7</v>
      </c>
      <c r="G43" s="32">
        <v>4721818</v>
      </c>
      <c r="H43" s="32">
        <v>5000</v>
      </c>
      <c r="I43" s="32">
        <v>4726818</v>
      </c>
      <c r="J43" s="32">
        <v>174</v>
      </c>
      <c r="K43" s="158">
        <v>12454.981865999993</v>
      </c>
      <c r="L43" s="107">
        <v>32417</v>
      </c>
      <c r="M43" s="32"/>
      <c r="N43" s="323" t="s">
        <v>42</v>
      </c>
      <c r="O43" s="3" t="s">
        <v>285</v>
      </c>
      <c r="P43" s="158">
        <v>34478.520000000019</v>
      </c>
      <c r="Q43" s="158">
        <v>46933.5</v>
      </c>
      <c r="R43" s="32">
        <v>1237901</v>
      </c>
      <c r="S43" s="32">
        <v>349</v>
      </c>
      <c r="T43" s="158">
        <v>1135.7</v>
      </c>
      <c r="U43" s="32">
        <v>522751</v>
      </c>
      <c r="V43" s="32">
        <v>2054</v>
      </c>
      <c r="W43" s="158">
        <v>4084.4</v>
      </c>
      <c r="X43" s="32">
        <v>19998</v>
      </c>
      <c r="Y43" s="107">
        <v>3773</v>
      </c>
      <c r="Z43" s="32"/>
      <c r="AA43" s="323" t="s">
        <v>42</v>
      </c>
      <c r="AB43" s="3" t="s">
        <v>285</v>
      </c>
      <c r="AC43" s="158">
        <v>22095.4</v>
      </c>
      <c r="AD43" s="32">
        <v>53494</v>
      </c>
      <c r="AE43" s="32">
        <v>505807</v>
      </c>
      <c r="AF43" s="158">
        <v>1131505.7</v>
      </c>
      <c r="AG43" s="32">
        <v>65242</v>
      </c>
      <c r="AH43" s="158">
        <v>462682</v>
      </c>
      <c r="AI43" s="32">
        <v>18587</v>
      </c>
      <c r="AJ43" s="32">
        <v>680072</v>
      </c>
      <c r="AK43" s="32">
        <v>6644791</v>
      </c>
      <c r="AL43" s="107">
        <v>0</v>
      </c>
      <c r="AM43" s="3"/>
    </row>
    <row r="44" spans="1:39" ht="15" customHeight="1" x14ac:dyDescent="0.2">
      <c r="A44" s="323" t="s">
        <v>43</v>
      </c>
      <c r="B44" s="3" t="s">
        <v>284</v>
      </c>
      <c r="C44" s="32">
        <v>2829</v>
      </c>
      <c r="D44" s="32">
        <v>110</v>
      </c>
      <c r="E44" s="324">
        <v>1.0856684312197564</v>
      </c>
      <c r="F44" s="158">
        <v>3071.4</v>
      </c>
      <c r="G44" s="32">
        <v>19956781</v>
      </c>
      <c r="H44" s="32">
        <v>68000</v>
      </c>
      <c r="I44" s="32">
        <v>20024781</v>
      </c>
      <c r="J44" s="32">
        <v>1065</v>
      </c>
      <c r="K44" s="158">
        <v>46293.401939999952</v>
      </c>
      <c r="L44" s="107">
        <v>195696.5</v>
      </c>
      <c r="M44" s="32"/>
      <c r="N44" s="323" t="s">
        <v>43</v>
      </c>
      <c r="O44" s="3" t="s">
        <v>284</v>
      </c>
      <c r="P44" s="158">
        <v>172021.21250000046</v>
      </c>
      <c r="Q44" s="158">
        <v>218314.6</v>
      </c>
      <c r="R44" s="32">
        <v>5758186</v>
      </c>
      <c r="S44" s="32">
        <v>1744</v>
      </c>
      <c r="T44" s="158">
        <v>4945.8999999999996</v>
      </c>
      <c r="U44" s="32">
        <v>2276547</v>
      </c>
      <c r="V44" s="32">
        <v>13630</v>
      </c>
      <c r="W44" s="158">
        <v>26667.599999999999</v>
      </c>
      <c r="X44" s="32">
        <v>130573</v>
      </c>
      <c r="Y44" s="107">
        <v>31384</v>
      </c>
      <c r="Z44" s="32"/>
      <c r="AA44" s="323" t="s">
        <v>43</v>
      </c>
      <c r="AB44" s="3" t="s">
        <v>284</v>
      </c>
      <c r="AC44" s="158">
        <v>169446.5</v>
      </c>
      <c r="AD44" s="32">
        <v>410237</v>
      </c>
      <c r="AE44" s="32">
        <v>4690868</v>
      </c>
      <c r="AF44" s="158">
        <v>11144411.6</v>
      </c>
      <c r="AG44" s="32">
        <v>642584</v>
      </c>
      <c r="AH44" s="158">
        <v>7739992.9000000004</v>
      </c>
      <c r="AI44" s="32">
        <v>310939</v>
      </c>
      <c r="AJ44" s="32">
        <v>3770880</v>
      </c>
      <c r="AK44" s="32">
        <v>29553847</v>
      </c>
      <c r="AL44" s="107">
        <v>0</v>
      </c>
      <c r="AM44" s="3"/>
    </row>
    <row r="45" spans="1:39" ht="15" customHeight="1" x14ac:dyDescent="0.2">
      <c r="A45" s="323" t="s">
        <v>149</v>
      </c>
      <c r="B45" s="3" t="s">
        <v>283</v>
      </c>
      <c r="C45" s="32">
        <v>88</v>
      </c>
      <c r="D45" s="32">
        <v>0</v>
      </c>
      <c r="E45" s="324">
        <v>1.1474193133831894</v>
      </c>
      <c r="F45" s="158">
        <v>101</v>
      </c>
      <c r="G45" s="32">
        <v>656259</v>
      </c>
      <c r="H45" s="32">
        <v>5000</v>
      </c>
      <c r="I45" s="32">
        <v>661259</v>
      </c>
      <c r="J45" s="32">
        <v>46</v>
      </c>
      <c r="K45" s="158">
        <v>988.84861400000011</v>
      </c>
      <c r="L45" s="107">
        <v>9390</v>
      </c>
      <c r="M45" s="32"/>
      <c r="N45" s="323" t="s">
        <v>149</v>
      </c>
      <c r="O45" s="3" t="s">
        <v>283</v>
      </c>
      <c r="P45" s="158">
        <v>7616.8499999999985</v>
      </c>
      <c r="Q45" s="158">
        <v>8605.7000000000007</v>
      </c>
      <c r="R45" s="32">
        <v>226981</v>
      </c>
      <c r="S45" s="32">
        <v>98</v>
      </c>
      <c r="T45" s="158">
        <v>253.4</v>
      </c>
      <c r="U45" s="32">
        <v>116637</v>
      </c>
      <c r="V45" s="32">
        <v>1062</v>
      </c>
      <c r="W45" s="158">
        <v>1250.4000000000001</v>
      </c>
      <c r="X45" s="32">
        <v>6122</v>
      </c>
      <c r="Y45" s="107">
        <v>2532</v>
      </c>
      <c r="Z45" s="32"/>
      <c r="AA45" s="323" t="s">
        <v>149</v>
      </c>
      <c r="AB45" s="3" t="s">
        <v>283</v>
      </c>
      <c r="AC45" s="158">
        <v>9098</v>
      </c>
      <c r="AD45" s="32">
        <v>22027</v>
      </c>
      <c r="AE45" s="32">
        <v>230031</v>
      </c>
      <c r="AF45" s="158">
        <v>435925.6</v>
      </c>
      <c r="AG45" s="32">
        <v>25135</v>
      </c>
      <c r="AH45" s="158">
        <v>207146</v>
      </c>
      <c r="AI45" s="32">
        <v>8322</v>
      </c>
      <c r="AJ45" s="32">
        <v>178243</v>
      </c>
      <c r="AK45" s="32">
        <v>1066483</v>
      </c>
      <c r="AL45" s="107">
        <v>48432</v>
      </c>
      <c r="AM45" s="3"/>
    </row>
    <row r="46" spans="1:39" ht="15" customHeight="1" x14ac:dyDescent="0.2">
      <c r="A46" s="323" t="s">
        <v>45</v>
      </c>
      <c r="B46" s="3" t="s">
        <v>282</v>
      </c>
      <c r="C46" s="32">
        <v>86</v>
      </c>
      <c r="D46" s="32">
        <v>0</v>
      </c>
      <c r="E46" s="324">
        <v>1.3329663398503635</v>
      </c>
      <c r="F46" s="158">
        <v>114.6</v>
      </c>
      <c r="G46" s="32">
        <v>744627</v>
      </c>
      <c r="H46" s="32">
        <v>0</v>
      </c>
      <c r="I46" s="32">
        <v>744627</v>
      </c>
      <c r="J46" s="32">
        <v>28</v>
      </c>
      <c r="K46" s="158">
        <v>1664.0996220000011</v>
      </c>
      <c r="L46" s="107">
        <v>5375</v>
      </c>
      <c r="M46" s="32"/>
      <c r="N46" s="323" t="s">
        <v>45</v>
      </c>
      <c r="O46" s="3" t="s">
        <v>282</v>
      </c>
      <c r="P46" s="158">
        <v>5586.2499999999991</v>
      </c>
      <c r="Q46" s="158">
        <v>7250.3</v>
      </c>
      <c r="R46" s="32">
        <v>191231</v>
      </c>
      <c r="S46" s="32">
        <v>73</v>
      </c>
      <c r="T46" s="158">
        <v>199</v>
      </c>
      <c r="U46" s="32">
        <v>91598</v>
      </c>
      <c r="V46" s="32">
        <v>441</v>
      </c>
      <c r="W46" s="158">
        <v>943</v>
      </c>
      <c r="X46" s="32">
        <v>4617</v>
      </c>
      <c r="Y46" s="107">
        <v>1190</v>
      </c>
      <c r="Z46" s="32"/>
      <c r="AA46" s="323" t="s">
        <v>45</v>
      </c>
      <c r="AB46" s="3" t="s">
        <v>282</v>
      </c>
      <c r="AC46" s="158">
        <v>5493.3</v>
      </c>
      <c r="AD46" s="32">
        <v>13299</v>
      </c>
      <c r="AE46" s="32">
        <v>188199</v>
      </c>
      <c r="AF46" s="158">
        <v>378915.8</v>
      </c>
      <c r="AG46" s="32">
        <v>21848</v>
      </c>
      <c r="AH46" s="158">
        <v>85069</v>
      </c>
      <c r="AI46" s="32">
        <v>3417</v>
      </c>
      <c r="AJ46" s="32">
        <v>134779</v>
      </c>
      <c r="AK46" s="32">
        <v>1070637</v>
      </c>
      <c r="AL46" s="107">
        <v>48613</v>
      </c>
      <c r="AM46" s="3"/>
    </row>
    <row r="47" spans="1:39" ht="15" customHeight="1" x14ac:dyDescent="0.2">
      <c r="A47" s="323" t="s">
        <v>46</v>
      </c>
      <c r="B47" s="3" t="s">
        <v>281</v>
      </c>
      <c r="C47" s="32">
        <v>63</v>
      </c>
      <c r="D47" s="32">
        <v>0</v>
      </c>
      <c r="E47" s="324">
        <v>0.91857405832752048</v>
      </c>
      <c r="F47" s="158">
        <v>57.9</v>
      </c>
      <c r="G47" s="32">
        <v>376212</v>
      </c>
      <c r="H47" s="32">
        <v>0</v>
      </c>
      <c r="I47" s="32">
        <v>376212</v>
      </c>
      <c r="J47" s="32">
        <v>12</v>
      </c>
      <c r="K47" s="158">
        <v>204.28214400000005</v>
      </c>
      <c r="L47" s="107">
        <v>2540</v>
      </c>
      <c r="M47" s="32"/>
      <c r="N47" s="323" t="s">
        <v>46</v>
      </c>
      <c r="O47" s="3" t="s">
        <v>281</v>
      </c>
      <c r="P47" s="158">
        <v>1601.47</v>
      </c>
      <c r="Q47" s="158">
        <v>1805.8</v>
      </c>
      <c r="R47" s="32">
        <v>47629</v>
      </c>
      <c r="S47" s="32">
        <v>13</v>
      </c>
      <c r="T47" s="158">
        <v>35.6</v>
      </c>
      <c r="U47" s="32">
        <v>16386</v>
      </c>
      <c r="V47" s="32">
        <v>200</v>
      </c>
      <c r="W47" s="158">
        <v>326.5</v>
      </c>
      <c r="X47" s="32">
        <v>1599</v>
      </c>
      <c r="Y47" s="107">
        <v>449</v>
      </c>
      <c r="Z47" s="32"/>
      <c r="AA47" s="323" t="s">
        <v>46</v>
      </c>
      <c r="AB47" s="3" t="s">
        <v>281</v>
      </c>
      <c r="AC47" s="158">
        <v>1901.7</v>
      </c>
      <c r="AD47" s="32">
        <v>4604</v>
      </c>
      <c r="AE47" s="32">
        <v>15104</v>
      </c>
      <c r="AF47" s="158">
        <v>35297.4</v>
      </c>
      <c r="AG47" s="32">
        <v>2035</v>
      </c>
      <c r="AH47" s="158">
        <v>17028</v>
      </c>
      <c r="AI47" s="32">
        <v>684</v>
      </c>
      <c r="AJ47" s="32">
        <v>25308</v>
      </c>
      <c r="AK47" s="32">
        <v>449149</v>
      </c>
      <c r="AL47" s="107">
        <v>0</v>
      </c>
      <c r="AM47" s="3"/>
    </row>
    <row r="48" spans="1:39" ht="15" customHeight="1" x14ac:dyDescent="0.2">
      <c r="A48" s="323" t="s">
        <v>47</v>
      </c>
      <c r="B48" s="3" t="s">
        <v>280</v>
      </c>
      <c r="C48" s="32">
        <v>23</v>
      </c>
      <c r="D48" s="32">
        <v>0</v>
      </c>
      <c r="E48" s="324">
        <v>0.72738502042669018</v>
      </c>
      <c r="F48" s="158">
        <v>16.7</v>
      </c>
      <c r="G48" s="32">
        <v>108510</v>
      </c>
      <c r="H48" s="32">
        <v>0</v>
      </c>
      <c r="I48" s="32">
        <v>108510</v>
      </c>
      <c r="J48" s="32">
        <v>8</v>
      </c>
      <c r="K48" s="158">
        <v>100.38599999999998</v>
      </c>
      <c r="L48" s="107">
        <v>940</v>
      </c>
      <c r="M48" s="32"/>
      <c r="N48" s="323" t="s">
        <v>47</v>
      </c>
      <c r="O48" s="3" t="s">
        <v>280</v>
      </c>
      <c r="P48" s="158">
        <v>476.57999999999981</v>
      </c>
      <c r="Q48" s="158">
        <v>577</v>
      </c>
      <c r="R48" s="32">
        <v>15219</v>
      </c>
      <c r="S48" s="32">
        <v>15</v>
      </c>
      <c r="T48" s="158">
        <v>40.5</v>
      </c>
      <c r="U48" s="32">
        <v>18642</v>
      </c>
      <c r="V48" s="32">
        <v>166</v>
      </c>
      <c r="W48" s="158">
        <v>239.7</v>
      </c>
      <c r="X48" s="32">
        <v>1174</v>
      </c>
      <c r="Y48" s="107">
        <v>285</v>
      </c>
      <c r="Z48" s="32"/>
      <c r="AA48" s="323" t="s">
        <v>47</v>
      </c>
      <c r="AB48" s="3" t="s">
        <v>280</v>
      </c>
      <c r="AC48" s="158">
        <v>855</v>
      </c>
      <c r="AD48" s="32">
        <v>2070</v>
      </c>
      <c r="AE48" s="32">
        <v>29916</v>
      </c>
      <c r="AF48" s="158">
        <v>59781.1</v>
      </c>
      <c r="AG48" s="32">
        <v>3447</v>
      </c>
      <c r="AH48" s="158">
        <v>49290</v>
      </c>
      <c r="AI48" s="32">
        <v>1980</v>
      </c>
      <c r="AJ48" s="32">
        <v>27313</v>
      </c>
      <c r="AK48" s="32">
        <v>151042</v>
      </c>
      <c r="AL48" s="107">
        <v>8935</v>
      </c>
      <c r="AM48" s="3"/>
    </row>
    <row r="49" spans="1:39" ht="15" customHeight="1" x14ac:dyDescent="0.2">
      <c r="A49" s="323" t="s">
        <v>48</v>
      </c>
      <c r="B49" s="3" t="s">
        <v>278</v>
      </c>
      <c r="C49" s="32">
        <v>102</v>
      </c>
      <c r="D49" s="32">
        <v>0</v>
      </c>
      <c r="E49" s="324">
        <v>1.0549671766839501</v>
      </c>
      <c r="F49" s="158">
        <v>107.6</v>
      </c>
      <c r="G49" s="32">
        <v>699144</v>
      </c>
      <c r="H49" s="32">
        <v>0</v>
      </c>
      <c r="I49" s="32">
        <v>699144</v>
      </c>
      <c r="J49" s="32">
        <v>27</v>
      </c>
      <c r="K49" s="158">
        <v>1097.8197299999999</v>
      </c>
      <c r="L49" s="107">
        <v>4446</v>
      </c>
      <c r="M49" s="32"/>
      <c r="N49" s="323" t="s">
        <v>48</v>
      </c>
      <c r="O49" s="3" t="s">
        <v>278</v>
      </c>
      <c r="P49" s="158">
        <v>4588.579999999999</v>
      </c>
      <c r="Q49" s="158">
        <v>5686.4</v>
      </c>
      <c r="R49" s="32">
        <v>149982</v>
      </c>
      <c r="S49" s="32">
        <v>40</v>
      </c>
      <c r="T49" s="158">
        <v>103</v>
      </c>
      <c r="U49" s="32">
        <v>47410</v>
      </c>
      <c r="V49" s="32">
        <v>546</v>
      </c>
      <c r="W49" s="158">
        <v>604.5</v>
      </c>
      <c r="X49" s="32">
        <v>2960</v>
      </c>
      <c r="Y49" s="107">
        <v>499</v>
      </c>
      <c r="Z49" s="32"/>
      <c r="AA49" s="323" t="s">
        <v>48</v>
      </c>
      <c r="AB49" s="3" t="s">
        <v>278</v>
      </c>
      <c r="AC49" s="158">
        <v>2749.3</v>
      </c>
      <c r="AD49" s="32">
        <v>6656</v>
      </c>
      <c r="AE49" s="32">
        <v>45478</v>
      </c>
      <c r="AF49" s="158">
        <v>68910.399999999994</v>
      </c>
      <c r="AG49" s="32">
        <v>3973</v>
      </c>
      <c r="AH49" s="158">
        <v>53248</v>
      </c>
      <c r="AI49" s="32">
        <v>2139</v>
      </c>
      <c r="AJ49" s="32">
        <v>63138</v>
      </c>
      <c r="AK49" s="32">
        <v>912264</v>
      </c>
      <c r="AL49" s="107">
        <v>32280</v>
      </c>
      <c r="AM49" s="3"/>
    </row>
    <row r="50" spans="1:39" ht="15" customHeight="1" x14ac:dyDescent="0.2">
      <c r="A50" s="323" t="s">
        <v>49</v>
      </c>
      <c r="B50" s="3" t="s">
        <v>277</v>
      </c>
      <c r="C50" s="32">
        <v>2494</v>
      </c>
      <c r="D50" s="32">
        <v>150</v>
      </c>
      <c r="E50" s="324">
        <v>1.1433721595167501</v>
      </c>
      <c r="F50" s="158">
        <v>2851.6</v>
      </c>
      <c r="G50" s="32">
        <v>18528604</v>
      </c>
      <c r="H50" s="32">
        <v>32000</v>
      </c>
      <c r="I50" s="32">
        <v>18560604</v>
      </c>
      <c r="J50" s="32">
        <v>943</v>
      </c>
      <c r="K50" s="158">
        <v>44918.26756000008</v>
      </c>
      <c r="L50" s="107">
        <v>164830.5</v>
      </c>
      <c r="M50" s="32"/>
      <c r="N50" s="323" t="s">
        <v>49</v>
      </c>
      <c r="O50" s="3" t="s">
        <v>277</v>
      </c>
      <c r="P50" s="158">
        <v>155485.05000000066</v>
      </c>
      <c r="Q50" s="158">
        <v>200403.3</v>
      </c>
      <c r="R50" s="32">
        <v>5285764</v>
      </c>
      <c r="S50" s="32">
        <v>1406</v>
      </c>
      <c r="T50" s="158">
        <v>4281.8</v>
      </c>
      <c r="U50" s="32">
        <v>1970869</v>
      </c>
      <c r="V50" s="32">
        <v>13717</v>
      </c>
      <c r="W50" s="158">
        <v>25022</v>
      </c>
      <c r="X50" s="32">
        <v>122515</v>
      </c>
      <c r="Y50" s="107">
        <v>28102</v>
      </c>
      <c r="Z50" s="32"/>
      <c r="AA50" s="323" t="s">
        <v>49</v>
      </c>
      <c r="AB50" s="3" t="s">
        <v>277</v>
      </c>
      <c r="AC50" s="158">
        <v>126687.9</v>
      </c>
      <c r="AD50" s="32">
        <v>306716</v>
      </c>
      <c r="AE50" s="32">
        <v>2311973</v>
      </c>
      <c r="AF50" s="158">
        <v>5350574.3</v>
      </c>
      <c r="AG50" s="32">
        <v>308513</v>
      </c>
      <c r="AH50" s="158">
        <v>3209079</v>
      </c>
      <c r="AI50" s="32">
        <v>128919</v>
      </c>
      <c r="AJ50" s="32">
        <v>2837532</v>
      </c>
      <c r="AK50" s="32">
        <v>26683900</v>
      </c>
      <c r="AL50" s="107">
        <v>0</v>
      </c>
      <c r="AM50" s="3"/>
    </row>
    <row r="51" spans="1:39" ht="15" customHeight="1" x14ac:dyDescent="0.2">
      <c r="A51" s="323" t="s">
        <v>435</v>
      </c>
      <c r="B51" s="3" t="s">
        <v>267</v>
      </c>
      <c r="C51" s="32">
        <v>48</v>
      </c>
      <c r="D51" s="32">
        <v>0</v>
      </c>
      <c r="E51" s="324">
        <v>1.4740489378865278</v>
      </c>
      <c r="F51" s="158">
        <v>70.8</v>
      </c>
      <c r="G51" s="32">
        <v>460031</v>
      </c>
      <c r="H51" s="32">
        <v>0</v>
      </c>
      <c r="I51" s="32">
        <v>460031</v>
      </c>
      <c r="J51" s="32">
        <v>25</v>
      </c>
      <c r="K51" s="158">
        <v>2312.6399999999994</v>
      </c>
      <c r="L51" s="107">
        <v>4575</v>
      </c>
      <c r="M51" s="32"/>
      <c r="N51" s="323" t="s">
        <v>435</v>
      </c>
      <c r="O51" s="3" t="s">
        <v>267</v>
      </c>
      <c r="P51" s="158">
        <v>6119.8599999999979</v>
      </c>
      <c r="Q51" s="158">
        <v>8432.5</v>
      </c>
      <c r="R51" s="32">
        <v>222413</v>
      </c>
      <c r="S51" s="32">
        <v>28</v>
      </c>
      <c r="T51" s="158">
        <v>108.4</v>
      </c>
      <c r="U51" s="32">
        <v>49895</v>
      </c>
      <c r="V51" s="32">
        <v>182</v>
      </c>
      <c r="W51" s="158">
        <v>358.5</v>
      </c>
      <c r="X51" s="32">
        <v>1755</v>
      </c>
      <c r="Y51" s="107">
        <v>726</v>
      </c>
      <c r="Z51" s="32"/>
      <c r="AA51" s="323" t="s">
        <v>435</v>
      </c>
      <c r="AB51" s="3" t="s">
        <v>267</v>
      </c>
      <c r="AC51" s="158">
        <v>2644.7</v>
      </c>
      <c r="AD51" s="32">
        <v>6403</v>
      </c>
      <c r="AE51" s="32">
        <v>0</v>
      </c>
      <c r="AF51" s="158">
        <v>0</v>
      </c>
      <c r="AG51" s="32">
        <v>0</v>
      </c>
      <c r="AH51" s="158">
        <v>0</v>
      </c>
      <c r="AI51" s="32">
        <v>0</v>
      </c>
      <c r="AJ51" s="32">
        <v>58053</v>
      </c>
      <c r="AK51" s="32">
        <v>740497</v>
      </c>
      <c r="AL51" s="107">
        <v>13512</v>
      </c>
      <c r="AM51" s="3"/>
    </row>
    <row r="52" spans="1:39" ht="15" customHeight="1" x14ac:dyDescent="0.2">
      <c r="A52" s="323" t="s">
        <v>51</v>
      </c>
      <c r="B52" s="3" t="s">
        <v>266</v>
      </c>
      <c r="C52" s="32">
        <v>2644</v>
      </c>
      <c r="D52" s="32">
        <v>175</v>
      </c>
      <c r="E52" s="324">
        <v>1.2184017258305551</v>
      </c>
      <c r="F52" s="158">
        <v>3221.5</v>
      </c>
      <c r="G52" s="32">
        <v>20932073</v>
      </c>
      <c r="H52" s="32">
        <v>38000</v>
      </c>
      <c r="I52" s="32">
        <v>20970073</v>
      </c>
      <c r="J52" s="32">
        <v>1122</v>
      </c>
      <c r="K52" s="158">
        <v>57403.709485999614</v>
      </c>
      <c r="L52" s="107">
        <v>210223.5</v>
      </c>
      <c r="M52" s="32"/>
      <c r="N52" s="323" t="s">
        <v>51</v>
      </c>
      <c r="O52" s="3" t="s">
        <v>266</v>
      </c>
      <c r="P52" s="158">
        <v>205205.10750000016</v>
      </c>
      <c r="Q52" s="158">
        <v>262608.8</v>
      </c>
      <c r="R52" s="32">
        <v>6926473</v>
      </c>
      <c r="S52" s="32">
        <v>1791</v>
      </c>
      <c r="T52" s="158">
        <v>5264</v>
      </c>
      <c r="U52" s="32">
        <v>2422965</v>
      </c>
      <c r="V52" s="32">
        <v>10807</v>
      </c>
      <c r="W52" s="158">
        <v>23655.8</v>
      </c>
      <c r="X52" s="32">
        <v>115826</v>
      </c>
      <c r="Y52" s="107">
        <v>29903</v>
      </c>
      <c r="Z52" s="32"/>
      <c r="AA52" s="323" t="s">
        <v>51</v>
      </c>
      <c r="AB52" s="3" t="s">
        <v>266</v>
      </c>
      <c r="AC52" s="158">
        <v>155152.9</v>
      </c>
      <c r="AD52" s="32">
        <v>375631</v>
      </c>
      <c r="AE52" s="32">
        <v>5707653</v>
      </c>
      <c r="AF52" s="158">
        <v>12461074.699999999</v>
      </c>
      <c r="AG52" s="32">
        <v>718502</v>
      </c>
      <c r="AH52" s="158">
        <v>11575962.300000001</v>
      </c>
      <c r="AI52" s="32">
        <v>465042</v>
      </c>
      <c r="AJ52" s="32">
        <v>4097966</v>
      </c>
      <c r="AK52" s="32">
        <v>31994512</v>
      </c>
      <c r="AL52" s="107">
        <v>0</v>
      </c>
      <c r="AM52" s="3"/>
    </row>
    <row r="53" spans="1:39" ht="15" customHeight="1" x14ac:dyDescent="0.2">
      <c r="A53" s="323" t="s">
        <v>52</v>
      </c>
      <c r="B53" s="3" t="s">
        <v>260</v>
      </c>
      <c r="C53" s="32">
        <v>6461</v>
      </c>
      <c r="D53" s="32">
        <v>125</v>
      </c>
      <c r="E53" s="324">
        <v>1.0896483475348906</v>
      </c>
      <c r="F53" s="158">
        <v>7040.2</v>
      </c>
      <c r="G53" s="32">
        <v>45744523</v>
      </c>
      <c r="H53" s="32">
        <v>75000</v>
      </c>
      <c r="I53" s="32">
        <v>45819523</v>
      </c>
      <c r="J53" s="32">
        <v>2247</v>
      </c>
      <c r="K53" s="158">
        <v>104441.53206999951</v>
      </c>
      <c r="L53" s="107">
        <v>474173</v>
      </c>
      <c r="M53" s="32"/>
      <c r="N53" s="323" t="s">
        <v>52</v>
      </c>
      <c r="O53" s="3" t="s">
        <v>260</v>
      </c>
      <c r="P53" s="158">
        <v>431542.84999999433</v>
      </c>
      <c r="Q53" s="158">
        <v>535984.4</v>
      </c>
      <c r="R53" s="32">
        <v>14136928</v>
      </c>
      <c r="S53" s="32">
        <v>3520</v>
      </c>
      <c r="T53" s="158">
        <v>10562.2</v>
      </c>
      <c r="U53" s="32">
        <v>4861672</v>
      </c>
      <c r="V53" s="32">
        <v>31191</v>
      </c>
      <c r="W53" s="158">
        <v>62823.5</v>
      </c>
      <c r="X53" s="32">
        <v>307603</v>
      </c>
      <c r="Y53" s="107">
        <v>71306</v>
      </c>
      <c r="Z53" s="32"/>
      <c r="AA53" s="323" t="s">
        <v>52</v>
      </c>
      <c r="AB53" s="3" t="s">
        <v>260</v>
      </c>
      <c r="AC53" s="158">
        <v>342897.5</v>
      </c>
      <c r="AD53" s="32">
        <v>830168</v>
      </c>
      <c r="AE53" s="32">
        <v>2208391</v>
      </c>
      <c r="AF53" s="158">
        <v>5407403.0999999996</v>
      </c>
      <c r="AG53" s="32">
        <v>311789</v>
      </c>
      <c r="AH53" s="158">
        <v>2849321</v>
      </c>
      <c r="AI53" s="32">
        <v>114466</v>
      </c>
      <c r="AJ53" s="32">
        <v>6425698</v>
      </c>
      <c r="AK53" s="32">
        <v>66382149</v>
      </c>
      <c r="AL53" s="107">
        <v>0</v>
      </c>
      <c r="AM53" s="3"/>
    </row>
    <row r="54" spans="1:39" ht="15" customHeight="1" x14ac:dyDescent="0.2">
      <c r="A54" s="323" t="s">
        <v>53</v>
      </c>
      <c r="B54" s="3" t="s">
        <v>276</v>
      </c>
      <c r="C54" s="32">
        <v>330</v>
      </c>
      <c r="D54" s="32">
        <v>0</v>
      </c>
      <c r="E54" s="324">
        <v>0.8677259872527473</v>
      </c>
      <c r="F54" s="158">
        <v>286.3</v>
      </c>
      <c r="G54" s="32">
        <v>1860268</v>
      </c>
      <c r="H54" s="32">
        <v>0</v>
      </c>
      <c r="I54" s="32">
        <v>1860268</v>
      </c>
      <c r="J54" s="32">
        <v>166</v>
      </c>
      <c r="K54" s="158">
        <v>2144.608390000004</v>
      </c>
      <c r="L54" s="107">
        <v>25670</v>
      </c>
      <c r="M54" s="32"/>
      <c r="N54" s="323" t="s">
        <v>53</v>
      </c>
      <c r="O54" s="3" t="s">
        <v>276</v>
      </c>
      <c r="P54" s="158">
        <v>13014.689999999968</v>
      </c>
      <c r="Q54" s="158">
        <v>15159.3</v>
      </c>
      <c r="R54" s="32">
        <v>399836</v>
      </c>
      <c r="S54" s="32">
        <v>118</v>
      </c>
      <c r="T54" s="158">
        <v>253.6</v>
      </c>
      <c r="U54" s="32">
        <v>116729</v>
      </c>
      <c r="V54" s="32">
        <v>1504</v>
      </c>
      <c r="W54" s="158">
        <v>2958</v>
      </c>
      <c r="X54" s="32">
        <v>14483</v>
      </c>
      <c r="Y54" s="107">
        <v>4532</v>
      </c>
      <c r="Z54" s="32"/>
      <c r="AA54" s="323" t="s">
        <v>53</v>
      </c>
      <c r="AB54" s="3" t="s">
        <v>276</v>
      </c>
      <c r="AC54" s="158">
        <v>29277</v>
      </c>
      <c r="AD54" s="32">
        <v>70881</v>
      </c>
      <c r="AE54" s="32">
        <v>0</v>
      </c>
      <c r="AF54" s="158">
        <v>0</v>
      </c>
      <c r="AG54" s="32">
        <v>0</v>
      </c>
      <c r="AH54" s="158">
        <v>0</v>
      </c>
      <c r="AI54" s="32">
        <v>0</v>
      </c>
      <c r="AJ54" s="32">
        <v>202093</v>
      </c>
      <c r="AK54" s="32">
        <v>2462197</v>
      </c>
      <c r="AL54" s="107">
        <v>422941</v>
      </c>
      <c r="AM54" s="3"/>
    </row>
    <row r="55" spans="1:39" ht="15" customHeight="1" x14ac:dyDescent="0.2">
      <c r="A55" s="323" t="s">
        <v>54</v>
      </c>
      <c r="B55" s="3" t="s">
        <v>275</v>
      </c>
      <c r="C55" s="32">
        <v>685</v>
      </c>
      <c r="D55" s="32">
        <v>0</v>
      </c>
      <c r="E55" s="324">
        <v>5.6043747655721132</v>
      </c>
      <c r="F55" s="158">
        <v>3839</v>
      </c>
      <c r="G55" s="32">
        <v>24944351</v>
      </c>
      <c r="H55" s="32">
        <v>16000</v>
      </c>
      <c r="I55" s="32">
        <v>24960351</v>
      </c>
      <c r="J55" s="32">
        <v>153</v>
      </c>
      <c r="K55" s="158">
        <v>43362.000054000047</v>
      </c>
      <c r="L55" s="107">
        <v>31112</v>
      </c>
      <c r="M55" s="32"/>
      <c r="N55" s="323" t="s">
        <v>54</v>
      </c>
      <c r="O55" s="3" t="s">
        <v>275</v>
      </c>
      <c r="P55" s="158">
        <v>129787.34000000017</v>
      </c>
      <c r="Q55" s="158">
        <v>173149.3</v>
      </c>
      <c r="R55" s="32">
        <v>4566922</v>
      </c>
      <c r="S55" s="32">
        <v>152</v>
      </c>
      <c r="T55" s="158">
        <v>756.3</v>
      </c>
      <c r="U55" s="32">
        <v>348117</v>
      </c>
      <c r="V55" s="32">
        <v>2731</v>
      </c>
      <c r="W55" s="158">
        <v>4213.3999999999996</v>
      </c>
      <c r="X55" s="32">
        <v>20630</v>
      </c>
      <c r="Y55" s="107">
        <v>5554</v>
      </c>
      <c r="Z55" s="32"/>
      <c r="AA55" s="323" t="s">
        <v>54</v>
      </c>
      <c r="AB55" s="3" t="s">
        <v>275</v>
      </c>
      <c r="AC55" s="158">
        <v>23877.9</v>
      </c>
      <c r="AD55" s="32">
        <v>57809</v>
      </c>
      <c r="AE55" s="32">
        <v>664318</v>
      </c>
      <c r="AF55" s="158">
        <v>1494298.4</v>
      </c>
      <c r="AG55" s="32">
        <v>86161</v>
      </c>
      <c r="AH55" s="158">
        <v>627649</v>
      </c>
      <c r="AI55" s="32">
        <v>25215</v>
      </c>
      <c r="AJ55" s="32">
        <v>537932</v>
      </c>
      <c r="AK55" s="32">
        <v>30065205</v>
      </c>
      <c r="AL55" s="107">
        <v>1540160</v>
      </c>
      <c r="AM55" s="3"/>
    </row>
    <row r="56" spans="1:39" ht="15" customHeight="1" x14ac:dyDescent="0.2">
      <c r="A56" s="323" t="s">
        <v>55</v>
      </c>
      <c r="B56" s="3" t="s">
        <v>274</v>
      </c>
      <c r="C56" s="32">
        <v>1796</v>
      </c>
      <c r="D56" s="32">
        <v>105</v>
      </c>
      <c r="E56" s="324">
        <v>1.0236045332931873</v>
      </c>
      <c r="F56" s="158">
        <v>1838.4</v>
      </c>
      <c r="G56" s="32">
        <v>11945219</v>
      </c>
      <c r="H56" s="32">
        <v>42000</v>
      </c>
      <c r="I56" s="32">
        <v>11987219</v>
      </c>
      <c r="J56" s="32">
        <v>681</v>
      </c>
      <c r="K56" s="158">
        <v>24304.442387999989</v>
      </c>
      <c r="L56" s="107">
        <v>131244.5</v>
      </c>
      <c r="M56" s="32"/>
      <c r="N56" s="323" t="s">
        <v>55</v>
      </c>
      <c r="O56" s="3" t="s">
        <v>274</v>
      </c>
      <c r="P56" s="158">
        <v>111976.42500000054</v>
      </c>
      <c r="Q56" s="158">
        <v>136280.9</v>
      </c>
      <c r="R56" s="32">
        <v>3594495</v>
      </c>
      <c r="S56" s="32">
        <v>1295</v>
      </c>
      <c r="T56" s="158">
        <v>3098.4</v>
      </c>
      <c r="U56" s="32">
        <v>1426162</v>
      </c>
      <c r="V56" s="32">
        <v>4509</v>
      </c>
      <c r="W56" s="158">
        <v>11040.6</v>
      </c>
      <c r="X56" s="32">
        <v>54058</v>
      </c>
      <c r="Y56" s="107">
        <v>21374</v>
      </c>
      <c r="Z56" s="32"/>
      <c r="AA56" s="323" t="s">
        <v>55</v>
      </c>
      <c r="AB56" s="3" t="s">
        <v>274</v>
      </c>
      <c r="AC56" s="158">
        <v>110323.9</v>
      </c>
      <c r="AD56" s="32">
        <v>267099</v>
      </c>
      <c r="AE56" s="32">
        <v>2152812</v>
      </c>
      <c r="AF56" s="158">
        <v>5258304.4000000004</v>
      </c>
      <c r="AG56" s="32">
        <v>303192</v>
      </c>
      <c r="AH56" s="158">
        <v>2095931.5</v>
      </c>
      <c r="AI56" s="32">
        <v>84200</v>
      </c>
      <c r="AJ56" s="32">
        <v>2134711</v>
      </c>
      <c r="AK56" s="32">
        <v>17716425</v>
      </c>
      <c r="AL56" s="107">
        <v>825941</v>
      </c>
      <c r="AM56" s="3"/>
    </row>
    <row r="57" spans="1:39" ht="15" customHeight="1" x14ac:dyDescent="0.2">
      <c r="A57" s="323" t="s">
        <v>438</v>
      </c>
      <c r="B57" s="3" t="s">
        <v>196</v>
      </c>
      <c r="C57" s="32">
        <v>5</v>
      </c>
      <c r="D57" s="32">
        <v>0</v>
      </c>
      <c r="E57" s="324">
        <v>0.72539999999999971</v>
      </c>
      <c r="F57" s="158">
        <v>3.6</v>
      </c>
      <c r="G57" s="32">
        <v>23391</v>
      </c>
      <c r="H57" s="32">
        <v>0</v>
      </c>
      <c r="I57" s="32">
        <v>23391</v>
      </c>
      <c r="J57" s="32">
        <v>0</v>
      </c>
      <c r="K57" s="158">
        <v>0</v>
      </c>
      <c r="L57" s="107">
        <v>0</v>
      </c>
      <c r="M57" s="32"/>
      <c r="N57" s="323" t="s">
        <v>438</v>
      </c>
      <c r="O57" s="3" t="s">
        <v>196</v>
      </c>
      <c r="P57" s="158">
        <v>0</v>
      </c>
      <c r="Q57" s="158">
        <v>0</v>
      </c>
      <c r="R57" s="32">
        <v>0</v>
      </c>
      <c r="S57" s="32">
        <v>7</v>
      </c>
      <c r="T57" s="158">
        <v>14</v>
      </c>
      <c r="U57" s="32">
        <v>6444</v>
      </c>
      <c r="V57" s="32">
        <v>153</v>
      </c>
      <c r="W57" s="158">
        <v>249.8</v>
      </c>
      <c r="X57" s="32">
        <v>1223</v>
      </c>
      <c r="Y57" s="107">
        <v>0</v>
      </c>
      <c r="Z57" s="32"/>
      <c r="AA57" s="323" t="s">
        <v>438</v>
      </c>
      <c r="AB57" s="3" t="s">
        <v>196</v>
      </c>
      <c r="AC57" s="158">
        <v>0</v>
      </c>
      <c r="AD57" s="32">
        <v>0</v>
      </c>
      <c r="AE57" s="32">
        <v>0</v>
      </c>
      <c r="AF57" s="158">
        <v>0</v>
      </c>
      <c r="AG57" s="32">
        <v>0</v>
      </c>
      <c r="AH57" s="158">
        <v>0</v>
      </c>
      <c r="AI57" s="32">
        <v>0</v>
      </c>
      <c r="AJ57" s="32">
        <v>7667</v>
      </c>
      <c r="AK57" s="32">
        <v>31058</v>
      </c>
      <c r="AL57" s="107">
        <v>820</v>
      </c>
      <c r="AM57" s="3"/>
    </row>
    <row r="58" spans="1:39" ht="15" customHeight="1" x14ac:dyDescent="0.2">
      <c r="A58" s="323" t="s">
        <v>56</v>
      </c>
      <c r="B58" s="3" t="s">
        <v>273</v>
      </c>
      <c r="C58" s="32">
        <v>21</v>
      </c>
      <c r="D58" s="32">
        <v>0</v>
      </c>
      <c r="E58" s="324">
        <v>0.81847318501900712</v>
      </c>
      <c r="F58" s="158">
        <v>17.2</v>
      </c>
      <c r="G58" s="32">
        <v>111759</v>
      </c>
      <c r="H58" s="32">
        <v>0</v>
      </c>
      <c r="I58" s="32">
        <v>111759</v>
      </c>
      <c r="J58" s="32">
        <v>6</v>
      </c>
      <c r="K58" s="158">
        <v>164.26799999999997</v>
      </c>
      <c r="L58" s="107">
        <v>1620</v>
      </c>
      <c r="M58" s="32"/>
      <c r="N58" s="323" t="s">
        <v>56</v>
      </c>
      <c r="O58" s="3" t="s">
        <v>273</v>
      </c>
      <c r="P58" s="158">
        <v>853.44999999999993</v>
      </c>
      <c r="Q58" s="158">
        <v>1017.7</v>
      </c>
      <c r="R58" s="32">
        <v>26842</v>
      </c>
      <c r="S58" s="32">
        <v>13</v>
      </c>
      <c r="T58" s="158">
        <v>29</v>
      </c>
      <c r="U58" s="32">
        <v>13348</v>
      </c>
      <c r="V58" s="32">
        <v>363</v>
      </c>
      <c r="W58" s="158">
        <v>435.6</v>
      </c>
      <c r="X58" s="32">
        <v>2133</v>
      </c>
      <c r="Y58" s="107">
        <v>288</v>
      </c>
      <c r="Z58" s="32"/>
      <c r="AA58" s="323" t="s">
        <v>56</v>
      </c>
      <c r="AB58" s="3" t="s">
        <v>273</v>
      </c>
      <c r="AC58" s="158">
        <v>1488.9</v>
      </c>
      <c r="AD58" s="32">
        <v>3605</v>
      </c>
      <c r="AE58" s="32">
        <v>57943</v>
      </c>
      <c r="AF58" s="158">
        <v>89432.1</v>
      </c>
      <c r="AG58" s="32">
        <v>5157</v>
      </c>
      <c r="AH58" s="158">
        <v>85932</v>
      </c>
      <c r="AI58" s="32">
        <v>3452</v>
      </c>
      <c r="AJ58" s="32">
        <v>27695</v>
      </c>
      <c r="AK58" s="32">
        <v>166296</v>
      </c>
      <c r="AL58" s="107">
        <v>5288</v>
      </c>
      <c r="AM58" s="3"/>
    </row>
    <row r="59" spans="1:39" ht="15" customHeight="1" x14ac:dyDescent="0.2">
      <c r="A59" s="323" t="s">
        <v>491</v>
      </c>
      <c r="B59" s="3" t="s">
        <v>490</v>
      </c>
      <c r="C59" s="32">
        <v>322</v>
      </c>
      <c r="D59" s="32">
        <v>0</v>
      </c>
      <c r="E59" s="324">
        <v>1.6111308738333543</v>
      </c>
      <c r="F59" s="158">
        <v>518.79999999999995</v>
      </c>
      <c r="G59" s="32">
        <v>3370964</v>
      </c>
      <c r="H59" s="32">
        <v>16000</v>
      </c>
      <c r="I59" s="32">
        <v>3386964</v>
      </c>
      <c r="J59" s="32">
        <v>152</v>
      </c>
      <c r="K59" s="158">
        <v>8404.6869850000166</v>
      </c>
      <c r="L59" s="107">
        <v>27683</v>
      </c>
      <c r="M59" s="32"/>
      <c r="N59" s="323" t="s">
        <v>491</v>
      </c>
      <c r="O59" s="3" t="s">
        <v>490</v>
      </c>
      <c r="P59" s="158">
        <v>28768.585000000057</v>
      </c>
      <c r="Q59" s="158">
        <v>37173.300000000003</v>
      </c>
      <c r="R59" s="32">
        <v>980469</v>
      </c>
      <c r="S59" s="32">
        <v>232</v>
      </c>
      <c r="T59" s="158">
        <v>560.4</v>
      </c>
      <c r="U59" s="32">
        <v>257946</v>
      </c>
      <c r="V59" s="32">
        <v>1570</v>
      </c>
      <c r="W59" s="158">
        <v>3001.4</v>
      </c>
      <c r="X59" s="32">
        <v>14696</v>
      </c>
      <c r="Y59" s="107">
        <v>3256</v>
      </c>
      <c r="Z59" s="32"/>
      <c r="AA59" s="323" t="s">
        <v>491</v>
      </c>
      <c r="AB59" s="3" t="s">
        <v>490</v>
      </c>
      <c r="AC59" s="158">
        <v>17304</v>
      </c>
      <c r="AD59" s="32">
        <v>41894</v>
      </c>
      <c r="AE59" s="32">
        <v>574318</v>
      </c>
      <c r="AF59" s="158">
        <v>1273729</v>
      </c>
      <c r="AG59" s="32">
        <v>73443</v>
      </c>
      <c r="AH59" s="158">
        <v>1172633</v>
      </c>
      <c r="AI59" s="32">
        <v>47108</v>
      </c>
      <c r="AJ59" s="32">
        <v>435087</v>
      </c>
      <c r="AK59" s="32">
        <v>4802520</v>
      </c>
      <c r="AL59" s="107">
        <v>233047</v>
      </c>
      <c r="AM59" s="3"/>
    </row>
    <row r="60" spans="1:39" ht="15" customHeight="1" x14ac:dyDescent="0.2">
      <c r="A60" s="323" t="s">
        <v>129</v>
      </c>
      <c r="B60" s="3" t="s">
        <v>272</v>
      </c>
      <c r="C60" s="32">
        <v>33</v>
      </c>
      <c r="D60" s="32">
        <v>0</v>
      </c>
      <c r="E60" s="324">
        <v>0.72540000000000115</v>
      </c>
      <c r="F60" s="158">
        <v>23.9</v>
      </c>
      <c r="G60" s="32">
        <v>155293</v>
      </c>
      <c r="H60" s="32">
        <v>0</v>
      </c>
      <c r="I60" s="32">
        <v>155293</v>
      </c>
      <c r="J60" s="32">
        <v>19</v>
      </c>
      <c r="K60" s="158">
        <v>173.39400000000003</v>
      </c>
      <c r="L60" s="107">
        <v>2970</v>
      </c>
      <c r="M60" s="32"/>
      <c r="N60" s="323" t="s">
        <v>129</v>
      </c>
      <c r="O60" s="3" t="s">
        <v>272</v>
      </c>
      <c r="P60" s="158">
        <v>1505.7899999999997</v>
      </c>
      <c r="Q60" s="158">
        <v>1679.2</v>
      </c>
      <c r="R60" s="32">
        <v>44290</v>
      </c>
      <c r="S60" s="32">
        <v>20</v>
      </c>
      <c r="T60" s="158">
        <v>53.9</v>
      </c>
      <c r="U60" s="32">
        <v>24810</v>
      </c>
      <c r="V60" s="32">
        <v>58</v>
      </c>
      <c r="W60" s="158">
        <v>142</v>
      </c>
      <c r="X60" s="32">
        <v>695</v>
      </c>
      <c r="Y60" s="107">
        <v>519</v>
      </c>
      <c r="Z60" s="32"/>
      <c r="AA60" s="323" t="s">
        <v>129</v>
      </c>
      <c r="AB60" s="3" t="s">
        <v>272</v>
      </c>
      <c r="AC60" s="158">
        <v>2661</v>
      </c>
      <c r="AD60" s="32">
        <v>6442</v>
      </c>
      <c r="AE60" s="32">
        <v>34848</v>
      </c>
      <c r="AF60" s="158">
        <v>85327.8</v>
      </c>
      <c r="AG60" s="32">
        <v>4920</v>
      </c>
      <c r="AH60" s="158">
        <v>366317</v>
      </c>
      <c r="AI60" s="32">
        <v>14716</v>
      </c>
      <c r="AJ60" s="32">
        <v>51583</v>
      </c>
      <c r="AK60" s="32">
        <v>251166</v>
      </c>
      <c r="AL60" s="107">
        <v>9445</v>
      </c>
      <c r="AM60" s="3"/>
    </row>
    <row r="61" spans="1:39" ht="15" customHeight="1" x14ac:dyDescent="0.2">
      <c r="A61" s="323" t="s">
        <v>57</v>
      </c>
      <c r="B61" s="3" t="s">
        <v>271</v>
      </c>
      <c r="C61" s="32">
        <v>100</v>
      </c>
      <c r="D61" s="32">
        <v>0</v>
      </c>
      <c r="E61" s="324">
        <v>1.1376079025245267</v>
      </c>
      <c r="F61" s="158">
        <v>113.8</v>
      </c>
      <c r="G61" s="32">
        <v>739429</v>
      </c>
      <c r="H61" s="32">
        <v>0</v>
      </c>
      <c r="I61" s="32">
        <v>739429</v>
      </c>
      <c r="J61" s="32">
        <v>59</v>
      </c>
      <c r="K61" s="158">
        <v>2457.7735679999992</v>
      </c>
      <c r="L61" s="107">
        <v>9354.5</v>
      </c>
      <c r="M61" s="32"/>
      <c r="N61" s="323" t="s">
        <v>57</v>
      </c>
      <c r="O61" s="3" t="s">
        <v>271</v>
      </c>
      <c r="P61" s="158">
        <v>8783.4674999999952</v>
      </c>
      <c r="Q61" s="158">
        <v>11241.2</v>
      </c>
      <c r="R61" s="32">
        <v>296494</v>
      </c>
      <c r="S61" s="32">
        <v>113</v>
      </c>
      <c r="T61" s="158">
        <v>230.1</v>
      </c>
      <c r="U61" s="32">
        <v>105913</v>
      </c>
      <c r="V61" s="32">
        <v>738</v>
      </c>
      <c r="W61" s="158">
        <v>1143.7</v>
      </c>
      <c r="X61" s="32">
        <v>5600</v>
      </c>
      <c r="Y61" s="107">
        <v>1461</v>
      </c>
      <c r="Z61" s="32"/>
      <c r="AA61" s="323" t="s">
        <v>57</v>
      </c>
      <c r="AB61" s="3" t="s">
        <v>271</v>
      </c>
      <c r="AC61" s="158">
        <v>6104.9</v>
      </c>
      <c r="AD61" s="32">
        <v>14780</v>
      </c>
      <c r="AE61" s="32">
        <v>270158</v>
      </c>
      <c r="AF61" s="158">
        <v>527067.4</v>
      </c>
      <c r="AG61" s="32">
        <v>30391</v>
      </c>
      <c r="AH61" s="158">
        <v>327490</v>
      </c>
      <c r="AI61" s="32">
        <v>13156</v>
      </c>
      <c r="AJ61" s="32">
        <v>169840</v>
      </c>
      <c r="AK61" s="32">
        <v>1205763</v>
      </c>
      <c r="AL61" s="107">
        <v>118011</v>
      </c>
      <c r="AM61" s="3"/>
    </row>
    <row r="62" spans="1:39" ht="15" customHeight="1" x14ac:dyDescent="0.2">
      <c r="A62" s="323" t="s">
        <v>58</v>
      </c>
      <c r="B62" s="3" t="s">
        <v>270</v>
      </c>
      <c r="C62" s="32">
        <v>2436</v>
      </c>
      <c r="D62" s="32">
        <v>145</v>
      </c>
      <c r="E62" s="324">
        <v>1.1464637726025979</v>
      </c>
      <c r="F62" s="158">
        <v>2792.8</v>
      </c>
      <c r="G62" s="32">
        <v>18146545</v>
      </c>
      <c r="H62" s="32">
        <v>46000</v>
      </c>
      <c r="I62" s="32">
        <v>18192545</v>
      </c>
      <c r="J62" s="32">
        <v>663</v>
      </c>
      <c r="K62" s="158">
        <v>37029.766793000199</v>
      </c>
      <c r="L62" s="107">
        <v>149371</v>
      </c>
      <c r="M62" s="32"/>
      <c r="N62" s="323" t="s">
        <v>58</v>
      </c>
      <c r="O62" s="3" t="s">
        <v>270</v>
      </c>
      <c r="P62" s="158">
        <v>147878.93250000151</v>
      </c>
      <c r="Q62" s="158">
        <v>184908.7</v>
      </c>
      <c r="R62" s="32">
        <v>4877084</v>
      </c>
      <c r="S62" s="32">
        <v>1230</v>
      </c>
      <c r="T62" s="158">
        <v>3790.7</v>
      </c>
      <c r="U62" s="32">
        <v>1744820</v>
      </c>
      <c r="V62" s="32">
        <v>8158</v>
      </c>
      <c r="W62" s="158">
        <v>18190.400000000001</v>
      </c>
      <c r="X62" s="32">
        <v>89066</v>
      </c>
      <c r="Y62" s="107">
        <v>20706</v>
      </c>
      <c r="Z62" s="32"/>
      <c r="AA62" s="323" t="s">
        <v>58</v>
      </c>
      <c r="AB62" s="3" t="s">
        <v>270</v>
      </c>
      <c r="AC62" s="158">
        <v>92793.600000000006</v>
      </c>
      <c r="AD62" s="32">
        <v>224657</v>
      </c>
      <c r="AE62" s="32">
        <v>1761131</v>
      </c>
      <c r="AF62" s="158">
        <v>4264165.7</v>
      </c>
      <c r="AG62" s="32">
        <v>245871</v>
      </c>
      <c r="AH62" s="158">
        <v>3323763</v>
      </c>
      <c r="AI62" s="32">
        <v>133526</v>
      </c>
      <c r="AJ62" s="32">
        <v>2437940</v>
      </c>
      <c r="AK62" s="32">
        <v>25507569</v>
      </c>
      <c r="AL62" s="107">
        <v>0</v>
      </c>
      <c r="AM62" s="3"/>
    </row>
    <row r="63" spans="1:39" ht="15" customHeight="1" x14ac:dyDescent="0.2">
      <c r="A63" s="323" t="s">
        <v>59</v>
      </c>
      <c r="B63" s="3" t="s">
        <v>269</v>
      </c>
      <c r="C63" s="32">
        <v>5983</v>
      </c>
      <c r="D63" s="32">
        <v>270</v>
      </c>
      <c r="E63" s="324">
        <v>1.0586782504418384</v>
      </c>
      <c r="F63" s="158">
        <v>6334.1</v>
      </c>
      <c r="G63" s="32">
        <v>41156555</v>
      </c>
      <c r="H63" s="32">
        <v>32000</v>
      </c>
      <c r="I63" s="32">
        <v>41188555</v>
      </c>
      <c r="J63" s="32">
        <v>2417</v>
      </c>
      <c r="K63" s="158">
        <v>100897.94230299842</v>
      </c>
      <c r="L63" s="107">
        <v>450900.5</v>
      </c>
      <c r="M63" s="32"/>
      <c r="N63" s="323" t="s">
        <v>59</v>
      </c>
      <c r="O63" s="3" t="s">
        <v>269</v>
      </c>
      <c r="P63" s="158">
        <v>388381.98999999405</v>
      </c>
      <c r="Q63" s="158">
        <v>489279.9</v>
      </c>
      <c r="R63" s="32">
        <v>12905067</v>
      </c>
      <c r="S63" s="32">
        <v>3345</v>
      </c>
      <c r="T63" s="158">
        <v>10467.700000000001</v>
      </c>
      <c r="U63" s="32">
        <v>4818175</v>
      </c>
      <c r="V63" s="32">
        <v>23025</v>
      </c>
      <c r="W63" s="158">
        <v>48628.5</v>
      </c>
      <c r="X63" s="32">
        <v>238100</v>
      </c>
      <c r="Y63" s="107">
        <v>67284</v>
      </c>
      <c r="Z63" s="32"/>
      <c r="AA63" s="323" t="s">
        <v>59</v>
      </c>
      <c r="AB63" s="3" t="s">
        <v>269</v>
      </c>
      <c r="AC63" s="158">
        <v>329444.7</v>
      </c>
      <c r="AD63" s="32">
        <v>797599</v>
      </c>
      <c r="AE63" s="32">
        <v>8524040</v>
      </c>
      <c r="AF63" s="158">
        <v>20273431.100000001</v>
      </c>
      <c r="AG63" s="32">
        <v>1168960</v>
      </c>
      <c r="AH63" s="158">
        <v>7379434.5999999996</v>
      </c>
      <c r="AI63" s="32">
        <v>296454</v>
      </c>
      <c r="AJ63" s="32">
        <v>7319288</v>
      </c>
      <c r="AK63" s="32">
        <v>61412910</v>
      </c>
      <c r="AL63" s="107">
        <v>0</v>
      </c>
      <c r="AM63" s="3"/>
    </row>
    <row r="64" spans="1:39" ht="15" customHeight="1" x14ac:dyDescent="0.2">
      <c r="A64" s="323" t="s">
        <v>470</v>
      </c>
      <c r="B64" s="3" t="s">
        <v>229</v>
      </c>
      <c r="C64" s="32">
        <v>1071</v>
      </c>
      <c r="D64" s="32">
        <v>80</v>
      </c>
      <c r="E64" s="324">
        <v>1.2238861959267049</v>
      </c>
      <c r="F64" s="158">
        <v>1310.8</v>
      </c>
      <c r="G64" s="32">
        <v>8517076</v>
      </c>
      <c r="H64" s="32">
        <v>10000</v>
      </c>
      <c r="I64" s="32">
        <v>8527076</v>
      </c>
      <c r="J64" s="32">
        <v>341</v>
      </c>
      <c r="K64" s="158">
        <v>20289.270830999929</v>
      </c>
      <c r="L64" s="107">
        <v>68425.214285709997</v>
      </c>
      <c r="M64" s="32"/>
      <c r="N64" s="323" t="s">
        <v>470</v>
      </c>
      <c r="O64" s="3" t="s">
        <v>229</v>
      </c>
      <c r="P64" s="158">
        <v>70238.229285711437</v>
      </c>
      <c r="Q64" s="158">
        <v>90527.5</v>
      </c>
      <c r="R64" s="32">
        <v>2387720</v>
      </c>
      <c r="S64" s="32">
        <v>508</v>
      </c>
      <c r="T64" s="158">
        <v>1695.5</v>
      </c>
      <c r="U64" s="32">
        <v>780421</v>
      </c>
      <c r="V64" s="32">
        <v>6738</v>
      </c>
      <c r="W64" s="158">
        <v>10076</v>
      </c>
      <c r="X64" s="32">
        <v>49335</v>
      </c>
      <c r="Y64" s="107">
        <v>10212</v>
      </c>
      <c r="Z64" s="32"/>
      <c r="AA64" s="323" t="s">
        <v>470</v>
      </c>
      <c r="AB64" s="3" t="s">
        <v>229</v>
      </c>
      <c r="AC64" s="158">
        <v>48057.599999999999</v>
      </c>
      <c r="AD64" s="32">
        <v>116349</v>
      </c>
      <c r="AE64" s="32">
        <v>800414</v>
      </c>
      <c r="AF64" s="158">
        <v>1841438.1</v>
      </c>
      <c r="AG64" s="32">
        <v>106177</v>
      </c>
      <c r="AH64" s="158">
        <v>604788</v>
      </c>
      <c r="AI64" s="32">
        <v>24296</v>
      </c>
      <c r="AJ64" s="32">
        <v>1076578</v>
      </c>
      <c r="AK64" s="32">
        <v>11991374</v>
      </c>
      <c r="AL64" s="107">
        <v>0</v>
      </c>
      <c r="AM64" s="3"/>
    </row>
    <row r="65" spans="1:39" ht="15" customHeight="1" x14ac:dyDescent="0.2">
      <c r="A65" s="323" t="s">
        <v>439</v>
      </c>
      <c r="B65" s="3" t="s">
        <v>243</v>
      </c>
      <c r="C65" s="32">
        <v>6712</v>
      </c>
      <c r="D65" s="32">
        <v>385</v>
      </c>
      <c r="E65" s="324">
        <v>1.1514576705582369</v>
      </c>
      <c r="F65" s="158">
        <v>7728.6</v>
      </c>
      <c r="G65" s="32">
        <v>50217482</v>
      </c>
      <c r="H65" s="32">
        <v>164000</v>
      </c>
      <c r="I65" s="32">
        <v>50381482</v>
      </c>
      <c r="J65" s="32">
        <v>2553</v>
      </c>
      <c r="K65" s="158">
        <v>140947.9565150034</v>
      </c>
      <c r="L65" s="107">
        <v>491038</v>
      </c>
      <c r="M65" s="32"/>
      <c r="N65" s="323" t="s">
        <v>439</v>
      </c>
      <c r="O65" s="3" t="s">
        <v>243</v>
      </c>
      <c r="P65" s="158">
        <v>472959.40849999466</v>
      </c>
      <c r="Q65" s="158">
        <v>613907.4</v>
      </c>
      <c r="R65" s="32">
        <v>16192196</v>
      </c>
      <c r="S65" s="32">
        <v>3822</v>
      </c>
      <c r="T65" s="158">
        <v>12510.6</v>
      </c>
      <c r="U65" s="32">
        <v>5758501</v>
      </c>
      <c r="V65" s="32">
        <v>30406</v>
      </c>
      <c r="W65" s="158">
        <v>59969.9</v>
      </c>
      <c r="X65" s="32">
        <v>293631</v>
      </c>
      <c r="Y65" s="107">
        <v>69186</v>
      </c>
      <c r="Z65" s="32"/>
      <c r="AA65" s="323" t="s">
        <v>439</v>
      </c>
      <c r="AB65" s="3" t="s">
        <v>243</v>
      </c>
      <c r="AC65" s="158">
        <v>355968.5</v>
      </c>
      <c r="AD65" s="32">
        <v>861814</v>
      </c>
      <c r="AE65" s="32">
        <v>7286571</v>
      </c>
      <c r="AF65" s="158">
        <v>17011343.800000001</v>
      </c>
      <c r="AG65" s="32">
        <v>980869</v>
      </c>
      <c r="AH65" s="158">
        <v>8189481.4000000004</v>
      </c>
      <c r="AI65" s="32">
        <v>328997</v>
      </c>
      <c r="AJ65" s="32">
        <v>8223812</v>
      </c>
      <c r="AK65" s="32">
        <v>74797490</v>
      </c>
      <c r="AL65" s="107">
        <v>0</v>
      </c>
      <c r="AM65" s="3"/>
    </row>
    <row r="66" spans="1:39" ht="15" customHeight="1" x14ac:dyDescent="0.2">
      <c r="A66" s="323" t="s">
        <v>60</v>
      </c>
      <c r="B66" s="3" t="s">
        <v>268</v>
      </c>
      <c r="C66" s="32">
        <v>2357</v>
      </c>
      <c r="D66" s="32">
        <v>95</v>
      </c>
      <c r="E66" s="324">
        <v>1.0795880218345872</v>
      </c>
      <c r="F66" s="158">
        <v>2544.6</v>
      </c>
      <c r="G66" s="32">
        <v>16533836</v>
      </c>
      <c r="H66" s="32">
        <v>45000</v>
      </c>
      <c r="I66" s="32">
        <v>16578836</v>
      </c>
      <c r="J66" s="32">
        <v>783</v>
      </c>
      <c r="K66" s="158">
        <v>38926.589363000014</v>
      </c>
      <c r="L66" s="107">
        <v>154812</v>
      </c>
      <c r="M66" s="32"/>
      <c r="N66" s="323" t="s">
        <v>60</v>
      </c>
      <c r="O66" s="3" t="s">
        <v>268</v>
      </c>
      <c r="P66" s="158">
        <v>139271.93500000075</v>
      </c>
      <c r="Q66" s="158">
        <v>178198.5</v>
      </c>
      <c r="R66" s="32">
        <v>4700098</v>
      </c>
      <c r="S66" s="32">
        <v>1196</v>
      </c>
      <c r="T66" s="158">
        <v>3855.8</v>
      </c>
      <c r="U66" s="32">
        <v>1774785</v>
      </c>
      <c r="V66" s="32">
        <v>9135</v>
      </c>
      <c r="W66" s="158">
        <v>18723.8</v>
      </c>
      <c r="X66" s="32">
        <v>91677</v>
      </c>
      <c r="Y66" s="107">
        <v>27975</v>
      </c>
      <c r="Z66" s="32"/>
      <c r="AA66" s="323" t="s">
        <v>60</v>
      </c>
      <c r="AB66" s="3" t="s">
        <v>268</v>
      </c>
      <c r="AC66" s="158">
        <v>131727.79999999999</v>
      </c>
      <c r="AD66" s="32">
        <v>318918</v>
      </c>
      <c r="AE66" s="32">
        <v>2578540</v>
      </c>
      <c r="AF66" s="158">
        <v>6266413.7000000002</v>
      </c>
      <c r="AG66" s="32">
        <v>361320</v>
      </c>
      <c r="AH66" s="158">
        <v>3920158.1</v>
      </c>
      <c r="AI66" s="32">
        <v>157485</v>
      </c>
      <c r="AJ66" s="32">
        <v>2704185</v>
      </c>
      <c r="AK66" s="32">
        <v>23983119</v>
      </c>
      <c r="AL66" s="107">
        <v>0</v>
      </c>
      <c r="AM66" s="3"/>
    </row>
    <row r="67" spans="1:39" ht="15" customHeight="1" x14ac:dyDescent="0.2">
      <c r="A67" s="323" t="s">
        <v>474</v>
      </c>
      <c r="B67" s="3" t="s">
        <v>473</v>
      </c>
      <c r="C67" s="32">
        <v>2705</v>
      </c>
      <c r="D67" s="32">
        <v>130</v>
      </c>
      <c r="E67" s="324">
        <v>1.0446867332210392</v>
      </c>
      <c r="F67" s="158">
        <v>2825.9</v>
      </c>
      <c r="G67" s="32">
        <v>18361616</v>
      </c>
      <c r="H67" s="32">
        <v>39000</v>
      </c>
      <c r="I67" s="32">
        <v>18400616</v>
      </c>
      <c r="J67" s="32">
        <v>933</v>
      </c>
      <c r="K67" s="158">
        <v>42415.043473000071</v>
      </c>
      <c r="L67" s="107">
        <v>182903</v>
      </c>
      <c r="M67" s="32"/>
      <c r="N67" s="323" t="s">
        <v>474</v>
      </c>
      <c r="O67" s="3" t="s">
        <v>473</v>
      </c>
      <c r="P67" s="158">
        <v>161250.58250000197</v>
      </c>
      <c r="Q67" s="158">
        <v>203665.6</v>
      </c>
      <c r="R67" s="32">
        <v>5371809</v>
      </c>
      <c r="S67" s="32">
        <v>1391</v>
      </c>
      <c r="T67" s="158">
        <v>4207.5</v>
      </c>
      <c r="U67" s="32">
        <v>1936669</v>
      </c>
      <c r="V67" s="32">
        <v>9807</v>
      </c>
      <c r="W67" s="158">
        <v>21664.799999999999</v>
      </c>
      <c r="X67" s="32">
        <v>106077</v>
      </c>
      <c r="Y67" s="107">
        <v>24594</v>
      </c>
      <c r="Z67" s="32"/>
      <c r="AA67" s="323" t="s">
        <v>474</v>
      </c>
      <c r="AB67" s="3" t="s">
        <v>473</v>
      </c>
      <c r="AC67" s="158">
        <v>125862.1</v>
      </c>
      <c r="AD67" s="32">
        <v>304717</v>
      </c>
      <c r="AE67" s="32">
        <v>2389471</v>
      </c>
      <c r="AF67" s="158">
        <v>5603596.2000000002</v>
      </c>
      <c r="AG67" s="32">
        <v>323102</v>
      </c>
      <c r="AH67" s="158">
        <v>3732146.3</v>
      </c>
      <c r="AI67" s="32">
        <v>149932</v>
      </c>
      <c r="AJ67" s="32">
        <v>2820497</v>
      </c>
      <c r="AK67" s="32">
        <v>26592922</v>
      </c>
      <c r="AL67" s="107">
        <v>849871</v>
      </c>
      <c r="AM67" s="3"/>
    </row>
    <row r="68" spans="1:39" ht="15" customHeight="1" x14ac:dyDescent="0.2">
      <c r="A68" s="323" t="s">
        <v>61</v>
      </c>
      <c r="B68" s="3" t="s">
        <v>264</v>
      </c>
      <c r="C68" s="32">
        <v>82</v>
      </c>
      <c r="D68" s="32">
        <v>25</v>
      </c>
      <c r="E68" s="324">
        <v>0.86596302424370808</v>
      </c>
      <c r="F68" s="158">
        <v>71</v>
      </c>
      <c r="G68" s="32">
        <v>461331</v>
      </c>
      <c r="H68" s="32">
        <v>5000</v>
      </c>
      <c r="I68" s="32">
        <v>466331</v>
      </c>
      <c r="J68" s="32">
        <v>36</v>
      </c>
      <c r="K68" s="158">
        <v>568.84493399999997</v>
      </c>
      <c r="L68" s="107">
        <v>7192</v>
      </c>
      <c r="M68" s="32"/>
      <c r="N68" s="323" t="s">
        <v>61</v>
      </c>
      <c r="O68" s="3" t="s">
        <v>264</v>
      </c>
      <c r="P68" s="158">
        <v>4160.840000000002</v>
      </c>
      <c r="Q68" s="158">
        <v>4729.7</v>
      </c>
      <c r="R68" s="32">
        <v>124749</v>
      </c>
      <c r="S68" s="32">
        <v>81</v>
      </c>
      <c r="T68" s="158">
        <v>184.2</v>
      </c>
      <c r="U68" s="32">
        <v>84785</v>
      </c>
      <c r="V68" s="32">
        <v>1059</v>
      </c>
      <c r="W68" s="158">
        <v>1741.7</v>
      </c>
      <c r="X68" s="32">
        <v>8528</v>
      </c>
      <c r="Y68" s="107">
        <v>2374</v>
      </c>
      <c r="Z68" s="32"/>
      <c r="AA68" s="323" t="s">
        <v>61</v>
      </c>
      <c r="AB68" s="3" t="s">
        <v>264</v>
      </c>
      <c r="AC68" s="158">
        <v>8453</v>
      </c>
      <c r="AD68" s="32">
        <v>20465</v>
      </c>
      <c r="AE68" s="32">
        <v>443263</v>
      </c>
      <c r="AF68" s="158">
        <v>827748</v>
      </c>
      <c r="AG68" s="32">
        <v>47728</v>
      </c>
      <c r="AH68" s="158">
        <v>526558</v>
      </c>
      <c r="AI68" s="32">
        <v>21153</v>
      </c>
      <c r="AJ68" s="32">
        <v>182659</v>
      </c>
      <c r="AK68" s="32">
        <v>773739</v>
      </c>
      <c r="AL68" s="107">
        <v>29231</v>
      </c>
      <c r="AM68" s="3"/>
    </row>
    <row r="69" spans="1:39" ht="15" customHeight="1" x14ac:dyDescent="0.2">
      <c r="A69" s="323" t="s">
        <v>62</v>
      </c>
      <c r="B69" s="3" t="s">
        <v>263</v>
      </c>
      <c r="C69" s="32">
        <v>48</v>
      </c>
      <c r="D69" s="32">
        <v>0</v>
      </c>
      <c r="E69" s="324">
        <v>1.4740988840312919</v>
      </c>
      <c r="F69" s="158">
        <v>70.8</v>
      </c>
      <c r="G69" s="32">
        <v>460031</v>
      </c>
      <c r="H69" s="32">
        <v>0</v>
      </c>
      <c r="I69" s="32">
        <v>460031</v>
      </c>
      <c r="J69" s="32">
        <v>22</v>
      </c>
      <c r="K69" s="158">
        <v>1997.279567999999</v>
      </c>
      <c r="L69" s="107">
        <v>5047</v>
      </c>
      <c r="M69" s="32"/>
      <c r="N69" s="323" t="s">
        <v>62</v>
      </c>
      <c r="O69" s="3" t="s">
        <v>263</v>
      </c>
      <c r="P69" s="158">
        <v>6923.3599999999979</v>
      </c>
      <c r="Q69" s="158">
        <v>8920.6</v>
      </c>
      <c r="R69" s="32">
        <v>235286</v>
      </c>
      <c r="S69" s="32">
        <v>28</v>
      </c>
      <c r="T69" s="158">
        <v>97.8</v>
      </c>
      <c r="U69" s="32">
        <v>45016</v>
      </c>
      <c r="V69" s="32">
        <v>246</v>
      </c>
      <c r="W69" s="158">
        <v>406.2</v>
      </c>
      <c r="X69" s="32">
        <v>1989</v>
      </c>
      <c r="Y69" s="107">
        <v>481</v>
      </c>
      <c r="Z69" s="32"/>
      <c r="AA69" s="323" t="s">
        <v>62</v>
      </c>
      <c r="AB69" s="3" t="s">
        <v>263</v>
      </c>
      <c r="AC69" s="158">
        <v>2989.8</v>
      </c>
      <c r="AD69" s="32">
        <v>7238</v>
      </c>
      <c r="AE69" s="32">
        <v>0</v>
      </c>
      <c r="AF69" s="158">
        <v>0</v>
      </c>
      <c r="AG69" s="32">
        <v>0</v>
      </c>
      <c r="AH69" s="158">
        <v>304</v>
      </c>
      <c r="AI69" s="32">
        <v>12</v>
      </c>
      <c r="AJ69" s="32">
        <v>54255</v>
      </c>
      <c r="AK69" s="32">
        <v>749572</v>
      </c>
      <c r="AL69" s="107">
        <v>15162</v>
      </c>
      <c r="AM69" s="3"/>
    </row>
    <row r="70" spans="1:39" ht="15" customHeight="1" x14ac:dyDescent="0.2">
      <c r="A70" s="323" t="s">
        <v>63</v>
      </c>
      <c r="B70" s="3" t="s">
        <v>262</v>
      </c>
      <c r="C70" s="32">
        <v>95</v>
      </c>
      <c r="D70" s="32">
        <v>0</v>
      </c>
      <c r="E70" s="324">
        <v>1.0347229026845677</v>
      </c>
      <c r="F70" s="158">
        <v>98.3</v>
      </c>
      <c r="G70" s="32">
        <v>638716</v>
      </c>
      <c r="H70" s="32">
        <v>0</v>
      </c>
      <c r="I70" s="32">
        <v>638716</v>
      </c>
      <c r="J70" s="32">
        <v>33</v>
      </c>
      <c r="K70" s="158">
        <v>1783.8177509999994</v>
      </c>
      <c r="L70" s="107">
        <v>7306</v>
      </c>
      <c r="M70" s="32"/>
      <c r="N70" s="323" t="s">
        <v>63</v>
      </c>
      <c r="O70" s="3" t="s">
        <v>262</v>
      </c>
      <c r="P70" s="158">
        <v>7005.2199999999993</v>
      </c>
      <c r="Q70" s="158">
        <v>8789</v>
      </c>
      <c r="R70" s="32">
        <v>231815</v>
      </c>
      <c r="S70" s="32">
        <v>40</v>
      </c>
      <c r="T70" s="158">
        <v>179.6</v>
      </c>
      <c r="U70" s="32">
        <v>82668</v>
      </c>
      <c r="V70" s="32">
        <v>793</v>
      </c>
      <c r="W70" s="158">
        <v>1110.2</v>
      </c>
      <c r="X70" s="32">
        <v>5436</v>
      </c>
      <c r="Y70" s="107">
        <v>1256</v>
      </c>
      <c r="Z70" s="32"/>
      <c r="AA70" s="323" t="s">
        <v>63</v>
      </c>
      <c r="AB70" s="3" t="s">
        <v>262</v>
      </c>
      <c r="AC70" s="158">
        <v>6798.9</v>
      </c>
      <c r="AD70" s="32">
        <v>16460</v>
      </c>
      <c r="AE70" s="32">
        <v>109074</v>
      </c>
      <c r="AF70" s="158">
        <v>256103</v>
      </c>
      <c r="AG70" s="32">
        <v>14767</v>
      </c>
      <c r="AH70" s="158">
        <v>175175</v>
      </c>
      <c r="AI70" s="32">
        <v>7037</v>
      </c>
      <c r="AJ70" s="32">
        <v>126368</v>
      </c>
      <c r="AK70" s="32">
        <v>996899</v>
      </c>
      <c r="AL70" s="107">
        <v>68230</v>
      </c>
      <c r="AM70" s="3"/>
    </row>
    <row r="71" spans="1:39" ht="15" customHeight="1" x14ac:dyDescent="0.2">
      <c r="A71" s="323" t="s">
        <v>64</v>
      </c>
      <c r="B71" s="3" t="s">
        <v>261</v>
      </c>
      <c r="C71" s="32">
        <v>170</v>
      </c>
      <c r="D71" s="32">
        <v>0</v>
      </c>
      <c r="E71" s="324">
        <v>1.3445300945117562</v>
      </c>
      <c r="F71" s="158">
        <v>228.6</v>
      </c>
      <c r="G71" s="32">
        <v>1485355</v>
      </c>
      <c r="H71" s="32">
        <v>0</v>
      </c>
      <c r="I71" s="32">
        <v>1485355</v>
      </c>
      <c r="J71" s="32">
        <v>116</v>
      </c>
      <c r="K71" s="158">
        <v>4578.7638729999999</v>
      </c>
      <c r="L71" s="107">
        <v>18587</v>
      </c>
      <c r="M71" s="32"/>
      <c r="N71" s="323" t="s">
        <v>64</v>
      </c>
      <c r="O71" s="3" t="s">
        <v>261</v>
      </c>
      <c r="P71" s="158">
        <v>15644.560000000016</v>
      </c>
      <c r="Q71" s="158">
        <v>20223.3</v>
      </c>
      <c r="R71" s="32">
        <v>533402</v>
      </c>
      <c r="S71" s="32">
        <v>119</v>
      </c>
      <c r="T71" s="158">
        <v>285</v>
      </c>
      <c r="U71" s="32">
        <v>131183</v>
      </c>
      <c r="V71" s="32">
        <v>1067</v>
      </c>
      <c r="W71" s="158">
        <v>1801.1</v>
      </c>
      <c r="X71" s="32">
        <v>8819</v>
      </c>
      <c r="Y71" s="107">
        <v>2747</v>
      </c>
      <c r="Z71" s="32"/>
      <c r="AA71" s="323" t="s">
        <v>64</v>
      </c>
      <c r="AB71" s="3" t="s">
        <v>261</v>
      </c>
      <c r="AC71" s="158">
        <v>13195.4</v>
      </c>
      <c r="AD71" s="32">
        <v>31947</v>
      </c>
      <c r="AE71" s="32">
        <v>115507</v>
      </c>
      <c r="AF71" s="158">
        <v>273230.7</v>
      </c>
      <c r="AG71" s="32">
        <v>15754</v>
      </c>
      <c r="AH71" s="158">
        <v>112356</v>
      </c>
      <c r="AI71" s="32">
        <v>4514</v>
      </c>
      <c r="AJ71" s="32">
        <v>192217</v>
      </c>
      <c r="AK71" s="32">
        <v>2210974</v>
      </c>
      <c r="AL71" s="107">
        <v>90294</v>
      </c>
      <c r="AM71" s="3"/>
    </row>
    <row r="72" spans="1:39" ht="15" customHeight="1" x14ac:dyDescent="0.2">
      <c r="A72" s="323" t="s">
        <v>144</v>
      </c>
      <c r="B72" s="3" t="s">
        <v>259</v>
      </c>
      <c r="C72" s="32">
        <v>29</v>
      </c>
      <c r="D72" s="32">
        <v>0</v>
      </c>
      <c r="E72" s="324">
        <v>0.99509999999999732</v>
      </c>
      <c r="F72" s="158">
        <v>28.9</v>
      </c>
      <c r="G72" s="32">
        <v>187781</v>
      </c>
      <c r="H72" s="32">
        <v>0</v>
      </c>
      <c r="I72" s="32">
        <v>187781</v>
      </c>
      <c r="J72" s="32">
        <v>12</v>
      </c>
      <c r="K72" s="158">
        <v>375.57000000000011</v>
      </c>
      <c r="L72" s="107">
        <v>2150</v>
      </c>
      <c r="M72" s="32"/>
      <c r="N72" s="323" t="s">
        <v>144</v>
      </c>
      <c r="O72" s="3" t="s">
        <v>259</v>
      </c>
      <c r="P72" s="158">
        <v>1495.3250000000005</v>
      </c>
      <c r="Q72" s="158">
        <v>1870.9</v>
      </c>
      <c r="R72" s="32">
        <v>49346</v>
      </c>
      <c r="S72" s="32">
        <v>16</v>
      </c>
      <c r="T72" s="158">
        <v>37.1</v>
      </c>
      <c r="U72" s="32">
        <v>17077</v>
      </c>
      <c r="V72" s="32">
        <v>317</v>
      </c>
      <c r="W72" s="158">
        <v>317</v>
      </c>
      <c r="X72" s="32">
        <v>1552</v>
      </c>
      <c r="Y72" s="107">
        <v>1279</v>
      </c>
      <c r="Z72" s="32"/>
      <c r="AA72" s="323" t="s">
        <v>144</v>
      </c>
      <c r="AB72" s="3" t="s">
        <v>259</v>
      </c>
      <c r="AC72" s="158">
        <v>5218.3</v>
      </c>
      <c r="AD72" s="32">
        <v>12634</v>
      </c>
      <c r="AE72" s="32">
        <v>2201</v>
      </c>
      <c r="AF72" s="158">
        <v>5080.7</v>
      </c>
      <c r="AG72" s="32">
        <v>293</v>
      </c>
      <c r="AH72" s="158">
        <v>1986</v>
      </c>
      <c r="AI72" s="32">
        <v>80</v>
      </c>
      <c r="AJ72" s="32">
        <v>31636</v>
      </c>
      <c r="AK72" s="32">
        <v>268763</v>
      </c>
      <c r="AL72" s="107">
        <v>0</v>
      </c>
      <c r="AM72" s="3"/>
    </row>
    <row r="73" spans="1:39" ht="15" customHeight="1" x14ac:dyDescent="0.2">
      <c r="A73" s="323" t="s">
        <v>65</v>
      </c>
      <c r="B73" s="3" t="s">
        <v>298</v>
      </c>
      <c r="C73" s="32">
        <v>40</v>
      </c>
      <c r="D73" s="32">
        <v>0</v>
      </c>
      <c r="E73" s="324">
        <v>0.74986588921283004</v>
      </c>
      <c r="F73" s="158">
        <v>30</v>
      </c>
      <c r="G73" s="32">
        <v>194929</v>
      </c>
      <c r="H73" s="32">
        <v>0</v>
      </c>
      <c r="I73" s="32">
        <v>194929</v>
      </c>
      <c r="J73" s="32">
        <v>31</v>
      </c>
      <c r="K73" s="158">
        <v>638.8202540000002</v>
      </c>
      <c r="L73" s="107">
        <v>4317.5</v>
      </c>
      <c r="M73" s="32"/>
      <c r="N73" s="323" t="s">
        <v>65</v>
      </c>
      <c r="O73" s="3" t="s">
        <v>298</v>
      </c>
      <c r="P73" s="158">
        <v>2198.9725000000035</v>
      </c>
      <c r="Q73" s="158">
        <v>2837.8</v>
      </c>
      <c r="R73" s="32">
        <v>74849</v>
      </c>
      <c r="S73" s="32">
        <v>37</v>
      </c>
      <c r="T73" s="158">
        <v>113.4</v>
      </c>
      <c r="U73" s="32">
        <v>52197</v>
      </c>
      <c r="V73" s="32">
        <v>515</v>
      </c>
      <c r="W73" s="158">
        <v>808.8</v>
      </c>
      <c r="X73" s="32">
        <v>3960</v>
      </c>
      <c r="Y73" s="107">
        <v>773</v>
      </c>
      <c r="Z73" s="32"/>
      <c r="AA73" s="323" t="s">
        <v>65</v>
      </c>
      <c r="AB73" s="3" t="s">
        <v>298</v>
      </c>
      <c r="AC73" s="158">
        <v>3539.1</v>
      </c>
      <c r="AD73" s="32">
        <v>8568</v>
      </c>
      <c r="AE73" s="32">
        <v>0</v>
      </c>
      <c r="AF73" s="158">
        <v>0</v>
      </c>
      <c r="AG73" s="32">
        <v>0</v>
      </c>
      <c r="AH73" s="158">
        <v>0</v>
      </c>
      <c r="AI73" s="32">
        <v>0</v>
      </c>
      <c r="AJ73" s="32">
        <v>64725</v>
      </c>
      <c r="AK73" s="32">
        <v>334503</v>
      </c>
      <c r="AL73" s="107">
        <v>15364</v>
      </c>
      <c r="AM73" s="3"/>
    </row>
    <row r="74" spans="1:39" ht="15" customHeight="1" x14ac:dyDescent="0.2">
      <c r="A74" s="323" t="s">
        <v>66</v>
      </c>
      <c r="B74" s="3" t="s">
        <v>258</v>
      </c>
      <c r="C74" s="32">
        <v>24</v>
      </c>
      <c r="D74" s="32">
        <v>0</v>
      </c>
      <c r="E74" s="324">
        <v>0.72632749836707999</v>
      </c>
      <c r="F74" s="158">
        <v>17.399999999999999</v>
      </c>
      <c r="G74" s="32">
        <v>113059</v>
      </c>
      <c r="H74" s="32">
        <v>0</v>
      </c>
      <c r="I74" s="32">
        <v>113059</v>
      </c>
      <c r="J74" s="32">
        <v>20</v>
      </c>
      <c r="K74" s="158">
        <v>346.78800000000012</v>
      </c>
      <c r="L74" s="107">
        <v>2550</v>
      </c>
      <c r="M74" s="32"/>
      <c r="N74" s="323" t="s">
        <v>66</v>
      </c>
      <c r="O74" s="3" t="s">
        <v>258</v>
      </c>
      <c r="P74" s="158">
        <v>1292.8500000000001</v>
      </c>
      <c r="Q74" s="158">
        <v>1639.6</v>
      </c>
      <c r="R74" s="32">
        <v>43245</v>
      </c>
      <c r="S74" s="32">
        <v>21</v>
      </c>
      <c r="T74" s="158">
        <v>50.2</v>
      </c>
      <c r="U74" s="32">
        <v>23107</v>
      </c>
      <c r="V74" s="32">
        <v>329</v>
      </c>
      <c r="W74" s="158">
        <v>363.6</v>
      </c>
      <c r="X74" s="32">
        <v>1780</v>
      </c>
      <c r="Y74" s="107">
        <v>814</v>
      </c>
      <c r="Z74" s="32"/>
      <c r="AA74" s="323" t="s">
        <v>66</v>
      </c>
      <c r="AB74" s="3" t="s">
        <v>258</v>
      </c>
      <c r="AC74" s="158">
        <v>2442</v>
      </c>
      <c r="AD74" s="32">
        <v>5912</v>
      </c>
      <c r="AE74" s="32">
        <v>73289</v>
      </c>
      <c r="AF74" s="158">
        <v>110328.8</v>
      </c>
      <c r="AG74" s="32">
        <v>6362</v>
      </c>
      <c r="AH74" s="158">
        <v>77214.8</v>
      </c>
      <c r="AI74" s="32">
        <v>3102</v>
      </c>
      <c r="AJ74" s="32">
        <v>40263</v>
      </c>
      <c r="AK74" s="32">
        <v>196567</v>
      </c>
      <c r="AL74" s="107">
        <v>8451</v>
      </c>
      <c r="AM74" s="3"/>
    </row>
    <row r="75" spans="1:39" ht="15" customHeight="1" x14ac:dyDescent="0.2">
      <c r="A75" s="323" t="s">
        <v>67</v>
      </c>
      <c r="B75" s="3" t="s">
        <v>257</v>
      </c>
      <c r="C75" s="32">
        <v>46</v>
      </c>
      <c r="D75" s="32">
        <v>0</v>
      </c>
      <c r="E75" s="324">
        <v>1.424929885825005</v>
      </c>
      <c r="F75" s="158">
        <v>65.5</v>
      </c>
      <c r="G75" s="32">
        <v>425594</v>
      </c>
      <c r="H75" s="32">
        <v>0</v>
      </c>
      <c r="I75" s="32">
        <v>425594</v>
      </c>
      <c r="J75" s="32">
        <v>11</v>
      </c>
      <c r="K75" s="158">
        <v>919.79994599999986</v>
      </c>
      <c r="L75" s="107">
        <v>3070</v>
      </c>
      <c r="M75" s="32"/>
      <c r="N75" s="323" t="s">
        <v>67</v>
      </c>
      <c r="O75" s="3" t="s">
        <v>257</v>
      </c>
      <c r="P75" s="158">
        <v>4188.4399999999978</v>
      </c>
      <c r="Q75" s="158">
        <v>5108.2</v>
      </c>
      <c r="R75" s="32">
        <v>134732</v>
      </c>
      <c r="S75" s="32">
        <v>22</v>
      </c>
      <c r="T75" s="158">
        <v>67.099999999999994</v>
      </c>
      <c r="U75" s="32">
        <v>30885</v>
      </c>
      <c r="V75" s="32">
        <v>241</v>
      </c>
      <c r="W75" s="158">
        <v>422.1</v>
      </c>
      <c r="X75" s="32">
        <v>2067</v>
      </c>
      <c r="Y75" s="107">
        <v>357</v>
      </c>
      <c r="Z75" s="32"/>
      <c r="AA75" s="323" t="s">
        <v>67</v>
      </c>
      <c r="AB75" s="3" t="s">
        <v>257</v>
      </c>
      <c r="AC75" s="158">
        <v>1584.9</v>
      </c>
      <c r="AD75" s="32">
        <v>3837</v>
      </c>
      <c r="AE75" s="32">
        <v>6816</v>
      </c>
      <c r="AF75" s="158">
        <v>12518.1</v>
      </c>
      <c r="AG75" s="32">
        <v>722</v>
      </c>
      <c r="AH75" s="158">
        <v>16128</v>
      </c>
      <c r="AI75" s="32">
        <v>648</v>
      </c>
      <c r="AJ75" s="32">
        <v>38159</v>
      </c>
      <c r="AK75" s="32">
        <v>598485</v>
      </c>
      <c r="AL75" s="107">
        <v>16544</v>
      </c>
      <c r="AM75" s="3"/>
    </row>
    <row r="76" spans="1:39" ht="15" customHeight="1" x14ac:dyDescent="0.2">
      <c r="A76" s="323" t="s">
        <v>469</v>
      </c>
      <c r="B76" s="3" t="s">
        <v>295</v>
      </c>
      <c r="C76" s="32">
        <v>988</v>
      </c>
      <c r="D76" s="32">
        <v>0</v>
      </c>
      <c r="E76" s="324">
        <v>4.9254507039944091</v>
      </c>
      <c r="F76" s="158">
        <v>4866.3</v>
      </c>
      <c r="G76" s="32">
        <v>31619353</v>
      </c>
      <c r="H76" s="32">
        <v>13000</v>
      </c>
      <c r="I76" s="32">
        <v>31632353</v>
      </c>
      <c r="J76" s="32">
        <v>170</v>
      </c>
      <c r="K76" s="158">
        <v>44350.218108000052</v>
      </c>
      <c r="L76" s="107">
        <v>39255.5</v>
      </c>
      <c r="M76" s="32"/>
      <c r="N76" s="323" t="s">
        <v>469</v>
      </c>
      <c r="O76" s="3" t="s">
        <v>295</v>
      </c>
      <c r="P76" s="158">
        <v>148646.09250000012</v>
      </c>
      <c r="Q76" s="158">
        <v>192996.3</v>
      </c>
      <c r="R76" s="32">
        <v>5090400</v>
      </c>
      <c r="S76" s="32">
        <v>134</v>
      </c>
      <c r="T76" s="158">
        <v>758.4</v>
      </c>
      <c r="U76" s="32">
        <v>349084</v>
      </c>
      <c r="V76" s="32">
        <v>3258</v>
      </c>
      <c r="W76" s="158">
        <v>6010.7</v>
      </c>
      <c r="X76" s="32">
        <v>29430</v>
      </c>
      <c r="Y76" s="107">
        <v>8166</v>
      </c>
      <c r="Z76" s="32"/>
      <c r="AA76" s="323" t="s">
        <v>469</v>
      </c>
      <c r="AB76" s="3" t="s">
        <v>295</v>
      </c>
      <c r="AC76" s="158">
        <v>35483.9</v>
      </c>
      <c r="AD76" s="32">
        <v>85908</v>
      </c>
      <c r="AE76" s="32">
        <v>378923</v>
      </c>
      <c r="AF76" s="158">
        <v>882599.2</v>
      </c>
      <c r="AG76" s="32">
        <v>50890</v>
      </c>
      <c r="AH76" s="158">
        <v>311730</v>
      </c>
      <c r="AI76" s="32">
        <v>12523</v>
      </c>
      <c r="AJ76" s="32">
        <v>527835</v>
      </c>
      <c r="AK76" s="32">
        <v>37250588</v>
      </c>
      <c r="AL76" s="107">
        <v>1021595</v>
      </c>
      <c r="AM76" s="3"/>
    </row>
    <row r="77" spans="1:39" ht="15" customHeight="1" x14ac:dyDescent="0.2">
      <c r="A77" s="323" t="s">
        <v>68</v>
      </c>
      <c r="B77" s="3" t="s">
        <v>256</v>
      </c>
      <c r="C77" s="32">
        <v>1290</v>
      </c>
      <c r="D77" s="32">
        <v>85</v>
      </c>
      <c r="E77" s="324">
        <v>1.0477563669841328</v>
      </c>
      <c r="F77" s="158">
        <v>1351.6</v>
      </c>
      <c r="G77" s="32">
        <v>8782179</v>
      </c>
      <c r="H77" s="32">
        <v>244000</v>
      </c>
      <c r="I77" s="32">
        <v>9026179</v>
      </c>
      <c r="J77" s="32">
        <v>433</v>
      </c>
      <c r="K77" s="158">
        <v>18402.864059999938</v>
      </c>
      <c r="L77" s="107">
        <v>93680.5</v>
      </c>
      <c r="M77" s="32"/>
      <c r="N77" s="323" t="s">
        <v>68</v>
      </c>
      <c r="O77" s="3" t="s">
        <v>256</v>
      </c>
      <c r="P77" s="158">
        <v>79959.404999999882</v>
      </c>
      <c r="Q77" s="158">
        <v>98362.3</v>
      </c>
      <c r="R77" s="32">
        <v>2594368</v>
      </c>
      <c r="S77" s="32">
        <v>749</v>
      </c>
      <c r="T77" s="158">
        <v>2193.8000000000002</v>
      </c>
      <c r="U77" s="32">
        <v>1009784</v>
      </c>
      <c r="V77" s="32">
        <v>4409</v>
      </c>
      <c r="W77" s="158">
        <v>9730.2000000000007</v>
      </c>
      <c r="X77" s="32">
        <v>47642</v>
      </c>
      <c r="Y77" s="107">
        <v>14892</v>
      </c>
      <c r="Z77" s="32"/>
      <c r="AA77" s="323" t="s">
        <v>68</v>
      </c>
      <c r="AB77" s="3" t="s">
        <v>256</v>
      </c>
      <c r="AC77" s="158">
        <v>70272.899999999994</v>
      </c>
      <c r="AD77" s="32">
        <v>170133</v>
      </c>
      <c r="AE77" s="32">
        <v>2035303</v>
      </c>
      <c r="AF77" s="158">
        <v>4713038.5999999996</v>
      </c>
      <c r="AG77" s="32">
        <v>271752</v>
      </c>
      <c r="AH77" s="158">
        <v>2057582.4</v>
      </c>
      <c r="AI77" s="32">
        <v>82659</v>
      </c>
      <c r="AJ77" s="32">
        <v>1581970</v>
      </c>
      <c r="AK77" s="32">
        <v>13202517</v>
      </c>
      <c r="AL77" s="107">
        <v>0</v>
      </c>
      <c r="AM77" s="3"/>
    </row>
    <row r="78" spans="1:39" ht="15" customHeight="1" x14ac:dyDescent="0.2">
      <c r="A78" s="323" t="s">
        <v>69</v>
      </c>
      <c r="B78" s="3" t="s">
        <v>254</v>
      </c>
      <c r="C78" s="32">
        <v>1879</v>
      </c>
      <c r="D78" s="32">
        <v>35</v>
      </c>
      <c r="E78" s="324">
        <v>1.0649767927431086</v>
      </c>
      <c r="F78" s="158">
        <v>2001.1</v>
      </c>
      <c r="G78" s="32">
        <v>13002381</v>
      </c>
      <c r="H78" s="32">
        <v>0</v>
      </c>
      <c r="I78" s="32">
        <v>13002381</v>
      </c>
      <c r="J78" s="32">
        <v>1010</v>
      </c>
      <c r="K78" s="158">
        <v>35182.338936000131</v>
      </c>
      <c r="L78" s="107">
        <v>175545.5</v>
      </c>
      <c r="M78" s="32"/>
      <c r="N78" s="323" t="s">
        <v>69</v>
      </c>
      <c r="O78" s="3" t="s">
        <v>254</v>
      </c>
      <c r="P78" s="158">
        <v>136748.97500000024</v>
      </c>
      <c r="Q78" s="158">
        <v>171931.3</v>
      </c>
      <c r="R78" s="32">
        <v>4534797</v>
      </c>
      <c r="S78" s="32">
        <v>1114</v>
      </c>
      <c r="T78" s="158">
        <v>3328.1</v>
      </c>
      <c r="U78" s="32">
        <v>1531890</v>
      </c>
      <c r="V78" s="32">
        <v>6833</v>
      </c>
      <c r="W78" s="158">
        <v>14764.7</v>
      </c>
      <c r="X78" s="32">
        <v>72292</v>
      </c>
      <c r="Y78" s="107">
        <v>28579</v>
      </c>
      <c r="Z78" s="32"/>
      <c r="AA78" s="323" t="s">
        <v>69</v>
      </c>
      <c r="AB78" s="3" t="s">
        <v>254</v>
      </c>
      <c r="AC78" s="158">
        <v>143854.6</v>
      </c>
      <c r="AD78" s="32">
        <v>348278</v>
      </c>
      <c r="AE78" s="32">
        <v>2155299</v>
      </c>
      <c r="AF78" s="158">
        <v>4269449.0999999996</v>
      </c>
      <c r="AG78" s="32">
        <v>246175</v>
      </c>
      <c r="AH78" s="158">
        <v>1896015</v>
      </c>
      <c r="AI78" s="32">
        <v>76169</v>
      </c>
      <c r="AJ78" s="32">
        <v>2274804</v>
      </c>
      <c r="AK78" s="32">
        <v>19811982</v>
      </c>
      <c r="AL78" s="107">
        <v>0</v>
      </c>
      <c r="AM78" s="3"/>
    </row>
    <row r="79" spans="1:39" ht="15" customHeight="1" x14ac:dyDescent="0.2">
      <c r="A79" s="323" t="s">
        <v>70</v>
      </c>
      <c r="B79" s="3" t="s">
        <v>253</v>
      </c>
      <c r="C79" s="32">
        <v>2804</v>
      </c>
      <c r="D79" s="32">
        <v>70</v>
      </c>
      <c r="E79" s="324">
        <v>1.0983897313518305</v>
      </c>
      <c r="F79" s="158">
        <v>3079.9</v>
      </c>
      <c r="G79" s="32">
        <v>20012010</v>
      </c>
      <c r="H79" s="32">
        <v>30000</v>
      </c>
      <c r="I79" s="32">
        <v>20042010</v>
      </c>
      <c r="J79" s="32">
        <v>1100</v>
      </c>
      <c r="K79" s="158">
        <v>52448.899162000118</v>
      </c>
      <c r="L79" s="107">
        <v>196423.5</v>
      </c>
      <c r="M79" s="32"/>
      <c r="N79" s="323" t="s">
        <v>70</v>
      </c>
      <c r="O79" s="3" t="s">
        <v>253</v>
      </c>
      <c r="P79" s="158">
        <v>171399.06500000044</v>
      </c>
      <c r="Q79" s="158">
        <v>223848</v>
      </c>
      <c r="R79" s="32">
        <v>5904133</v>
      </c>
      <c r="S79" s="32">
        <v>1638</v>
      </c>
      <c r="T79" s="158">
        <v>5187.8</v>
      </c>
      <c r="U79" s="32">
        <v>2387891</v>
      </c>
      <c r="V79" s="32">
        <v>8605</v>
      </c>
      <c r="W79" s="158">
        <v>19080.7</v>
      </c>
      <c r="X79" s="32">
        <v>93425</v>
      </c>
      <c r="Y79" s="107">
        <v>20200</v>
      </c>
      <c r="Z79" s="32"/>
      <c r="AA79" s="323" t="s">
        <v>70</v>
      </c>
      <c r="AB79" s="3" t="s">
        <v>253</v>
      </c>
      <c r="AC79" s="158">
        <v>114750</v>
      </c>
      <c r="AD79" s="32">
        <v>277814</v>
      </c>
      <c r="AE79" s="32">
        <v>1599275</v>
      </c>
      <c r="AF79" s="158">
        <v>3915939.1</v>
      </c>
      <c r="AG79" s="32">
        <v>225792</v>
      </c>
      <c r="AH79" s="158">
        <v>1205251.8999999999</v>
      </c>
      <c r="AI79" s="32">
        <v>48419</v>
      </c>
      <c r="AJ79" s="32">
        <v>3033341</v>
      </c>
      <c r="AK79" s="32">
        <v>28979484</v>
      </c>
      <c r="AL79" s="107">
        <v>0</v>
      </c>
      <c r="AM79" s="3"/>
    </row>
    <row r="80" spans="1:39" ht="15" customHeight="1" x14ac:dyDescent="0.2">
      <c r="A80" s="323" t="s">
        <v>71</v>
      </c>
      <c r="B80" s="3" t="s">
        <v>252</v>
      </c>
      <c r="C80" s="32">
        <f>4755-10</f>
        <v>4745</v>
      </c>
      <c r="D80" s="32">
        <v>400</v>
      </c>
      <c r="E80" s="324">
        <v>1.059429032041536</v>
      </c>
      <c r="F80" s="158">
        <f>5037.6-10.6</f>
        <v>5027</v>
      </c>
      <c r="G80" s="32">
        <f>32732395-68875</f>
        <v>32663520</v>
      </c>
      <c r="H80" s="32">
        <v>23000</v>
      </c>
      <c r="I80" s="32">
        <f>32755395-68875</f>
        <v>32686520</v>
      </c>
      <c r="J80" s="32">
        <v>1787</v>
      </c>
      <c r="K80" s="158">
        <v>91353.451104000909</v>
      </c>
      <c r="L80" s="107">
        <v>333691.49999997002</v>
      </c>
      <c r="M80" s="32"/>
      <c r="N80" s="323" t="s">
        <v>71</v>
      </c>
      <c r="O80" s="3" t="s">
        <v>252</v>
      </c>
      <c r="P80" s="158">
        <v>302574.84999998228</v>
      </c>
      <c r="Q80" s="158">
        <v>393928.3</v>
      </c>
      <c r="R80" s="32">
        <v>10390108</v>
      </c>
      <c r="S80" s="32">
        <v>2643</v>
      </c>
      <c r="T80" s="158">
        <v>7855.7</v>
      </c>
      <c r="U80" s="32">
        <v>3615898</v>
      </c>
      <c r="V80" s="32">
        <v>19108</v>
      </c>
      <c r="W80" s="158">
        <v>40920</v>
      </c>
      <c r="X80" s="32">
        <v>200357</v>
      </c>
      <c r="Y80" s="107">
        <v>41316</v>
      </c>
      <c r="Z80" s="32"/>
      <c r="AA80" s="323" t="s">
        <v>71</v>
      </c>
      <c r="AB80" s="3" t="s">
        <v>252</v>
      </c>
      <c r="AC80" s="158">
        <v>239163</v>
      </c>
      <c r="AD80" s="32">
        <v>579023</v>
      </c>
      <c r="AE80" s="32">
        <v>51732</v>
      </c>
      <c r="AF80" s="158">
        <v>126669.5</v>
      </c>
      <c r="AG80" s="32">
        <v>7304</v>
      </c>
      <c r="AH80" s="158">
        <v>96084</v>
      </c>
      <c r="AI80" s="32">
        <v>3860</v>
      </c>
      <c r="AJ80" s="32">
        <v>4406442</v>
      </c>
      <c r="AK80" s="32">
        <f>47551945-68875</f>
        <v>47483070</v>
      </c>
      <c r="AL80" s="107">
        <v>3354701</v>
      </c>
      <c r="AM80" s="3"/>
    </row>
    <row r="81" spans="1:39" ht="15" customHeight="1" x14ac:dyDescent="0.2">
      <c r="A81" s="323" t="s">
        <v>72</v>
      </c>
      <c r="B81" s="3" t="s">
        <v>250</v>
      </c>
      <c r="C81" s="32">
        <v>228</v>
      </c>
      <c r="D81" s="32">
        <v>0</v>
      </c>
      <c r="E81" s="324">
        <v>1.0724912653432999</v>
      </c>
      <c r="F81" s="158">
        <v>244.5</v>
      </c>
      <c r="G81" s="32">
        <v>1588667</v>
      </c>
      <c r="H81" s="32">
        <v>4000</v>
      </c>
      <c r="I81" s="32">
        <v>1592667</v>
      </c>
      <c r="J81" s="32">
        <v>114</v>
      </c>
      <c r="K81" s="158">
        <v>7021.242019999986</v>
      </c>
      <c r="L81" s="107">
        <v>21867</v>
      </c>
      <c r="M81" s="32"/>
      <c r="N81" s="323" t="s">
        <v>72</v>
      </c>
      <c r="O81" s="3" t="s">
        <v>250</v>
      </c>
      <c r="P81" s="158">
        <v>21473.217499999984</v>
      </c>
      <c r="Q81" s="158">
        <v>28494.5</v>
      </c>
      <c r="R81" s="32">
        <v>751560</v>
      </c>
      <c r="S81" s="32">
        <v>99</v>
      </c>
      <c r="T81" s="158">
        <v>302.89999999999998</v>
      </c>
      <c r="U81" s="32">
        <v>139422</v>
      </c>
      <c r="V81" s="32">
        <v>876</v>
      </c>
      <c r="W81" s="158">
        <v>1881.9</v>
      </c>
      <c r="X81" s="32">
        <v>9214</v>
      </c>
      <c r="Y81" s="107">
        <v>2306</v>
      </c>
      <c r="Z81" s="32"/>
      <c r="AA81" s="323" t="s">
        <v>72</v>
      </c>
      <c r="AB81" s="3" t="s">
        <v>250</v>
      </c>
      <c r="AC81" s="158">
        <v>15057.5</v>
      </c>
      <c r="AD81" s="32">
        <v>36455</v>
      </c>
      <c r="AE81" s="32">
        <v>83485</v>
      </c>
      <c r="AF81" s="158">
        <v>204419</v>
      </c>
      <c r="AG81" s="32">
        <v>11787</v>
      </c>
      <c r="AH81" s="158">
        <v>43322</v>
      </c>
      <c r="AI81" s="32">
        <v>1740</v>
      </c>
      <c r="AJ81" s="32">
        <v>198618</v>
      </c>
      <c r="AK81" s="32">
        <v>2542845</v>
      </c>
      <c r="AL81" s="107">
        <v>150634</v>
      </c>
      <c r="AM81" s="3"/>
    </row>
    <row r="82" spans="1:39" ht="15" customHeight="1" x14ac:dyDescent="0.2">
      <c r="A82" s="323" t="s">
        <v>73</v>
      </c>
      <c r="B82" s="3" t="s">
        <v>246</v>
      </c>
      <c r="C82" s="32">
        <v>82</v>
      </c>
      <c r="D82" s="32">
        <v>0</v>
      </c>
      <c r="E82" s="324">
        <v>0.72540000000000537</v>
      </c>
      <c r="F82" s="158">
        <v>59.5</v>
      </c>
      <c r="G82" s="32">
        <v>386608</v>
      </c>
      <c r="H82" s="32">
        <v>5000</v>
      </c>
      <c r="I82" s="32">
        <v>391608</v>
      </c>
      <c r="J82" s="32">
        <v>147</v>
      </c>
      <c r="K82" s="158">
        <v>1505.7913049999977</v>
      </c>
      <c r="L82" s="107">
        <v>9119.9877999999899</v>
      </c>
      <c r="M82" s="32"/>
      <c r="N82" s="323" t="s">
        <v>73</v>
      </c>
      <c r="O82" s="3" t="s">
        <v>246</v>
      </c>
      <c r="P82" s="158">
        <v>4623.8338145999915</v>
      </c>
      <c r="Q82" s="158">
        <v>6129.6</v>
      </c>
      <c r="R82" s="32">
        <v>161672</v>
      </c>
      <c r="S82" s="32">
        <v>83</v>
      </c>
      <c r="T82" s="158">
        <v>169.5</v>
      </c>
      <c r="U82" s="32">
        <v>78019</v>
      </c>
      <c r="V82" s="32">
        <v>1094</v>
      </c>
      <c r="W82" s="158">
        <v>2079</v>
      </c>
      <c r="X82" s="32">
        <v>10179</v>
      </c>
      <c r="Y82" s="107">
        <v>3945</v>
      </c>
      <c r="Z82" s="32"/>
      <c r="AA82" s="323" t="s">
        <v>73</v>
      </c>
      <c r="AB82" s="3" t="s">
        <v>246</v>
      </c>
      <c r="AC82" s="158">
        <v>21015.1</v>
      </c>
      <c r="AD82" s="32">
        <v>50878</v>
      </c>
      <c r="AE82" s="32">
        <v>283234</v>
      </c>
      <c r="AF82" s="158">
        <v>693518.7</v>
      </c>
      <c r="AG82" s="32">
        <v>39988</v>
      </c>
      <c r="AH82" s="158">
        <v>446296</v>
      </c>
      <c r="AI82" s="32">
        <v>17929</v>
      </c>
      <c r="AJ82" s="32">
        <v>196993</v>
      </c>
      <c r="AK82" s="32">
        <v>750273</v>
      </c>
      <c r="AL82" s="107">
        <v>197998</v>
      </c>
      <c r="AM82" s="3"/>
    </row>
    <row r="83" spans="1:39" ht="15" customHeight="1" x14ac:dyDescent="0.2">
      <c r="A83" s="323" t="s">
        <v>74</v>
      </c>
      <c r="B83" s="3" t="s">
        <v>248</v>
      </c>
      <c r="C83" s="32">
        <v>178</v>
      </c>
      <c r="D83" s="32">
        <v>60</v>
      </c>
      <c r="E83" s="324">
        <v>0.97970067672431083</v>
      </c>
      <c r="F83" s="158">
        <v>174.4</v>
      </c>
      <c r="G83" s="32">
        <v>1133184</v>
      </c>
      <c r="H83" s="32">
        <v>7000</v>
      </c>
      <c r="I83" s="32">
        <v>1140184</v>
      </c>
      <c r="J83" s="32">
        <v>107</v>
      </c>
      <c r="K83" s="158">
        <v>3995.6393910000015</v>
      </c>
      <c r="L83" s="107">
        <v>17320.5</v>
      </c>
      <c r="M83" s="32"/>
      <c r="N83" s="323" t="s">
        <v>74</v>
      </c>
      <c r="O83" s="3" t="s">
        <v>248</v>
      </c>
      <c r="P83" s="158">
        <v>13980.862500000007</v>
      </c>
      <c r="Q83" s="158">
        <v>17976.5</v>
      </c>
      <c r="R83" s="32">
        <v>474142</v>
      </c>
      <c r="S83" s="32">
        <v>135</v>
      </c>
      <c r="T83" s="158">
        <v>417.5</v>
      </c>
      <c r="U83" s="32">
        <v>192171</v>
      </c>
      <c r="V83" s="32">
        <v>930</v>
      </c>
      <c r="W83" s="158">
        <v>2116</v>
      </c>
      <c r="X83" s="32">
        <v>10361</v>
      </c>
      <c r="Y83" s="107">
        <v>3043</v>
      </c>
      <c r="Z83" s="32"/>
      <c r="AA83" s="323" t="s">
        <v>74</v>
      </c>
      <c r="AB83" s="3" t="s">
        <v>248</v>
      </c>
      <c r="AC83" s="158">
        <v>14210.5</v>
      </c>
      <c r="AD83" s="32">
        <v>34404</v>
      </c>
      <c r="AE83" s="32">
        <v>314563</v>
      </c>
      <c r="AF83" s="158">
        <v>770052.2</v>
      </c>
      <c r="AG83" s="32">
        <v>44401</v>
      </c>
      <c r="AH83" s="158">
        <v>1012142</v>
      </c>
      <c r="AI83" s="32">
        <v>40661</v>
      </c>
      <c r="AJ83" s="32">
        <v>321998</v>
      </c>
      <c r="AK83" s="32">
        <v>1936324</v>
      </c>
      <c r="AL83" s="107">
        <v>75582</v>
      </c>
      <c r="AM83" s="3"/>
    </row>
    <row r="84" spans="1:39" ht="15" customHeight="1" x14ac:dyDescent="0.2">
      <c r="A84" s="323" t="s">
        <v>442</v>
      </c>
      <c r="B84" s="3" t="s">
        <v>279</v>
      </c>
      <c r="C84" s="32">
        <v>855</v>
      </c>
      <c r="D84" s="32">
        <v>0</v>
      </c>
      <c r="E84" s="324">
        <v>0.82181379268829746</v>
      </c>
      <c r="F84" s="158">
        <v>702.7</v>
      </c>
      <c r="G84" s="32">
        <v>4565875</v>
      </c>
      <c r="H84" s="32">
        <v>0</v>
      </c>
      <c r="I84" s="32">
        <v>4565875</v>
      </c>
      <c r="J84" s="32">
        <v>342</v>
      </c>
      <c r="K84" s="158">
        <v>14347.294776999952</v>
      </c>
      <c r="L84" s="107">
        <v>66492</v>
      </c>
      <c r="M84" s="32"/>
      <c r="N84" s="323" t="s">
        <v>442</v>
      </c>
      <c r="O84" s="3" t="s">
        <v>279</v>
      </c>
      <c r="P84" s="158">
        <v>48841.950000000026</v>
      </c>
      <c r="Q84" s="158">
        <v>63189.2</v>
      </c>
      <c r="R84" s="32">
        <v>1666655</v>
      </c>
      <c r="S84" s="32">
        <v>597</v>
      </c>
      <c r="T84" s="158">
        <v>1812.9</v>
      </c>
      <c r="U84" s="32">
        <v>834459</v>
      </c>
      <c r="V84" s="32">
        <v>4164</v>
      </c>
      <c r="W84" s="158">
        <v>7184.1</v>
      </c>
      <c r="X84" s="32">
        <v>35176</v>
      </c>
      <c r="Y84" s="107">
        <v>9047</v>
      </c>
      <c r="Z84" s="32"/>
      <c r="AA84" s="323" t="s">
        <v>442</v>
      </c>
      <c r="AB84" s="3" t="s">
        <v>279</v>
      </c>
      <c r="AC84" s="158">
        <v>53233.599999999999</v>
      </c>
      <c r="AD84" s="32">
        <v>128881</v>
      </c>
      <c r="AE84" s="32">
        <v>1055291</v>
      </c>
      <c r="AF84" s="158">
        <v>2583955.4</v>
      </c>
      <c r="AG84" s="32">
        <v>148990</v>
      </c>
      <c r="AH84" s="158">
        <v>1402623</v>
      </c>
      <c r="AI84" s="32">
        <v>56348</v>
      </c>
      <c r="AJ84" s="32">
        <v>1203854</v>
      </c>
      <c r="AK84" s="32">
        <v>7436384</v>
      </c>
      <c r="AL84" s="107">
        <v>360016</v>
      </c>
      <c r="AM84" s="3"/>
    </row>
    <row r="85" spans="1:39" ht="15" customHeight="1" x14ac:dyDescent="0.2">
      <c r="A85" s="323" t="s">
        <v>145</v>
      </c>
      <c r="B85" s="3" t="s">
        <v>247</v>
      </c>
      <c r="C85" s="32">
        <v>0</v>
      </c>
      <c r="D85" s="32">
        <v>0</v>
      </c>
      <c r="E85" s="324">
        <v>0.90474497913316332</v>
      </c>
      <c r="F85" s="158">
        <v>0</v>
      </c>
      <c r="G85" s="32">
        <v>0</v>
      </c>
      <c r="H85" s="32">
        <v>0</v>
      </c>
      <c r="I85" s="32">
        <v>0</v>
      </c>
      <c r="J85" s="32">
        <v>0</v>
      </c>
      <c r="K85" s="158">
        <v>0</v>
      </c>
      <c r="L85" s="107">
        <v>0</v>
      </c>
      <c r="M85" s="32"/>
      <c r="N85" s="323" t="s">
        <v>145</v>
      </c>
      <c r="O85" s="3" t="s">
        <v>247</v>
      </c>
      <c r="P85" s="158">
        <v>0</v>
      </c>
      <c r="Q85" s="158">
        <v>0</v>
      </c>
      <c r="R85" s="32">
        <v>0</v>
      </c>
      <c r="S85" s="32">
        <v>2</v>
      </c>
      <c r="T85" s="158">
        <v>4</v>
      </c>
      <c r="U85" s="32">
        <v>1841</v>
      </c>
      <c r="V85" s="32">
        <v>16</v>
      </c>
      <c r="W85" s="158">
        <v>29.4</v>
      </c>
      <c r="X85" s="32">
        <v>144</v>
      </c>
      <c r="Y85" s="107">
        <v>0</v>
      </c>
      <c r="Z85" s="32"/>
      <c r="AA85" s="323" t="s">
        <v>145</v>
      </c>
      <c r="AB85" s="3" t="s">
        <v>247</v>
      </c>
      <c r="AC85" s="158">
        <v>0</v>
      </c>
      <c r="AD85" s="32">
        <v>0</v>
      </c>
      <c r="AE85" s="32">
        <v>0</v>
      </c>
      <c r="AF85" s="158">
        <v>0</v>
      </c>
      <c r="AG85" s="32">
        <v>0</v>
      </c>
      <c r="AH85" s="158">
        <v>0</v>
      </c>
      <c r="AI85" s="32">
        <v>0</v>
      </c>
      <c r="AJ85" s="32">
        <v>1985</v>
      </c>
      <c r="AK85" s="32">
        <v>1985</v>
      </c>
      <c r="AL85" s="107">
        <v>0</v>
      </c>
      <c r="AM85" s="3"/>
    </row>
    <row r="86" spans="1:39" ht="15" customHeight="1" x14ac:dyDescent="0.2">
      <c r="A86" s="323" t="s">
        <v>75</v>
      </c>
      <c r="B86" s="3" t="s">
        <v>245</v>
      </c>
      <c r="C86" s="32">
        <v>1179</v>
      </c>
      <c r="D86" s="32">
        <v>40</v>
      </c>
      <c r="E86" s="324">
        <v>1.5336530743858017</v>
      </c>
      <c r="F86" s="158">
        <v>1808.2</v>
      </c>
      <c r="G86" s="32">
        <v>11748991</v>
      </c>
      <c r="H86" s="32">
        <v>27000</v>
      </c>
      <c r="I86" s="32">
        <v>11775991</v>
      </c>
      <c r="J86" s="32">
        <v>448</v>
      </c>
      <c r="K86" s="158">
        <v>24342.95478600006</v>
      </c>
      <c r="L86" s="107">
        <v>79960</v>
      </c>
      <c r="M86" s="32"/>
      <c r="N86" s="323" t="s">
        <v>75</v>
      </c>
      <c r="O86" s="3" t="s">
        <v>245</v>
      </c>
      <c r="P86" s="158">
        <v>82054.135000000053</v>
      </c>
      <c r="Q86" s="158">
        <v>106397.1</v>
      </c>
      <c r="R86" s="32">
        <v>2806291</v>
      </c>
      <c r="S86" s="32">
        <v>880</v>
      </c>
      <c r="T86" s="158">
        <v>2617.3000000000002</v>
      </c>
      <c r="U86" s="32">
        <v>1204716</v>
      </c>
      <c r="V86" s="32">
        <v>6046</v>
      </c>
      <c r="W86" s="158">
        <v>10278.6</v>
      </c>
      <c r="X86" s="32">
        <v>50327</v>
      </c>
      <c r="Y86" s="107">
        <v>11288</v>
      </c>
      <c r="Z86" s="32"/>
      <c r="AA86" s="323" t="s">
        <v>75</v>
      </c>
      <c r="AB86" s="3" t="s">
        <v>245</v>
      </c>
      <c r="AC86" s="158">
        <v>57277</v>
      </c>
      <c r="AD86" s="32">
        <v>138670</v>
      </c>
      <c r="AE86" s="32">
        <v>1739379</v>
      </c>
      <c r="AF86" s="158">
        <v>4064577.4</v>
      </c>
      <c r="AG86" s="32">
        <v>234362</v>
      </c>
      <c r="AH86" s="158">
        <v>1823367</v>
      </c>
      <c r="AI86" s="32">
        <v>73250</v>
      </c>
      <c r="AJ86" s="32">
        <v>1701325</v>
      </c>
      <c r="AK86" s="32">
        <v>16283607</v>
      </c>
      <c r="AL86" s="107">
        <v>0</v>
      </c>
      <c r="AM86" s="3"/>
    </row>
    <row r="87" spans="1:39" ht="15" customHeight="1" x14ac:dyDescent="0.2">
      <c r="A87" s="323" t="s">
        <v>76</v>
      </c>
      <c r="B87" s="3" t="s">
        <v>244</v>
      </c>
      <c r="C87" s="32">
        <v>43</v>
      </c>
      <c r="D87" s="32">
        <v>0</v>
      </c>
      <c r="E87" s="324">
        <v>1.4558441312062895</v>
      </c>
      <c r="F87" s="158">
        <v>62.6</v>
      </c>
      <c r="G87" s="32">
        <v>406751</v>
      </c>
      <c r="H87" s="32">
        <v>0</v>
      </c>
      <c r="I87" s="32">
        <v>406751</v>
      </c>
      <c r="J87" s="32">
        <v>25</v>
      </c>
      <c r="K87" s="158">
        <v>2312.6399999999994</v>
      </c>
      <c r="L87" s="107">
        <v>4476</v>
      </c>
      <c r="M87" s="32"/>
      <c r="N87" s="323" t="s">
        <v>76</v>
      </c>
      <c r="O87" s="3" t="s">
        <v>244</v>
      </c>
      <c r="P87" s="158">
        <v>5951.5199999999995</v>
      </c>
      <c r="Q87" s="158">
        <v>8264.2000000000007</v>
      </c>
      <c r="R87" s="32">
        <v>217974</v>
      </c>
      <c r="S87" s="32">
        <v>41</v>
      </c>
      <c r="T87" s="158">
        <v>123.2</v>
      </c>
      <c r="U87" s="32">
        <v>56708</v>
      </c>
      <c r="V87" s="32">
        <v>296</v>
      </c>
      <c r="W87" s="158">
        <v>394.7</v>
      </c>
      <c r="X87" s="32">
        <v>1933</v>
      </c>
      <c r="Y87" s="107">
        <v>452</v>
      </c>
      <c r="Z87" s="32"/>
      <c r="AA87" s="323" t="s">
        <v>76</v>
      </c>
      <c r="AB87" s="3" t="s">
        <v>244</v>
      </c>
      <c r="AC87" s="158">
        <v>1808</v>
      </c>
      <c r="AD87" s="32">
        <v>4377</v>
      </c>
      <c r="AE87" s="32">
        <v>0</v>
      </c>
      <c r="AF87" s="158">
        <v>0</v>
      </c>
      <c r="AG87" s="32">
        <v>0</v>
      </c>
      <c r="AH87" s="158">
        <v>0</v>
      </c>
      <c r="AI87" s="32">
        <v>0</v>
      </c>
      <c r="AJ87" s="32">
        <v>63018</v>
      </c>
      <c r="AK87" s="32">
        <v>687743</v>
      </c>
      <c r="AL87" s="107">
        <v>0</v>
      </c>
      <c r="AM87" s="3"/>
    </row>
    <row r="88" spans="1:39" ht="15" customHeight="1" x14ac:dyDescent="0.2">
      <c r="A88" s="323" t="s">
        <v>77</v>
      </c>
      <c r="B88" s="3" t="s">
        <v>240</v>
      </c>
      <c r="C88" s="32">
        <v>45</v>
      </c>
      <c r="D88" s="32">
        <v>0</v>
      </c>
      <c r="E88" s="324">
        <v>1.4878100110458672</v>
      </c>
      <c r="F88" s="158">
        <v>67</v>
      </c>
      <c r="G88" s="32">
        <v>435340</v>
      </c>
      <c r="H88" s="32">
        <v>0</v>
      </c>
      <c r="I88" s="32">
        <v>435340</v>
      </c>
      <c r="J88" s="32">
        <v>8</v>
      </c>
      <c r="K88" s="158">
        <v>652.32000000000005</v>
      </c>
      <c r="L88" s="107">
        <v>1838</v>
      </c>
      <c r="M88" s="32"/>
      <c r="N88" s="323" t="s">
        <v>77</v>
      </c>
      <c r="O88" s="3" t="s">
        <v>240</v>
      </c>
      <c r="P88" s="158">
        <v>1944.98</v>
      </c>
      <c r="Q88" s="158">
        <v>2597.3000000000002</v>
      </c>
      <c r="R88" s="32">
        <v>68505</v>
      </c>
      <c r="S88" s="32">
        <v>14</v>
      </c>
      <c r="T88" s="158">
        <v>86.7</v>
      </c>
      <c r="U88" s="32">
        <v>39907</v>
      </c>
      <c r="V88" s="32">
        <v>0</v>
      </c>
      <c r="W88" s="158">
        <v>0</v>
      </c>
      <c r="X88" s="32">
        <v>0</v>
      </c>
      <c r="Y88" s="107">
        <v>427</v>
      </c>
      <c r="Z88" s="32"/>
      <c r="AA88" s="323" t="s">
        <v>77</v>
      </c>
      <c r="AB88" s="3" t="s">
        <v>240</v>
      </c>
      <c r="AC88" s="158">
        <v>1761.4</v>
      </c>
      <c r="AD88" s="32">
        <v>4264</v>
      </c>
      <c r="AE88" s="32">
        <v>0</v>
      </c>
      <c r="AF88" s="158">
        <v>0</v>
      </c>
      <c r="AG88" s="32">
        <v>0</v>
      </c>
      <c r="AH88" s="158">
        <v>0</v>
      </c>
      <c r="AI88" s="32">
        <v>0</v>
      </c>
      <c r="AJ88" s="32">
        <v>44171</v>
      </c>
      <c r="AK88" s="32">
        <v>548016</v>
      </c>
      <c r="AL88" s="107">
        <v>39040</v>
      </c>
      <c r="AM88" s="3"/>
    </row>
    <row r="89" spans="1:39" ht="15" customHeight="1" x14ac:dyDescent="0.2">
      <c r="A89" s="323" t="s">
        <v>78</v>
      </c>
      <c r="B89" s="3" t="s">
        <v>239</v>
      </c>
      <c r="C89" s="32">
        <v>70</v>
      </c>
      <c r="D89" s="32">
        <v>0</v>
      </c>
      <c r="E89" s="324">
        <v>0.91754754165892849</v>
      </c>
      <c r="F89" s="158">
        <v>64.2</v>
      </c>
      <c r="G89" s="32">
        <v>417147</v>
      </c>
      <c r="H89" s="32">
        <v>0</v>
      </c>
      <c r="I89" s="32">
        <v>417147</v>
      </c>
      <c r="J89" s="32">
        <v>84</v>
      </c>
      <c r="K89" s="158">
        <v>1627.0018009999997</v>
      </c>
      <c r="L89" s="107">
        <v>8399.998400000015</v>
      </c>
      <c r="M89" s="32"/>
      <c r="N89" s="323" t="s">
        <v>78</v>
      </c>
      <c r="O89" s="3" t="s">
        <v>239</v>
      </c>
      <c r="P89" s="158">
        <v>5116.1177002000122</v>
      </c>
      <c r="Q89" s="158">
        <v>6743.1</v>
      </c>
      <c r="R89" s="32">
        <v>177854</v>
      </c>
      <c r="S89" s="32">
        <v>124</v>
      </c>
      <c r="T89" s="158">
        <v>231.9</v>
      </c>
      <c r="U89" s="32">
        <v>106741</v>
      </c>
      <c r="V89" s="32">
        <v>896</v>
      </c>
      <c r="W89" s="158">
        <v>1213.3</v>
      </c>
      <c r="X89" s="32">
        <v>5941</v>
      </c>
      <c r="Y89" s="107">
        <v>3641</v>
      </c>
      <c r="Z89" s="32"/>
      <c r="AA89" s="323" t="s">
        <v>78</v>
      </c>
      <c r="AB89" s="3" t="s">
        <v>239</v>
      </c>
      <c r="AC89" s="158">
        <v>11590.1</v>
      </c>
      <c r="AD89" s="32">
        <v>28060</v>
      </c>
      <c r="AE89" s="32">
        <v>28726</v>
      </c>
      <c r="AF89" s="158">
        <v>70337.7</v>
      </c>
      <c r="AG89" s="32">
        <v>4056</v>
      </c>
      <c r="AH89" s="158">
        <v>75702</v>
      </c>
      <c r="AI89" s="32">
        <v>3041</v>
      </c>
      <c r="AJ89" s="32">
        <v>147839</v>
      </c>
      <c r="AK89" s="32">
        <v>742840</v>
      </c>
      <c r="AL89" s="107">
        <v>50823</v>
      </c>
      <c r="AM89" s="3"/>
    </row>
    <row r="90" spans="1:39" ht="15" customHeight="1" x14ac:dyDescent="0.2">
      <c r="A90" s="323" t="s">
        <v>79</v>
      </c>
      <c r="B90" s="3" t="s">
        <v>238</v>
      </c>
      <c r="C90" s="32">
        <v>54</v>
      </c>
      <c r="D90" s="32">
        <v>0</v>
      </c>
      <c r="E90" s="324">
        <v>0.82806152444202052</v>
      </c>
      <c r="F90" s="158">
        <v>44.7</v>
      </c>
      <c r="G90" s="32">
        <v>290443</v>
      </c>
      <c r="H90" s="32">
        <v>5000</v>
      </c>
      <c r="I90" s="32">
        <v>295443</v>
      </c>
      <c r="J90" s="32">
        <v>34</v>
      </c>
      <c r="K90" s="158">
        <v>576.57614699999999</v>
      </c>
      <c r="L90" s="107">
        <v>6580</v>
      </c>
      <c r="M90" s="32"/>
      <c r="N90" s="323" t="s">
        <v>79</v>
      </c>
      <c r="O90" s="3" t="s">
        <v>238</v>
      </c>
      <c r="P90" s="158">
        <v>3826.1600000000039</v>
      </c>
      <c r="Q90" s="158">
        <v>4402.7</v>
      </c>
      <c r="R90" s="32">
        <v>116124</v>
      </c>
      <c r="S90" s="32">
        <v>77</v>
      </c>
      <c r="T90" s="158">
        <v>145.6</v>
      </c>
      <c r="U90" s="32">
        <v>67018</v>
      </c>
      <c r="V90" s="32">
        <v>872</v>
      </c>
      <c r="W90" s="158">
        <v>1496.3</v>
      </c>
      <c r="X90" s="32">
        <v>7326</v>
      </c>
      <c r="Y90" s="107">
        <v>1236</v>
      </c>
      <c r="Z90" s="32"/>
      <c r="AA90" s="323" t="s">
        <v>79</v>
      </c>
      <c r="AB90" s="3" t="s">
        <v>238</v>
      </c>
      <c r="AC90" s="158">
        <v>6210.5</v>
      </c>
      <c r="AD90" s="32">
        <v>15036</v>
      </c>
      <c r="AE90" s="32">
        <v>109122</v>
      </c>
      <c r="AF90" s="158">
        <v>224929.8</v>
      </c>
      <c r="AG90" s="32">
        <v>12969</v>
      </c>
      <c r="AH90" s="158">
        <v>67382</v>
      </c>
      <c r="AI90" s="32">
        <v>2707</v>
      </c>
      <c r="AJ90" s="32">
        <v>105056</v>
      </c>
      <c r="AK90" s="32">
        <v>516623</v>
      </c>
      <c r="AL90" s="107">
        <v>39852</v>
      </c>
      <c r="AM90" s="3"/>
    </row>
    <row r="91" spans="1:39" ht="15" customHeight="1" x14ac:dyDescent="0.2">
      <c r="A91" s="323" t="s">
        <v>80</v>
      </c>
      <c r="B91" s="3" t="s">
        <v>237</v>
      </c>
      <c r="C91" s="32">
        <v>988</v>
      </c>
      <c r="D91" s="32">
        <v>15</v>
      </c>
      <c r="E91" s="324">
        <v>1.2416209744281084</v>
      </c>
      <c r="F91" s="158">
        <v>1226.7</v>
      </c>
      <c r="G91" s="32">
        <v>7970627</v>
      </c>
      <c r="H91" s="32">
        <v>0</v>
      </c>
      <c r="I91" s="32">
        <v>7970627</v>
      </c>
      <c r="J91" s="32">
        <v>372</v>
      </c>
      <c r="K91" s="158">
        <v>15824.323591999966</v>
      </c>
      <c r="L91" s="107">
        <v>68318</v>
      </c>
      <c r="M91" s="32"/>
      <c r="N91" s="323" t="s">
        <v>80</v>
      </c>
      <c r="O91" s="3" t="s">
        <v>237</v>
      </c>
      <c r="P91" s="158">
        <v>67129.429999999949</v>
      </c>
      <c r="Q91" s="158">
        <v>82953.8</v>
      </c>
      <c r="R91" s="32">
        <v>2187959</v>
      </c>
      <c r="S91" s="32">
        <v>684</v>
      </c>
      <c r="T91" s="158">
        <v>1763.5</v>
      </c>
      <c r="U91" s="32">
        <v>811721</v>
      </c>
      <c r="V91" s="32">
        <v>3363</v>
      </c>
      <c r="W91" s="158">
        <v>7676.2</v>
      </c>
      <c r="X91" s="32">
        <v>37585</v>
      </c>
      <c r="Y91" s="107">
        <v>10017</v>
      </c>
      <c r="Z91" s="32"/>
      <c r="AA91" s="323" t="s">
        <v>80</v>
      </c>
      <c r="AB91" s="3" t="s">
        <v>237</v>
      </c>
      <c r="AC91" s="158">
        <v>49927.9</v>
      </c>
      <c r="AD91" s="32">
        <v>120877</v>
      </c>
      <c r="AE91" s="32">
        <v>577251</v>
      </c>
      <c r="AF91" s="158">
        <v>1413440.3</v>
      </c>
      <c r="AG91" s="32">
        <v>81499</v>
      </c>
      <c r="AH91" s="158">
        <v>435729</v>
      </c>
      <c r="AI91" s="32">
        <v>17505</v>
      </c>
      <c r="AJ91" s="32">
        <v>1069187</v>
      </c>
      <c r="AK91" s="32">
        <v>11227773</v>
      </c>
      <c r="AL91" s="107">
        <v>0</v>
      </c>
      <c r="AM91" s="3"/>
    </row>
    <row r="92" spans="1:39" ht="15" customHeight="1" x14ac:dyDescent="0.2">
      <c r="A92" s="323" t="s">
        <v>81</v>
      </c>
      <c r="B92" s="3" t="s">
        <v>236</v>
      </c>
      <c r="C92" s="32">
        <v>1420</v>
      </c>
      <c r="D92" s="32">
        <v>15</v>
      </c>
      <c r="E92" s="324">
        <v>0.93284877601371941</v>
      </c>
      <c r="F92" s="158">
        <v>1324.6</v>
      </c>
      <c r="G92" s="32">
        <v>8606743</v>
      </c>
      <c r="H92" s="32">
        <v>47000</v>
      </c>
      <c r="I92" s="32">
        <v>8653743</v>
      </c>
      <c r="J92" s="32">
        <v>496</v>
      </c>
      <c r="K92" s="158">
        <v>23555.016015000063</v>
      </c>
      <c r="L92" s="107">
        <v>94004</v>
      </c>
      <c r="M92" s="32"/>
      <c r="N92" s="323" t="s">
        <v>81</v>
      </c>
      <c r="O92" s="3" t="s">
        <v>236</v>
      </c>
      <c r="P92" s="158">
        <v>78631.964999999924</v>
      </c>
      <c r="Q92" s="158">
        <v>102187</v>
      </c>
      <c r="R92" s="32">
        <v>2695247</v>
      </c>
      <c r="S92" s="32">
        <v>787</v>
      </c>
      <c r="T92" s="158">
        <v>2447.3000000000002</v>
      </c>
      <c r="U92" s="32">
        <v>1126467</v>
      </c>
      <c r="V92" s="32">
        <v>10273</v>
      </c>
      <c r="W92" s="158">
        <v>15990.2</v>
      </c>
      <c r="X92" s="32">
        <v>78293</v>
      </c>
      <c r="Y92" s="107">
        <v>21021</v>
      </c>
      <c r="Z92" s="32"/>
      <c r="AA92" s="323" t="s">
        <v>81</v>
      </c>
      <c r="AB92" s="3" t="s">
        <v>236</v>
      </c>
      <c r="AC92" s="158">
        <v>88248.5</v>
      </c>
      <c r="AD92" s="32">
        <v>213653</v>
      </c>
      <c r="AE92" s="32">
        <v>1339766</v>
      </c>
      <c r="AF92" s="158">
        <v>2991492.8</v>
      </c>
      <c r="AG92" s="32">
        <v>172489</v>
      </c>
      <c r="AH92" s="158">
        <v>2793412</v>
      </c>
      <c r="AI92" s="32">
        <v>112220</v>
      </c>
      <c r="AJ92" s="32">
        <v>1703122</v>
      </c>
      <c r="AK92" s="32">
        <v>13052112</v>
      </c>
      <c r="AL92" s="107">
        <v>727160</v>
      </c>
      <c r="AM92" s="3"/>
    </row>
    <row r="93" spans="1:39" ht="15" customHeight="1" x14ac:dyDescent="0.2">
      <c r="A93" s="323" t="s">
        <v>82</v>
      </c>
      <c r="B93" s="3" t="s">
        <v>235</v>
      </c>
      <c r="C93" s="32">
        <v>99</v>
      </c>
      <c r="D93" s="32">
        <v>30</v>
      </c>
      <c r="E93" s="324">
        <v>1.1163302534536543</v>
      </c>
      <c r="F93" s="158">
        <v>110.5</v>
      </c>
      <c r="G93" s="32">
        <v>717987</v>
      </c>
      <c r="H93" s="32">
        <v>5000</v>
      </c>
      <c r="I93" s="32">
        <v>722987</v>
      </c>
      <c r="J93" s="32">
        <v>26</v>
      </c>
      <c r="K93" s="158">
        <v>1005.4260000000003</v>
      </c>
      <c r="L93" s="107">
        <v>5576</v>
      </c>
      <c r="M93" s="32"/>
      <c r="N93" s="323" t="s">
        <v>82</v>
      </c>
      <c r="O93" s="3" t="s">
        <v>235</v>
      </c>
      <c r="P93" s="158">
        <v>5335.4975000000059</v>
      </c>
      <c r="Q93" s="158">
        <v>6340.9</v>
      </c>
      <c r="R93" s="32">
        <v>167245</v>
      </c>
      <c r="S93" s="32">
        <v>31</v>
      </c>
      <c r="T93" s="158">
        <v>131</v>
      </c>
      <c r="U93" s="32">
        <v>60298</v>
      </c>
      <c r="V93" s="32">
        <v>306</v>
      </c>
      <c r="W93" s="158">
        <v>657.5</v>
      </c>
      <c r="X93" s="32">
        <v>3219</v>
      </c>
      <c r="Y93" s="107">
        <v>344</v>
      </c>
      <c r="Z93" s="32"/>
      <c r="AA93" s="323" t="s">
        <v>82</v>
      </c>
      <c r="AB93" s="3" t="s">
        <v>235</v>
      </c>
      <c r="AC93" s="158">
        <v>2358.5</v>
      </c>
      <c r="AD93" s="32">
        <v>5710</v>
      </c>
      <c r="AE93" s="32">
        <v>56806</v>
      </c>
      <c r="AF93" s="158">
        <v>127529</v>
      </c>
      <c r="AG93" s="32">
        <v>7353</v>
      </c>
      <c r="AH93" s="158">
        <v>79680</v>
      </c>
      <c r="AI93" s="32">
        <v>3201</v>
      </c>
      <c r="AJ93" s="32">
        <v>79781</v>
      </c>
      <c r="AK93" s="32">
        <v>970013</v>
      </c>
      <c r="AL93" s="107">
        <v>57593</v>
      </c>
      <c r="AM93" s="3"/>
    </row>
    <row r="94" spans="1:39" ht="15" customHeight="1" x14ac:dyDescent="0.2">
      <c r="A94" s="323" t="s">
        <v>83</v>
      </c>
      <c r="B94" s="3" t="s">
        <v>242</v>
      </c>
      <c r="C94" s="32">
        <v>5465</v>
      </c>
      <c r="D94" s="32">
        <v>245</v>
      </c>
      <c r="E94" s="324">
        <v>1.1692124845468288</v>
      </c>
      <c r="F94" s="158">
        <v>6389.7</v>
      </c>
      <c r="G94" s="32">
        <v>41517823</v>
      </c>
      <c r="H94" s="32">
        <v>105000</v>
      </c>
      <c r="I94" s="32">
        <v>41622823</v>
      </c>
      <c r="J94" s="32">
        <v>1735</v>
      </c>
      <c r="K94" s="158">
        <v>86728.706185000934</v>
      </c>
      <c r="L94" s="107">
        <v>359300</v>
      </c>
      <c r="M94" s="32"/>
      <c r="N94" s="323" t="s">
        <v>83</v>
      </c>
      <c r="O94" s="3" t="s">
        <v>242</v>
      </c>
      <c r="P94" s="158">
        <v>347828.07249999436</v>
      </c>
      <c r="Q94" s="158">
        <v>434556.8</v>
      </c>
      <c r="R94" s="32">
        <v>11461711</v>
      </c>
      <c r="S94" s="32">
        <v>2899</v>
      </c>
      <c r="T94" s="158">
        <v>9760.2999999999993</v>
      </c>
      <c r="U94" s="32">
        <v>4492566</v>
      </c>
      <c r="V94" s="32">
        <v>24732</v>
      </c>
      <c r="W94" s="158">
        <v>48549.2</v>
      </c>
      <c r="X94" s="32">
        <v>237712</v>
      </c>
      <c r="Y94" s="107">
        <v>99544</v>
      </c>
      <c r="Z94" s="32"/>
      <c r="AA94" s="323" t="s">
        <v>83</v>
      </c>
      <c r="AB94" s="3" t="s">
        <v>242</v>
      </c>
      <c r="AC94" s="158">
        <v>301818</v>
      </c>
      <c r="AD94" s="32">
        <v>730713</v>
      </c>
      <c r="AE94" s="32">
        <v>5502101</v>
      </c>
      <c r="AF94" s="158">
        <v>13310397.4</v>
      </c>
      <c r="AG94" s="32">
        <v>767474</v>
      </c>
      <c r="AH94" s="158">
        <v>3419254.9</v>
      </c>
      <c r="AI94" s="32">
        <v>137362</v>
      </c>
      <c r="AJ94" s="32">
        <v>6365827</v>
      </c>
      <c r="AK94" s="32">
        <v>59450361</v>
      </c>
      <c r="AL94" s="107">
        <v>0</v>
      </c>
      <c r="AM94" s="3"/>
    </row>
    <row r="95" spans="1:39" ht="15" customHeight="1" x14ac:dyDescent="0.2">
      <c r="A95" s="323" t="s">
        <v>84</v>
      </c>
      <c r="B95" s="3" t="s">
        <v>232</v>
      </c>
      <c r="C95" s="32">
        <v>130</v>
      </c>
      <c r="D95" s="32">
        <v>0</v>
      </c>
      <c r="E95" s="324">
        <v>0.914213918281365</v>
      </c>
      <c r="F95" s="158">
        <v>118.8</v>
      </c>
      <c r="G95" s="32">
        <v>771917</v>
      </c>
      <c r="H95" s="32">
        <v>0</v>
      </c>
      <c r="I95" s="32">
        <v>771917</v>
      </c>
      <c r="J95" s="32">
        <v>89</v>
      </c>
      <c r="K95" s="158">
        <v>1923.0295980000014</v>
      </c>
      <c r="L95" s="107">
        <v>14329</v>
      </c>
      <c r="M95" s="32"/>
      <c r="N95" s="323" t="s">
        <v>84</v>
      </c>
      <c r="O95" s="3" t="s">
        <v>232</v>
      </c>
      <c r="P95" s="158">
        <v>11679.409999999971</v>
      </c>
      <c r="Q95" s="158">
        <v>13602.4</v>
      </c>
      <c r="R95" s="32">
        <v>358772</v>
      </c>
      <c r="S95" s="32">
        <v>116</v>
      </c>
      <c r="T95" s="158">
        <v>238</v>
      </c>
      <c r="U95" s="32">
        <v>109549</v>
      </c>
      <c r="V95" s="32">
        <v>1018</v>
      </c>
      <c r="W95" s="158">
        <v>1657.5</v>
      </c>
      <c r="X95" s="32">
        <v>8116</v>
      </c>
      <c r="Y95" s="107">
        <v>2398</v>
      </c>
      <c r="Z95" s="32"/>
      <c r="AA95" s="323" t="s">
        <v>84</v>
      </c>
      <c r="AB95" s="3" t="s">
        <v>232</v>
      </c>
      <c r="AC95" s="158">
        <v>11208.7</v>
      </c>
      <c r="AD95" s="32">
        <v>27137</v>
      </c>
      <c r="AE95" s="32">
        <v>377561</v>
      </c>
      <c r="AF95" s="158">
        <v>777738.5</v>
      </c>
      <c r="AG95" s="32">
        <v>44844</v>
      </c>
      <c r="AH95" s="158">
        <v>300561</v>
      </c>
      <c r="AI95" s="32">
        <v>12074</v>
      </c>
      <c r="AJ95" s="32">
        <v>201720</v>
      </c>
      <c r="AK95" s="32">
        <v>1332409</v>
      </c>
      <c r="AL95" s="107">
        <v>51554</v>
      </c>
      <c r="AM95" s="3"/>
    </row>
    <row r="96" spans="1:39" ht="15" customHeight="1" x14ac:dyDescent="0.2">
      <c r="A96" s="323" t="s">
        <v>85</v>
      </c>
      <c r="B96" s="3" t="s">
        <v>231</v>
      </c>
      <c r="C96" s="32">
        <v>51</v>
      </c>
      <c r="D96" s="32">
        <v>0</v>
      </c>
      <c r="E96" s="324">
        <v>1.2113026703328982</v>
      </c>
      <c r="F96" s="158">
        <v>61.8</v>
      </c>
      <c r="G96" s="32">
        <v>401553</v>
      </c>
      <c r="H96" s="32">
        <v>0</v>
      </c>
      <c r="I96" s="32">
        <v>401553</v>
      </c>
      <c r="J96" s="32">
        <v>16</v>
      </c>
      <c r="K96" s="158">
        <v>786.78000000000009</v>
      </c>
      <c r="L96" s="107">
        <v>4088</v>
      </c>
      <c r="M96" s="32"/>
      <c r="N96" s="323" t="s">
        <v>85</v>
      </c>
      <c r="O96" s="3" t="s">
        <v>231</v>
      </c>
      <c r="P96" s="158">
        <v>3988.9400000000051</v>
      </c>
      <c r="Q96" s="158">
        <v>4775.7</v>
      </c>
      <c r="R96" s="32">
        <v>125962</v>
      </c>
      <c r="S96" s="32">
        <v>38</v>
      </c>
      <c r="T96" s="158">
        <v>97.6</v>
      </c>
      <c r="U96" s="32">
        <v>44924</v>
      </c>
      <c r="V96" s="32">
        <v>556</v>
      </c>
      <c r="W96" s="158">
        <v>667.2</v>
      </c>
      <c r="X96" s="32">
        <v>3267</v>
      </c>
      <c r="Y96" s="107">
        <v>1295</v>
      </c>
      <c r="Z96" s="32"/>
      <c r="AA96" s="323" t="s">
        <v>85</v>
      </c>
      <c r="AB96" s="3" t="s">
        <v>231</v>
      </c>
      <c r="AC96" s="158">
        <v>3217.1</v>
      </c>
      <c r="AD96" s="32">
        <v>7789</v>
      </c>
      <c r="AE96" s="32">
        <v>15672</v>
      </c>
      <c r="AF96" s="158">
        <v>38117.1</v>
      </c>
      <c r="AG96" s="32">
        <v>2198</v>
      </c>
      <c r="AH96" s="158">
        <v>7014</v>
      </c>
      <c r="AI96" s="32">
        <v>282</v>
      </c>
      <c r="AJ96" s="32">
        <v>58460</v>
      </c>
      <c r="AK96" s="32">
        <v>585975</v>
      </c>
      <c r="AL96" s="107">
        <v>38781</v>
      </c>
      <c r="AM96" s="3"/>
    </row>
    <row r="97" spans="1:39" ht="15" customHeight="1" x14ac:dyDescent="0.2">
      <c r="A97" s="323" t="s">
        <v>86</v>
      </c>
      <c r="B97" s="3" t="s">
        <v>230</v>
      </c>
      <c r="C97" s="32">
        <v>235</v>
      </c>
      <c r="D97" s="32">
        <v>95</v>
      </c>
      <c r="E97" s="324">
        <v>0.86356902066823737</v>
      </c>
      <c r="F97" s="158">
        <v>202.9</v>
      </c>
      <c r="G97" s="32">
        <v>1318366</v>
      </c>
      <c r="H97" s="32">
        <v>0</v>
      </c>
      <c r="I97" s="32">
        <v>1318366</v>
      </c>
      <c r="J97" s="32">
        <v>118</v>
      </c>
      <c r="K97" s="158">
        <v>2059.1644929999998</v>
      </c>
      <c r="L97" s="107">
        <v>23005</v>
      </c>
      <c r="M97" s="32"/>
      <c r="N97" s="323" t="s">
        <v>86</v>
      </c>
      <c r="O97" s="3" t="s">
        <v>230</v>
      </c>
      <c r="P97" s="158">
        <v>15523.725000000017</v>
      </c>
      <c r="Q97" s="158">
        <v>17582.900000000001</v>
      </c>
      <c r="R97" s="32">
        <v>463760</v>
      </c>
      <c r="S97" s="32">
        <v>201</v>
      </c>
      <c r="T97" s="158">
        <v>541.5</v>
      </c>
      <c r="U97" s="32">
        <v>249247</v>
      </c>
      <c r="V97" s="32">
        <v>2431</v>
      </c>
      <c r="W97" s="158">
        <v>4360.2</v>
      </c>
      <c r="X97" s="32">
        <v>21349</v>
      </c>
      <c r="Y97" s="107">
        <v>4092</v>
      </c>
      <c r="Z97" s="32"/>
      <c r="AA97" s="323" t="s">
        <v>86</v>
      </c>
      <c r="AB97" s="3" t="s">
        <v>230</v>
      </c>
      <c r="AC97" s="158">
        <v>19579</v>
      </c>
      <c r="AD97" s="32">
        <v>47402</v>
      </c>
      <c r="AE97" s="32">
        <v>72093</v>
      </c>
      <c r="AF97" s="158">
        <v>176524.9</v>
      </c>
      <c r="AG97" s="32">
        <v>10178</v>
      </c>
      <c r="AH97" s="158">
        <v>165984</v>
      </c>
      <c r="AI97" s="32">
        <v>6668</v>
      </c>
      <c r="AJ97" s="32">
        <v>334844</v>
      </c>
      <c r="AK97" s="32">
        <v>2116970</v>
      </c>
      <c r="AL97" s="107">
        <v>129756</v>
      </c>
      <c r="AM97" s="3"/>
    </row>
    <row r="98" spans="1:39" ht="15" customHeight="1" x14ac:dyDescent="0.2">
      <c r="A98" s="323" t="s">
        <v>87</v>
      </c>
      <c r="B98" s="3" t="s">
        <v>234</v>
      </c>
      <c r="C98" s="32">
        <v>124</v>
      </c>
      <c r="D98" s="32">
        <v>0</v>
      </c>
      <c r="E98" s="324">
        <v>1.3403926529845305</v>
      </c>
      <c r="F98" s="158">
        <v>166.2</v>
      </c>
      <c r="G98" s="32">
        <v>1079904</v>
      </c>
      <c r="H98" s="32">
        <v>0</v>
      </c>
      <c r="I98" s="32">
        <v>1079904</v>
      </c>
      <c r="J98" s="32">
        <v>58</v>
      </c>
      <c r="K98" s="158">
        <v>5094.9182910000018</v>
      </c>
      <c r="L98" s="107">
        <v>10978</v>
      </c>
      <c r="M98" s="32"/>
      <c r="N98" s="323" t="s">
        <v>87</v>
      </c>
      <c r="O98" s="3" t="s">
        <v>234</v>
      </c>
      <c r="P98" s="158">
        <v>13641.887499999993</v>
      </c>
      <c r="Q98" s="158">
        <v>18736.8</v>
      </c>
      <c r="R98" s="32">
        <v>494195</v>
      </c>
      <c r="S98" s="32">
        <v>102</v>
      </c>
      <c r="T98" s="158">
        <v>295</v>
      </c>
      <c r="U98" s="32">
        <v>135785</v>
      </c>
      <c r="V98" s="32">
        <v>791</v>
      </c>
      <c r="W98" s="158">
        <v>1401.7</v>
      </c>
      <c r="X98" s="32">
        <v>6863</v>
      </c>
      <c r="Y98" s="107">
        <v>1076</v>
      </c>
      <c r="Z98" s="32"/>
      <c r="AA98" s="323" t="s">
        <v>87</v>
      </c>
      <c r="AB98" s="3" t="s">
        <v>234</v>
      </c>
      <c r="AC98" s="158">
        <v>6568.4</v>
      </c>
      <c r="AD98" s="32">
        <v>15902</v>
      </c>
      <c r="AE98" s="32">
        <v>302452</v>
      </c>
      <c r="AF98" s="158">
        <v>389008.9</v>
      </c>
      <c r="AG98" s="32">
        <v>22430</v>
      </c>
      <c r="AH98" s="158">
        <v>340955</v>
      </c>
      <c r="AI98" s="32">
        <v>13697</v>
      </c>
      <c r="AJ98" s="32">
        <v>194677</v>
      </c>
      <c r="AK98" s="32">
        <v>1768776</v>
      </c>
      <c r="AL98" s="107">
        <v>258024</v>
      </c>
      <c r="AM98" s="3"/>
    </row>
    <row r="99" spans="1:39" ht="15" customHeight="1" x14ac:dyDescent="0.2">
      <c r="A99" s="323" t="s">
        <v>88</v>
      </c>
      <c r="B99" s="3" t="s">
        <v>233</v>
      </c>
      <c r="C99" s="32">
        <v>68</v>
      </c>
      <c r="D99" s="32">
        <v>0</v>
      </c>
      <c r="E99" s="324">
        <v>1.1018034336285594</v>
      </c>
      <c r="F99" s="158">
        <v>74.900000000000006</v>
      </c>
      <c r="G99" s="32">
        <v>486672</v>
      </c>
      <c r="H99" s="32">
        <v>0</v>
      </c>
      <c r="I99" s="32">
        <v>486672</v>
      </c>
      <c r="J99" s="32">
        <v>28</v>
      </c>
      <c r="K99" s="158">
        <v>1097.1901620000003</v>
      </c>
      <c r="L99" s="107">
        <v>5299</v>
      </c>
      <c r="M99" s="32"/>
      <c r="N99" s="323" t="s">
        <v>88</v>
      </c>
      <c r="O99" s="3" t="s">
        <v>233</v>
      </c>
      <c r="P99" s="158">
        <v>4439.2699999999986</v>
      </c>
      <c r="Q99" s="158">
        <v>5536.5</v>
      </c>
      <c r="R99" s="32">
        <v>146029</v>
      </c>
      <c r="S99" s="32">
        <v>53</v>
      </c>
      <c r="T99" s="158">
        <v>185</v>
      </c>
      <c r="U99" s="32">
        <v>85154</v>
      </c>
      <c r="V99" s="32">
        <v>282</v>
      </c>
      <c r="W99" s="158">
        <v>446</v>
      </c>
      <c r="X99" s="32">
        <v>2184</v>
      </c>
      <c r="Y99" s="107">
        <v>530</v>
      </c>
      <c r="Z99" s="32"/>
      <c r="AA99" s="323" t="s">
        <v>88</v>
      </c>
      <c r="AB99" s="3" t="s">
        <v>233</v>
      </c>
      <c r="AC99" s="158">
        <v>3294.4</v>
      </c>
      <c r="AD99" s="32">
        <v>7976</v>
      </c>
      <c r="AE99" s="32">
        <v>38306</v>
      </c>
      <c r="AF99" s="158">
        <v>84801.9</v>
      </c>
      <c r="AG99" s="32">
        <v>4890</v>
      </c>
      <c r="AH99" s="158">
        <v>38276</v>
      </c>
      <c r="AI99" s="32">
        <v>1538</v>
      </c>
      <c r="AJ99" s="32">
        <v>101742</v>
      </c>
      <c r="AK99" s="32">
        <v>734443</v>
      </c>
      <c r="AL99" s="107">
        <v>27809</v>
      </c>
      <c r="AM99" s="3"/>
    </row>
    <row r="100" spans="1:39" ht="15" customHeight="1" x14ac:dyDescent="0.2">
      <c r="A100" s="323" t="s">
        <v>89</v>
      </c>
      <c r="B100" s="3" t="s">
        <v>228</v>
      </c>
      <c r="C100" s="32">
        <v>184</v>
      </c>
      <c r="D100" s="32">
        <v>0</v>
      </c>
      <c r="E100" s="324">
        <v>0.89121116860782024</v>
      </c>
      <c r="F100" s="158">
        <v>164</v>
      </c>
      <c r="G100" s="32">
        <v>1065609</v>
      </c>
      <c r="H100" s="32">
        <v>5000</v>
      </c>
      <c r="I100" s="32">
        <v>1070609</v>
      </c>
      <c r="J100" s="32">
        <v>102</v>
      </c>
      <c r="K100" s="158">
        <v>2766.4211629999986</v>
      </c>
      <c r="L100" s="107">
        <v>16878.5</v>
      </c>
      <c r="M100" s="32"/>
      <c r="N100" s="323" t="s">
        <v>89</v>
      </c>
      <c r="O100" s="3" t="s">
        <v>228</v>
      </c>
      <c r="P100" s="158">
        <v>11167.925000000007</v>
      </c>
      <c r="Q100" s="158">
        <v>13934.3</v>
      </c>
      <c r="R100" s="32">
        <v>367526</v>
      </c>
      <c r="S100" s="32">
        <v>76</v>
      </c>
      <c r="T100" s="158">
        <v>271.39999999999998</v>
      </c>
      <c r="U100" s="32">
        <v>124923</v>
      </c>
      <c r="V100" s="32">
        <v>1302</v>
      </c>
      <c r="W100" s="158">
        <v>2501.1999999999998</v>
      </c>
      <c r="X100" s="32">
        <v>12247</v>
      </c>
      <c r="Y100" s="107">
        <v>2267</v>
      </c>
      <c r="Z100" s="32"/>
      <c r="AA100" s="323" t="s">
        <v>89</v>
      </c>
      <c r="AB100" s="3" t="s">
        <v>228</v>
      </c>
      <c r="AC100" s="158">
        <v>12082.1</v>
      </c>
      <c r="AD100" s="32">
        <v>29251</v>
      </c>
      <c r="AE100" s="32">
        <v>208661</v>
      </c>
      <c r="AF100" s="158">
        <v>505625.4</v>
      </c>
      <c r="AG100" s="32">
        <v>29154</v>
      </c>
      <c r="AH100" s="158">
        <v>466406.8</v>
      </c>
      <c r="AI100" s="32">
        <v>18737</v>
      </c>
      <c r="AJ100" s="32">
        <v>214312</v>
      </c>
      <c r="AK100" s="32">
        <v>1652447</v>
      </c>
      <c r="AL100" s="107">
        <v>85173</v>
      </c>
      <c r="AM100" s="3"/>
    </row>
    <row r="101" spans="1:39" ht="15" customHeight="1" x14ac:dyDescent="0.2">
      <c r="A101" s="323" t="s">
        <v>90</v>
      </c>
      <c r="B101" s="3" t="s">
        <v>227</v>
      </c>
      <c r="C101" s="32">
        <v>1862</v>
      </c>
      <c r="D101" s="32">
        <v>95</v>
      </c>
      <c r="E101" s="324">
        <v>1.0108404674560103</v>
      </c>
      <c r="F101" s="158">
        <v>1882.2</v>
      </c>
      <c r="G101" s="32">
        <v>12229815</v>
      </c>
      <c r="H101" s="32">
        <v>37000</v>
      </c>
      <c r="I101" s="32">
        <v>12266815</v>
      </c>
      <c r="J101" s="32">
        <v>837</v>
      </c>
      <c r="K101" s="158">
        <v>37327.643938999936</v>
      </c>
      <c r="L101" s="107">
        <v>152080.5</v>
      </c>
      <c r="M101" s="32"/>
      <c r="N101" s="323" t="s">
        <v>90</v>
      </c>
      <c r="O101" s="3" t="s">
        <v>227</v>
      </c>
      <c r="P101" s="158">
        <v>128063.35749999982</v>
      </c>
      <c r="Q101" s="158">
        <v>165391</v>
      </c>
      <c r="R101" s="32">
        <v>4362292</v>
      </c>
      <c r="S101" s="32">
        <v>1127</v>
      </c>
      <c r="T101" s="158">
        <v>3496.3</v>
      </c>
      <c r="U101" s="32">
        <v>1609311</v>
      </c>
      <c r="V101" s="32">
        <v>7352</v>
      </c>
      <c r="W101" s="158">
        <v>15451.4</v>
      </c>
      <c r="X101" s="32">
        <v>75655</v>
      </c>
      <c r="Y101" s="107">
        <v>25429</v>
      </c>
      <c r="Z101" s="32"/>
      <c r="AA101" s="323" t="s">
        <v>90</v>
      </c>
      <c r="AB101" s="3" t="s">
        <v>227</v>
      </c>
      <c r="AC101" s="158">
        <v>117951.7</v>
      </c>
      <c r="AD101" s="32">
        <v>285566</v>
      </c>
      <c r="AE101" s="32">
        <v>1914519</v>
      </c>
      <c r="AF101" s="158">
        <v>4503865.3</v>
      </c>
      <c r="AG101" s="32">
        <v>259692</v>
      </c>
      <c r="AH101" s="158">
        <v>2054169.9</v>
      </c>
      <c r="AI101" s="32">
        <v>82522</v>
      </c>
      <c r="AJ101" s="32">
        <v>2312746</v>
      </c>
      <c r="AK101" s="32">
        <v>18941853</v>
      </c>
      <c r="AL101" s="107">
        <v>0</v>
      </c>
      <c r="AM101" s="3"/>
    </row>
    <row r="102" spans="1:39" ht="15" customHeight="1" x14ac:dyDescent="0.2">
      <c r="A102" s="323" t="s">
        <v>91</v>
      </c>
      <c r="B102" s="3" t="s">
        <v>226</v>
      </c>
      <c r="C102" s="32">
        <v>124</v>
      </c>
      <c r="D102" s="32">
        <v>0</v>
      </c>
      <c r="E102" s="324">
        <v>0.88681160407117876</v>
      </c>
      <c r="F102" s="158">
        <v>110</v>
      </c>
      <c r="G102" s="32">
        <v>714738</v>
      </c>
      <c r="H102" s="32">
        <v>0</v>
      </c>
      <c r="I102" s="32">
        <v>714738</v>
      </c>
      <c r="J102" s="32">
        <v>71</v>
      </c>
      <c r="K102" s="158">
        <v>784.83652799999913</v>
      </c>
      <c r="L102" s="107">
        <v>8815</v>
      </c>
      <c r="M102" s="32"/>
      <c r="N102" s="323" t="s">
        <v>91</v>
      </c>
      <c r="O102" s="3" t="s">
        <v>226</v>
      </c>
      <c r="P102" s="158">
        <v>4469.2050000000027</v>
      </c>
      <c r="Q102" s="158">
        <v>5254</v>
      </c>
      <c r="R102" s="32">
        <v>138578</v>
      </c>
      <c r="S102" s="32">
        <v>54</v>
      </c>
      <c r="T102" s="158">
        <v>90.8</v>
      </c>
      <c r="U102" s="32">
        <v>41794</v>
      </c>
      <c r="V102" s="32">
        <v>273</v>
      </c>
      <c r="W102" s="158">
        <v>610.79999999999995</v>
      </c>
      <c r="X102" s="32">
        <v>2991</v>
      </c>
      <c r="Y102" s="107">
        <v>1374</v>
      </c>
      <c r="Z102" s="32"/>
      <c r="AA102" s="323" t="s">
        <v>91</v>
      </c>
      <c r="AB102" s="3" t="s">
        <v>226</v>
      </c>
      <c r="AC102" s="158">
        <v>7860.3</v>
      </c>
      <c r="AD102" s="32">
        <v>19030</v>
      </c>
      <c r="AE102" s="32">
        <v>30429</v>
      </c>
      <c r="AF102" s="158">
        <v>72120.399999999994</v>
      </c>
      <c r="AG102" s="32">
        <v>4158</v>
      </c>
      <c r="AH102" s="158">
        <v>0</v>
      </c>
      <c r="AI102" s="32">
        <v>0</v>
      </c>
      <c r="AJ102" s="32">
        <v>67973</v>
      </c>
      <c r="AK102" s="32">
        <v>921289</v>
      </c>
      <c r="AL102" s="107">
        <v>94815</v>
      </c>
      <c r="AM102" s="3"/>
    </row>
    <row r="103" spans="1:39" ht="15" customHeight="1" x14ac:dyDescent="0.2">
      <c r="A103" s="323" t="s">
        <v>437</v>
      </c>
      <c r="B103" s="3" t="s">
        <v>249</v>
      </c>
      <c r="C103" s="32">
        <v>1465</v>
      </c>
      <c r="D103" s="32">
        <v>0</v>
      </c>
      <c r="E103" s="324">
        <v>0.7412435330577366</v>
      </c>
      <c r="F103" s="158">
        <v>1085.9000000000001</v>
      </c>
      <c r="G103" s="32">
        <v>7055762</v>
      </c>
      <c r="H103" s="32">
        <v>0</v>
      </c>
      <c r="I103" s="32">
        <v>7055762</v>
      </c>
      <c r="J103" s="32">
        <v>1345</v>
      </c>
      <c r="K103" s="158">
        <v>19615.373583999928</v>
      </c>
      <c r="L103" s="107">
        <v>176159.78724200337</v>
      </c>
      <c r="M103" s="32"/>
      <c r="N103" s="323" t="s">
        <v>437</v>
      </c>
      <c r="O103" s="3" t="s">
        <v>249</v>
      </c>
      <c r="P103" s="158">
        <v>100182.05615355978</v>
      </c>
      <c r="Q103" s="158">
        <v>119797.4</v>
      </c>
      <c r="R103" s="32">
        <v>3159732</v>
      </c>
      <c r="S103" s="32">
        <v>1531</v>
      </c>
      <c r="T103" s="158">
        <v>3029.6</v>
      </c>
      <c r="U103" s="32">
        <v>1394494</v>
      </c>
      <c r="V103" s="32">
        <v>12903</v>
      </c>
      <c r="W103" s="158">
        <v>25483.4</v>
      </c>
      <c r="X103" s="32">
        <v>124774</v>
      </c>
      <c r="Y103" s="107">
        <v>48426</v>
      </c>
      <c r="Z103" s="32"/>
      <c r="AA103" s="323" t="s">
        <v>437</v>
      </c>
      <c r="AB103" s="3" t="s">
        <v>249</v>
      </c>
      <c r="AC103" s="158">
        <v>225681.9</v>
      </c>
      <c r="AD103" s="32">
        <v>546385</v>
      </c>
      <c r="AE103" s="32">
        <v>1028799</v>
      </c>
      <c r="AF103" s="158">
        <v>2519087.7999999998</v>
      </c>
      <c r="AG103" s="32">
        <v>145250</v>
      </c>
      <c r="AH103" s="158">
        <v>1345393.9</v>
      </c>
      <c r="AI103" s="32">
        <v>54049</v>
      </c>
      <c r="AJ103" s="32">
        <v>2264952</v>
      </c>
      <c r="AK103" s="32">
        <v>12480446</v>
      </c>
      <c r="AL103" s="107">
        <v>1136797</v>
      </c>
      <c r="AM103" s="3"/>
    </row>
    <row r="104" spans="1:39" ht="15" customHeight="1" x14ac:dyDescent="0.2">
      <c r="A104" s="323" t="s">
        <v>92</v>
      </c>
      <c r="B104" s="3" t="s">
        <v>225</v>
      </c>
      <c r="C104" s="32">
        <v>41</v>
      </c>
      <c r="D104" s="32">
        <v>0</v>
      </c>
      <c r="E104" s="324">
        <v>0.7550474840494098</v>
      </c>
      <c r="F104" s="158">
        <v>31</v>
      </c>
      <c r="G104" s="32">
        <v>201426</v>
      </c>
      <c r="H104" s="32">
        <v>0</v>
      </c>
      <c r="I104" s="32">
        <v>201426</v>
      </c>
      <c r="J104" s="32">
        <v>20</v>
      </c>
      <c r="K104" s="158">
        <v>182.52000000000004</v>
      </c>
      <c r="L104" s="107">
        <v>3680</v>
      </c>
      <c r="M104" s="32"/>
      <c r="N104" s="323" t="s">
        <v>92</v>
      </c>
      <c r="O104" s="3" t="s">
        <v>225</v>
      </c>
      <c r="P104" s="158">
        <v>1885.7599999999991</v>
      </c>
      <c r="Q104" s="158">
        <v>2068.3000000000002</v>
      </c>
      <c r="R104" s="32">
        <v>54553</v>
      </c>
      <c r="S104" s="32">
        <v>41</v>
      </c>
      <c r="T104" s="158">
        <v>96</v>
      </c>
      <c r="U104" s="32">
        <v>44188</v>
      </c>
      <c r="V104" s="32">
        <v>164</v>
      </c>
      <c r="W104" s="158">
        <v>368.1</v>
      </c>
      <c r="X104" s="32">
        <v>1802</v>
      </c>
      <c r="Y104" s="107">
        <v>790</v>
      </c>
      <c r="Z104" s="32"/>
      <c r="AA104" s="323" t="s">
        <v>92</v>
      </c>
      <c r="AB104" s="3" t="s">
        <v>225</v>
      </c>
      <c r="AC104" s="158">
        <v>3318</v>
      </c>
      <c r="AD104" s="32">
        <v>8033</v>
      </c>
      <c r="AE104" s="32">
        <v>90557</v>
      </c>
      <c r="AF104" s="158">
        <v>206756.6</v>
      </c>
      <c r="AG104" s="32">
        <v>11922</v>
      </c>
      <c r="AH104" s="158">
        <v>220176</v>
      </c>
      <c r="AI104" s="32">
        <v>8845</v>
      </c>
      <c r="AJ104" s="32">
        <v>74790</v>
      </c>
      <c r="AK104" s="32">
        <v>330769</v>
      </c>
      <c r="AL104" s="107">
        <v>11740</v>
      </c>
      <c r="AM104" s="3"/>
    </row>
    <row r="105" spans="1:39" ht="15" customHeight="1" x14ac:dyDescent="0.2">
      <c r="A105" s="323" t="s">
        <v>93</v>
      </c>
      <c r="B105" s="3" t="s">
        <v>224</v>
      </c>
      <c r="C105" s="32">
        <v>55</v>
      </c>
      <c r="D105" s="32">
        <v>0</v>
      </c>
      <c r="E105" s="324">
        <v>1.1321699186004155</v>
      </c>
      <c r="F105" s="158">
        <v>62.3</v>
      </c>
      <c r="G105" s="32">
        <v>404802</v>
      </c>
      <c r="H105" s="32">
        <v>0</v>
      </c>
      <c r="I105" s="32">
        <v>404802</v>
      </c>
      <c r="J105" s="32">
        <v>21</v>
      </c>
      <c r="K105" s="158">
        <v>553.55427000000009</v>
      </c>
      <c r="L105" s="107">
        <v>5470</v>
      </c>
      <c r="M105" s="32"/>
      <c r="N105" s="323" t="s">
        <v>93</v>
      </c>
      <c r="O105" s="3" t="s">
        <v>224</v>
      </c>
      <c r="P105" s="158">
        <v>4964.2900000000054</v>
      </c>
      <c r="Q105" s="158">
        <v>5517.8</v>
      </c>
      <c r="R105" s="32">
        <v>145535</v>
      </c>
      <c r="S105" s="32">
        <v>51</v>
      </c>
      <c r="T105" s="158">
        <v>112.1</v>
      </c>
      <c r="U105" s="32">
        <v>51598</v>
      </c>
      <c r="V105" s="32">
        <v>316</v>
      </c>
      <c r="W105" s="158">
        <v>659.1</v>
      </c>
      <c r="X105" s="32">
        <v>3227</v>
      </c>
      <c r="Y105" s="107">
        <v>759</v>
      </c>
      <c r="Z105" s="32"/>
      <c r="AA105" s="323" t="s">
        <v>93</v>
      </c>
      <c r="AB105" s="3" t="s">
        <v>224</v>
      </c>
      <c r="AC105" s="158">
        <v>4127.8999999999996</v>
      </c>
      <c r="AD105" s="32">
        <v>9994</v>
      </c>
      <c r="AE105" s="32">
        <v>52816</v>
      </c>
      <c r="AF105" s="158">
        <v>117182.5</v>
      </c>
      <c r="AG105" s="32">
        <v>6757</v>
      </c>
      <c r="AH105" s="158">
        <v>28531</v>
      </c>
      <c r="AI105" s="32">
        <v>1146</v>
      </c>
      <c r="AJ105" s="32">
        <v>72722</v>
      </c>
      <c r="AK105" s="32">
        <v>623059</v>
      </c>
      <c r="AL105" s="107">
        <v>31583</v>
      </c>
      <c r="AM105" s="3"/>
    </row>
    <row r="106" spans="1:39" ht="15" customHeight="1" x14ac:dyDescent="0.2">
      <c r="A106" s="323" t="s">
        <v>94</v>
      </c>
      <c r="B106" s="3" t="s">
        <v>223</v>
      </c>
      <c r="C106" s="32">
        <v>3208</v>
      </c>
      <c r="D106" s="32">
        <v>255</v>
      </c>
      <c r="E106" s="324">
        <v>1.2429230698826279</v>
      </c>
      <c r="F106" s="158">
        <v>3987.3</v>
      </c>
      <c r="G106" s="32">
        <v>25907948</v>
      </c>
      <c r="H106" s="32">
        <v>72000</v>
      </c>
      <c r="I106" s="32">
        <v>25979948</v>
      </c>
      <c r="J106" s="32">
        <v>1110</v>
      </c>
      <c r="K106" s="158">
        <v>58785.022852999507</v>
      </c>
      <c r="L106" s="107">
        <v>224407.5</v>
      </c>
      <c r="M106" s="32"/>
      <c r="N106" s="323" t="s">
        <v>94</v>
      </c>
      <c r="O106" s="3" t="s">
        <v>223</v>
      </c>
      <c r="P106" s="158">
        <v>222974.72499999963</v>
      </c>
      <c r="Q106" s="158">
        <v>281759.7</v>
      </c>
      <c r="R106" s="32">
        <v>7431590</v>
      </c>
      <c r="S106" s="32">
        <v>1702</v>
      </c>
      <c r="T106" s="158">
        <v>5141.2</v>
      </c>
      <c r="U106" s="32">
        <v>2366442</v>
      </c>
      <c r="V106" s="32">
        <v>17543</v>
      </c>
      <c r="W106" s="158">
        <v>31659.8</v>
      </c>
      <c r="X106" s="32">
        <v>155016</v>
      </c>
      <c r="Y106" s="107">
        <v>35393</v>
      </c>
      <c r="Z106" s="32"/>
      <c r="AA106" s="323" t="s">
        <v>94</v>
      </c>
      <c r="AB106" s="3" t="s">
        <v>223</v>
      </c>
      <c r="AC106" s="158">
        <v>176909.6</v>
      </c>
      <c r="AD106" s="32">
        <v>428305</v>
      </c>
      <c r="AE106" s="32">
        <v>3465548</v>
      </c>
      <c r="AF106" s="158">
        <v>8102962.7999999998</v>
      </c>
      <c r="AG106" s="32">
        <v>467214</v>
      </c>
      <c r="AH106" s="158">
        <v>3103229.8</v>
      </c>
      <c r="AI106" s="32">
        <v>124666</v>
      </c>
      <c r="AJ106" s="32">
        <v>3541643</v>
      </c>
      <c r="AK106" s="32">
        <v>36953181</v>
      </c>
      <c r="AL106" s="107">
        <v>0</v>
      </c>
      <c r="AM106" s="3"/>
    </row>
    <row r="107" spans="1:39" ht="15" customHeight="1" x14ac:dyDescent="0.2">
      <c r="A107" s="323" t="s">
        <v>95</v>
      </c>
      <c r="B107" s="3" t="s">
        <v>221</v>
      </c>
      <c r="C107" s="32">
        <v>1970</v>
      </c>
      <c r="D107" s="32">
        <v>150</v>
      </c>
      <c r="E107" s="324">
        <v>1.0792391689592009</v>
      </c>
      <c r="F107" s="158">
        <v>2126.1</v>
      </c>
      <c r="G107" s="32">
        <v>13814583</v>
      </c>
      <c r="H107" s="32">
        <v>0</v>
      </c>
      <c r="I107" s="32">
        <v>13814583</v>
      </c>
      <c r="J107" s="32">
        <v>734</v>
      </c>
      <c r="K107" s="158">
        <v>36909.196302000077</v>
      </c>
      <c r="L107" s="107">
        <v>143279</v>
      </c>
      <c r="M107" s="32"/>
      <c r="N107" s="323" t="s">
        <v>95</v>
      </c>
      <c r="O107" s="3" t="s">
        <v>221</v>
      </c>
      <c r="P107" s="158">
        <v>132365.3225000003</v>
      </c>
      <c r="Q107" s="158">
        <v>169274.5</v>
      </c>
      <c r="R107" s="32">
        <v>4464722</v>
      </c>
      <c r="S107" s="32">
        <v>1260</v>
      </c>
      <c r="T107" s="158">
        <v>3791.1</v>
      </c>
      <c r="U107" s="32">
        <v>1745004</v>
      </c>
      <c r="V107" s="32">
        <v>7023</v>
      </c>
      <c r="W107" s="158">
        <v>15990.2</v>
      </c>
      <c r="X107" s="32">
        <v>78293</v>
      </c>
      <c r="Y107" s="107">
        <v>22769</v>
      </c>
      <c r="Z107" s="32"/>
      <c r="AA107" s="323" t="s">
        <v>95</v>
      </c>
      <c r="AB107" s="3" t="s">
        <v>221</v>
      </c>
      <c r="AC107" s="158">
        <v>110484.5</v>
      </c>
      <c r="AD107" s="32">
        <v>267487</v>
      </c>
      <c r="AE107" s="32">
        <v>1744710</v>
      </c>
      <c r="AF107" s="158">
        <v>4157207.1</v>
      </c>
      <c r="AG107" s="32">
        <v>239703</v>
      </c>
      <c r="AH107" s="158">
        <v>888952</v>
      </c>
      <c r="AI107" s="32">
        <v>35712</v>
      </c>
      <c r="AJ107" s="32">
        <v>2366199</v>
      </c>
      <c r="AK107" s="32">
        <v>20645504</v>
      </c>
      <c r="AL107" s="107">
        <v>0</v>
      </c>
      <c r="AM107" s="3"/>
    </row>
    <row r="108" spans="1:39" ht="15" customHeight="1" x14ac:dyDescent="0.2">
      <c r="A108" s="323" t="s">
        <v>96</v>
      </c>
      <c r="B108" s="3" t="s">
        <v>220</v>
      </c>
      <c r="C108" s="32">
        <v>3911</v>
      </c>
      <c r="D108" s="32">
        <v>40</v>
      </c>
      <c r="E108" s="324">
        <v>1.0434192099534212</v>
      </c>
      <c r="F108" s="158">
        <v>4080.8</v>
      </c>
      <c r="G108" s="32">
        <v>26515475</v>
      </c>
      <c r="H108" s="32">
        <v>89000</v>
      </c>
      <c r="I108" s="32">
        <v>26604475</v>
      </c>
      <c r="J108" s="32">
        <v>1505</v>
      </c>
      <c r="K108" s="158">
        <v>55924.896279000423</v>
      </c>
      <c r="L108" s="107">
        <v>297935</v>
      </c>
      <c r="M108" s="32"/>
      <c r="N108" s="323" t="s">
        <v>96</v>
      </c>
      <c r="O108" s="3" t="s">
        <v>220</v>
      </c>
      <c r="P108" s="158">
        <v>248258.03999999914</v>
      </c>
      <c r="Q108" s="158">
        <v>304182.90000000002</v>
      </c>
      <c r="R108" s="32">
        <v>8023017</v>
      </c>
      <c r="S108" s="32">
        <v>2064</v>
      </c>
      <c r="T108" s="158">
        <v>6062.9</v>
      </c>
      <c r="U108" s="32">
        <v>2790691</v>
      </c>
      <c r="V108" s="32">
        <v>10293</v>
      </c>
      <c r="W108" s="158">
        <v>24677.599999999999</v>
      </c>
      <c r="X108" s="32">
        <v>120829</v>
      </c>
      <c r="Y108" s="107">
        <v>23132</v>
      </c>
      <c r="Z108" s="32"/>
      <c r="AA108" s="323" t="s">
        <v>96</v>
      </c>
      <c r="AB108" s="3" t="s">
        <v>220</v>
      </c>
      <c r="AC108" s="158">
        <v>151374.1</v>
      </c>
      <c r="AD108" s="32">
        <v>366483</v>
      </c>
      <c r="AE108" s="32">
        <v>4640907</v>
      </c>
      <c r="AF108" s="158">
        <v>11016612.699999999</v>
      </c>
      <c r="AG108" s="32">
        <v>635215</v>
      </c>
      <c r="AH108" s="158">
        <v>2642181.4</v>
      </c>
      <c r="AI108" s="32">
        <v>106145</v>
      </c>
      <c r="AJ108" s="32">
        <v>4019363</v>
      </c>
      <c r="AK108" s="32">
        <v>38646855</v>
      </c>
      <c r="AL108" s="107">
        <v>0</v>
      </c>
      <c r="AM108" s="3"/>
    </row>
    <row r="109" spans="1:39" ht="15" customHeight="1" x14ac:dyDescent="0.2">
      <c r="A109" s="323" t="s">
        <v>97</v>
      </c>
      <c r="B109" s="3" t="s">
        <v>219</v>
      </c>
      <c r="C109" s="32">
        <v>2493</v>
      </c>
      <c r="D109" s="32">
        <v>240</v>
      </c>
      <c r="E109" s="324">
        <v>1.0389371154483498</v>
      </c>
      <c r="F109" s="158">
        <v>2590.1</v>
      </c>
      <c r="G109" s="32">
        <v>16829478</v>
      </c>
      <c r="H109" s="32">
        <v>50000</v>
      </c>
      <c r="I109" s="32">
        <v>16879478</v>
      </c>
      <c r="J109" s="32">
        <v>1016</v>
      </c>
      <c r="K109" s="158">
        <v>48354.832979999454</v>
      </c>
      <c r="L109" s="107">
        <v>214296</v>
      </c>
      <c r="M109" s="32"/>
      <c r="N109" s="323" t="s">
        <v>97</v>
      </c>
      <c r="O109" s="3" t="s">
        <v>219</v>
      </c>
      <c r="P109" s="158">
        <v>190035.78249999863</v>
      </c>
      <c r="Q109" s="158">
        <v>238390.6</v>
      </c>
      <c r="R109" s="32">
        <v>6287703</v>
      </c>
      <c r="S109" s="32">
        <v>1487</v>
      </c>
      <c r="T109" s="158">
        <v>3762.3</v>
      </c>
      <c r="U109" s="32">
        <v>1731748</v>
      </c>
      <c r="V109" s="32">
        <v>13450</v>
      </c>
      <c r="W109" s="158">
        <v>25968.9</v>
      </c>
      <c r="X109" s="32">
        <v>127152</v>
      </c>
      <c r="Y109" s="107">
        <v>32334</v>
      </c>
      <c r="Z109" s="32"/>
      <c r="AA109" s="323" t="s">
        <v>97</v>
      </c>
      <c r="AB109" s="3" t="s">
        <v>219</v>
      </c>
      <c r="AC109" s="158">
        <v>162082.4</v>
      </c>
      <c r="AD109" s="32">
        <v>392408</v>
      </c>
      <c r="AE109" s="32">
        <v>4444892</v>
      </c>
      <c r="AF109" s="158">
        <v>10561452</v>
      </c>
      <c r="AG109" s="32">
        <v>608970</v>
      </c>
      <c r="AH109" s="158">
        <v>5282421.5999999996</v>
      </c>
      <c r="AI109" s="32">
        <v>212211</v>
      </c>
      <c r="AJ109" s="32">
        <v>3072489</v>
      </c>
      <c r="AK109" s="32">
        <v>26239670</v>
      </c>
      <c r="AL109" s="107">
        <v>0</v>
      </c>
      <c r="AM109" s="3"/>
    </row>
    <row r="110" spans="1:39" ht="15" customHeight="1" x14ac:dyDescent="0.2">
      <c r="A110" s="323" t="s">
        <v>98</v>
      </c>
      <c r="B110" s="3" t="s">
        <v>218</v>
      </c>
      <c r="C110" s="32">
        <v>6116</v>
      </c>
      <c r="D110" s="32">
        <v>430</v>
      </c>
      <c r="E110" s="324">
        <v>1.1105317792016782</v>
      </c>
      <c r="F110" s="158">
        <v>6792</v>
      </c>
      <c r="G110" s="32">
        <v>44131814</v>
      </c>
      <c r="H110" s="32">
        <v>122000</v>
      </c>
      <c r="I110" s="32">
        <v>44253814</v>
      </c>
      <c r="J110" s="32">
        <v>2122</v>
      </c>
      <c r="K110" s="158">
        <v>93622.49235699921</v>
      </c>
      <c r="L110" s="107">
        <v>426994</v>
      </c>
      <c r="M110" s="32"/>
      <c r="N110" s="323" t="s">
        <v>98</v>
      </c>
      <c r="O110" s="3" t="s">
        <v>218</v>
      </c>
      <c r="P110" s="158">
        <v>380274.84499999497</v>
      </c>
      <c r="Q110" s="158">
        <v>473897.3</v>
      </c>
      <c r="R110" s="32">
        <v>12499341</v>
      </c>
      <c r="S110" s="32">
        <v>3628</v>
      </c>
      <c r="T110" s="158">
        <v>10747.5</v>
      </c>
      <c r="U110" s="32">
        <v>4946964</v>
      </c>
      <c r="V110" s="32">
        <v>38935</v>
      </c>
      <c r="W110" s="158">
        <v>68447.7</v>
      </c>
      <c r="X110" s="32">
        <v>335141</v>
      </c>
      <c r="Y110" s="107">
        <v>68190</v>
      </c>
      <c r="Z110" s="32"/>
      <c r="AA110" s="323" t="s">
        <v>98</v>
      </c>
      <c r="AB110" s="3" t="s">
        <v>218</v>
      </c>
      <c r="AC110" s="158">
        <v>338929.7</v>
      </c>
      <c r="AD110" s="32">
        <v>820562</v>
      </c>
      <c r="AE110" s="32">
        <v>8570764</v>
      </c>
      <c r="AF110" s="158">
        <v>20293576.5</v>
      </c>
      <c r="AG110" s="32">
        <v>1170122</v>
      </c>
      <c r="AH110" s="158">
        <v>8186200</v>
      </c>
      <c r="AI110" s="32">
        <v>328865</v>
      </c>
      <c r="AJ110" s="32">
        <v>7601654</v>
      </c>
      <c r="AK110" s="32">
        <v>64354809</v>
      </c>
      <c r="AL110" s="107">
        <v>0</v>
      </c>
      <c r="AM110" s="3"/>
    </row>
    <row r="111" spans="1:39" ht="15" customHeight="1" x14ac:dyDescent="0.2">
      <c r="A111" s="323" t="s">
        <v>99</v>
      </c>
      <c r="B111" s="3" t="s">
        <v>217</v>
      </c>
      <c r="C111" s="32">
        <v>4777</v>
      </c>
      <c r="D111" s="32">
        <v>400</v>
      </c>
      <c r="E111" s="324">
        <v>1.1408997068937785</v>
      </c>
      <c r="F111" s="158">
        <v>5450.1</v>
      </c>
      <c r="G111" s="32">
        <v>35412662</v>
      </c>
      <c r="H111" s="32">
        <v>37000</v>
      </c>
      <c r="I111" s="32">
        <v>35449662</v>
      </c>
      <c r="J111" s="32">
        <v>1804</v>
      </c>
      <c r="K111" s="158">
        <v>88231.819550999149</v>
      </c>
      <c r="L111" s="107">
        <v>347435</v>
      </c>
      <c r="M111" s="32"/>
      <c r="N111" s="323" t="s">
        <v>99</v>
      </c>
      <c r="O111" s="3" t="s">
        <v>217</v>
      </c>
      <c r="P111" s="158">
        <v>318836.22749999666</v>
      </c>
      <c r="Q111" s="158">
        <v>407068</v>
      </c>
      <c r="R111" s="32">
        <v>10736676</v>
      </c>
      <c r="S111" s="32">
        <v>2815</v>
      </c>
      <c r="T111" s="158">
        <v>8362.1</v>
      </c>
      <c r="U111" s="32">
        <v>3848989</v>
      </c>
      <c r="V111" s="32">
        <v>19385</v>
      </c>
      <c r="W111" s="158">
        <v>41899.599999999999</v>
      </c>
      <c r="X111" s="32">
        <v>205153</v>
      </c>
      <c r="Y111" s="107">
        <v>42827</v>
      </c>
      <c r="Z111" s="32"/>
      <c r="AA111" s="323" t="s">
        <v>99</v>
      </c>
      <c r="AB111" s="3" t="s">
        <v>217</v>
      </c>
      <c r="AC111" s="158">
        <v>247091.7</v>
      </c>
      <c r="AD111" s="32">
        <v>598219</v>
      </c>
      <c r="AE111" s="32">
        <v>4638341</v>
      </c>
      <c r="AF111" s="158">
        <v>11100195.5</v>
      </c>
      <c r="AG111" s="32">
        <v>640034</v>
      </c>
      <c r="AH111" s="158">
        <v>5142834</v>
      </c>
      <c r="AI111" s="32">
        <v>206603</v>
      </c>
      <c r="AJ111" s="32">
        <v>5498998</v>
      </c>
      <c r="AK111" s="32">
        <v>51685336</v>
      </c>
      <c r="AL111" s="107">
        <v>0</v>
      </c>
      <c r="AM111" s="3"/>
    </row>
    <row r="112" spans="1:39" ht="15" customHeight="1" x14ac:dyDescent="0.2">
      <c r="A112" s="323" t="s">
        <v>100</v>
      </c>
      <c r="B112" s="3" t="s">
        <v>216</v>
      </c>
      <c r="C112" s="32">
        <v>2241</v>
      </c>
      <c r="D112" s="32">
        <v>140</v>
      </c>
      <c r="E112" s="324">
        <v>1.0734543493985176</v>
      </c>
      <c r="F112" s="158">
        <v>2405.6</v>
      </c>
      <c r="G112" s="32">
        <v>15630667</v>
      </c>
      <c r="H112" s="32">
        <v>63000</v>
      </c>
      <c r="I112" s="32">
        <v>15693667</v>
      </c>
      <c r="J112" s="32">
        <v>799</v>
      </c>
      <c r="K112" s="158">
        <v>35174.72999200003</v>
      </c>
      <c r="L112" s="107">
        <v>163083</v>
      </c>
      <c r="M112" s="32"/>
      <c r="N112" s="323" t="s">
        <v>100</v>
      </c>
      <c r="O112" s="3" t="s">
        <v>216</v>
      </c>
      <c r="P112" s="158">
        <v>143893.18000000081</v>
      </c>
      <c r="Q112" s="158">
        <v>179067.9</v>
      </c>
      <c r="R112" s="32">
        <v>4723029</v>
      </c>
      <c r="S112" s="32">
        <v>1505</v>
      </c>
      <c r="T112" s="158">
        <v>4123.1000000000004</v>
      </c>
      <c r="U112" s="32">
        <v>1897821</v>
      </c>
      <c r="V112" s="32">
        <v>10790</v>
      </c>
      <c r="W112" s="158">
        <v>22210.400000000001</v>
      </c>
      <c r="X112" s="32">
        <v>108749</v>
      </c>
      <c r="Y112" s="107">
        <v>27840</v>
      </c>
      <c r="Z112" s="32"/>
      <c r="AA112" s="323" t="s">
        <v>100</v>
      </c>
      <c r="AB112" s="3" t="s">
        <v>216</v>
      </c>
      <c r="AC112" s="158">
        <v>133747.4</v>
      </c>
      <c r="AD112" s="32">
        <v>323808</v>
      </c>
      <c r="AE112" s="32">
        <v>2056008</v>
      </c>
      <c r="AF112" s="158">
        <v>5034282.4000000004</v>
      </c>
      <c r="AG112" s="32">
        <v>290275</v>
      </c>
      <c r="AH112" s="158">
        <v>4305111</v>
      </c>
      <c r="AI112" s="32">
        <v>172949</v>
      </c>
      <c r="AJ112" s="32">
        <v>2793602</v>
      </c>
      <c r="AK112" s="32">
        <v>23210298</v>
      </c>
      <c r="AL112" s="107">
        <v>723834</v>
      </c>
      <c r="AM112" s="3"/>
    </row>
    <row r="113" spans="1:39" ht="15" customHeight="1" x14ac:dyDescent="0.2">
      <c r="A113" s="323" t="s">
        <v>146</v>
      </c>
      <c r="B113" s="3" t="s">
        <v>215</v>
      </c>
      <c r="C113" s="32">
        <v>52</v>
      </c>
      <c r="D113" s="32">
        <v>0</v>
      </c>
      <c r="E113" s="324">
        <v>1.0834725007161286</v>
      </c>
      <c r="F113" s="158">
        <v>56.3</v>
      </c>
      <c r="G113" s="32">
        <v>365816</v>
      </c>
      <c r="H113" s="32">
        <v>6685000</v>
      </c>
      <c r="I113" s="32">
        <v>7050816</v>
      </c>
      <c r="J113" s="32">
        <v>0</v>
      </c>
      <c r="K113" s="158">
        <v>0</v>
      </c>
      <c r="L113" s="107">
        <v>0</v>
      </c>
      <c r="M113" s="32"/>
      <c r="N113" s="323" t="s">
        <v>146</v>
      </c>
      <c r="O113" s="3" t="s">
        <v>215</v>
      </c>
      <c r="P113" s="158">
        <v>0</v>
      </c>
      <c r="Q113" s="158">
        <v>0</v>
      </c>
      <c r="R113" s="32">
        <v>0</v>
      </c>
      <c r="S113" s="32">
        <v>0</v>
      </c>
      <c r="T113" s="158">
        <v>0</v>
      </c>
      <c r="U113" s="32">
        <v>0</v>
      </c>
      <c r="V113" s="32">
        <v>0</v>
      </c>
      <c r="W113" s="158">
        <v>0</v>
      </c>
      <c r="X113" s="32">
        <v>0</v>
      </c>
      <c r="Y113" s="107">
        <v>0</v>
      </c>
      <c r="Z113" s="32"/>
      <c r="AA113" s="323" t="s">
        <v>146</v>
      </c>
      <c r="AB113" s="3" t="s">
        <v>215</v>
      </c>
      <c r="AC113" s="158">
        <v>0</v>
      </c>
      <c r="AD113" s="32">
        <v>0</v>
      </c>
      <c r="AE113" s="32">
        <v>0</v>
      </c>
      <c r="AF113" s="158">
        <v>0</v>
      </c>
      <c r="AG113" s="32">
        <v>0</v>
      </c>
      <c r="AH113" s="158">
        <v>0</v>
      </c>
      <c r="AI113" s="32">
        <v>0</v>
      </c>
      <c r="AJ113" s="32">
        <v>0</v>
      </c>
      <c r="AK113" s="32">
        <v>7050816</v>
      </c>
      <c r="AL113" s="107">
        <v>835665</v>
      </c>
      <c r="AM113" s="3"/>
    </row>
    <row r="114" spans="1:39" ht="15" customHeight="1" x14ac:dyDescent="0.2">
      <c r="A114" s="323" t="s">
        <v>101</v>
      </c>
      <c r="B114" s="3" t="s">
        <v>213</v>
      </c>
      <c r="C114" s="32">
        <v>27</v>
      </c>
      <c r="D114" s="32">
        <v>0</v>
      </c>
      <c r="E114" s="324">
        <v>1.1192826628693475</v>
      </c>
      <c r="F114" s="158">
        <v>30.2</v>
      </c>
      <c r="G114" s="32">
        <v>196228</v>
      </c>
      <c r="H114" s="32">
        <v>240000</v>
      </c>
      <c r="I114" s="32">
        <v>436228</v>
      </c>
      <c r="J114" s="32">
        <v>10</v>
      </c>
      <c r="K114" s="158">
        <v>770.39999999999986</v>
      </c>
      <c r="L114" s="107">
        <v>1345</v>
      </c>
      <c r="M114" s="32"/>
      <c r="N114" s="323" t="s">
        <v>101</v>
      </c>
      <c r="O114" s="3" t="s">
        <v>213</v>
      </c>
      <c r="P114" s="158">
        <v>1434.7999999999997</v>
      </c>
      <c r="Q114" s="158">
        <v>2205.1999999999998</v>
      </c>
      <c r="R114" s="32">
        <v>58164</v>
      </c>
      <c r="S114" s="32">
        <v>12</v>
      </c>
      <c r="T114" s="158">
        <v>87.3</v>
      </c>
      <c r="U114" s="32">
        <v>40183</v>
      </c>
      <c r="V114" s="32">
        <v>124</v>
      </c>
      <c r="W114" s="158">
        <v>159.4</v>
      </c>
      <c r="X114" s="32">
        <v>780</v>
      </c>
      <c r="Y114" s="107">
        <v>86</v>
      </c>
      <c r="Z114" s="32"/>
      <c r="AA114" s="323" t="s">
        <v>101</v>
      </c>
      <c r="AB114" s="3" t="s">
        <v>213</v>
      </c>
      <c r="AC114" s="158">
        <v>631.70000000000005</v>
      </c>
      <c r="AD114" s="32">
        <v>1529</v>
      </c>
      <c r="AE114" s="32">
        <v>0</v>
      </c>
      <c r="AF114" s="158">
        <v>0</v>
      </c>
      <c r="AG114" s="32">
        <v>0</v>
      </c>
      <c r="AH114" s="158">
        <v>0</v>
      </c>
      <c r="AI114" s="32">
        <v>0</v>
      </c>
      <c r="AJ114" s="32">
        <v>42492</v>
      </c>
      <c r="AK114" s="32">
        <v>536884</v>
      </c>
      <c r="AL114" s="107">
        <v>53884</v>
      </c>
      <c r="AM114" s="3"/>
    </row>
    <row r="115" spans="1:39" ht="15" customHeight="1" x14ac:dyDescent="0.2">
      <c r="A115" s="323" t="s">
        <v>130</v>
      </c>
      <c r="B115" s="3" t="s">
        <v>212</v>
      </c>
      <c r="C115" s="32">
        <v>21</v>
      </c>
      <c r="D115" s="32">
        <v>0</v>
      </c>
      <c r="E115" s="324">
        <v>0.99509999999999765</v>
      </c>
      <c r="F115" s="158">
        <v>20.9</v>
      </c>
      <c r="G115" s="32">
        <v>135800</v>
      </c>
      <c r="H115" s="32">
        <v>0</v>
      </c>
      <c r="I115" s="32">
        <v>135800</v>
      </c>
      <c r="J115" s="32">
        <v>30</v>
      </c>
      <c r="K115" s="158">
        <v>413.12736000000018</v>
      </c>
      <c r="L115" s="107">
        <v>2519.9985600000005</v>
      </c>
      <c r="M115" s="32"/>
      <c r="N115" s="323" t="s">
        <v>130</v>
      </c>
      <c r="O115" s="3" t="s">
        <v>212</v>
      </c>
      <c r="P115" s="158">
        <v>1752.6589984800003</v>
      </c>
      <c r="Q115" s="158">
        <v>2165.8000000000002</v>
      </c>
      <c r="R115" s="32">
        <v>57124</v>
      </c>
      <c r="S115" s="32">
        <v>32</v>
      </c>
      <c r="T115" s="158">
        <v>50.3</v>
      </c>
      <c r="U115" s="32">
        <v>23153</v>
      </c>
      <c r="V115" s="32">
        <v>502</v>
      </c>
      <c r="W115" s="158">
        <v>609.6</v>
      </c>
      <c r="X115" s="32">
        <v>2985</v>
      </c>
      <c r="Y115" s="107">
        <v>892</v>
      </c>
      <c r="Z115" s="32"/>
      <c r="AA115" s="323" t="s">
        <v>130</v>
      </c>
      <c r="AB115" s="3" t="s">
        <v>212</v>
      </c>
      <c r="AC115" s="158">
        <v>3419.3</v>
      </c>
      <c r="AD115" s="32">
        <v>8278</v>
      </c>
      <c r="AE115" s="32">
        <v>2107</v>
      </c>
      <c r="AF115" s="158">
        <v>5159.1000000000004</v>
      </c>
      <c r="AG115" s="32">
        <v>297</v>
      </c>
      <c r="AH115" s="158">
        <v>11118</v>
      </c>
      <c r="AI115" s="32">
        <v>447</v>
      </c>
      <c r="AJ115" s="32">
        <v>35160</v>
      </c>
      <c r="AK115" s="32">
        <v>228084</v>
      </c>
      <c r="AL115" s="107">
        <v>14138</v>
      </c>
      <c r="AM115" s="3"/>
    </row>
    <row r="116" spans="1:39" ht="15" customHeight="1" x14ac:dyDescent="0.2">
      <c r="A116" s="323" t="s">
        <v>102</v>
      </c>
      <c r="B116" s="3" t="s">
        <v>211</v>
      </c>
      <c r="C116" s="32">
        <v>105</v>
      </c>
      <c r="D116" s="32">
        <v>0</v>
      </c>
      <c r="E116" s="324">
        <v>1.4759425422054819</v>
      </c>
      <c r="F116" s="158">
        <v>155</v>
      </c>
      <c r="G116" s="32">
        <v>1007131</v>
      </c>
      <c r="H116" s="32">
        <v>0</v>
      </c>
      <c r="I116" s="32">
        <v>1007131</v>
      </c>
      <c r="J116" s="32">
        <v>39</v>
      </c>
      <c r="K116" s="158">
        <v>2455.1991900000012</v>
      </c>
      <c r="L116" s="107">
        <v>8501</v>
      </c>
      <c r="M116" s="32"/>
      <c r="N116" s="323" t="s">
        <v>102</v>
      </c>
      <c r="O116" s="3" t="s">
        <v>211</v>
      </c>
      <c r="P116" s="158">
        <v>9181.7800000000043</v>
      </c>
      <c r="Q116" s="158">
        <v>11637</v>
      </c>
      <c r="R116" s="32">
        <v>306933</v>
      </c>
      <c r="S116" s="32">
        <v>45</v>
      </c>
      <c r="T116" s="158">
        <v>223.3</v>
      </c>
      <c r="U116" s="32">
        <v>102783</v>
      </c>
      <c r="V116" s="32">
        <v>391</v>
      </c>
      <c r="W116" s="158">
        <v>775.1</v>
      </c>
      <c r="X116" s="32">
        <v>3795</v>
      </c>
      <c r="Y116" s="107">
        <v>599</v>
      </c>
      <c r="Z116" s="32"/>
      <c r="AA116" s="323" t="s">
        <v>102</v>
      </c>
      <c r="AB116" s="3" t="s">
        <v>211</v>
      </c>
      <c r="AC116" s="158">
        <v>3420.8</v>
      </c>
      <c r="AD116" s="32">
        <v>8282</v>
      </c>
      <c r="AE116" s="32">
        <v>195126</v>
      </c>
      <c r="AF116" s="158">
        <v>407248.2</v>
      </c>
      <c r="AG116" s="32">
        <v>23482</v>
      </c>
      <c r="AH116" s="158">
        <v>161392</v>
      </c>
      <c r="AI116" s="32">
        <v>6484</v>
      </c>
      <c r="AJ116" s="32">
        <v>144826</v>
      </c>
      <c r="AK116" s="32">
        <v>1458890</v>
      </c>
      <c r="AL116" s="107">
        <v>108252</v>
      </c>
      <c r="AM116" s="3"/>
    </row>
    <row r="117" spans="1:39" ht="15" customHeight="1" x14ac:dyDescent="0.2">
      <c r="A117" s="323" t="s">
        <v>103</v>
      </c>
      <c r="B117" s="3" t="s">
        <v>210</v>
      </c>
      <c r="C117" s="32">
        <v>283</v>
      </c>
      <c r="D117" s="32">
        <v>0</v>
      </c>
      <c r="E117" s="324">
        <v>1.2665633277809805</v>
      </c>
      <c r="F117" s="158">
        <v>358.4</v>
      </c>
      <c r="G117" s="32">
        <v>2328746</v>
      </c>
      <c r="H117" s="32">
        <v>6000</v>
      </c>
      <c r="I117" s="32">
        <v>2334746</v>
      </c>
      <c r="J117" s="32">
        <v>210</v>
      </c>
      <c r="K117" s="158">
        <v>8970.91068000001</v>
      </c>
      <c r="L117" s="107">
        <v>31962</v>
      </c>
      <c r="M117" s="32"/>
      <c r="N117" s="323" t="s">
        <v>103</v>
      </c>
      <c r="O117" s="3" t="s">
        <v>210</v>
      </c>
      <c r="P117" s="158">
        <v>25943.329999999973</v>
      </c>
      <c r="Q117" s="158">
        <v>34914.199999999997</v>
      </c>
      <c r="R117" s="32">
        <v>920884</v>
      </c>
      <c r="S117" s="32">
        <v>190</v>
      </c>
      <c r="T117" s="158">
        <v>472.4</v>
      </c>
      <c r="U117" s="32">
        <v>217441</v>
      </c>
      <c r="V117" s="32">
        <v>1466</v>
      </c>
      <c r="W117" s="158">
        <v>3073</v>
      </c>
      <c r="X117" s="32">
        <v>15046</v>
      </c>
      <c r="Y117" s="107">
        <v>4083</v>
      </c>
      <c r="Z117" s="32"/>
      <c r="AA117" s="323" t="s">
        <v>103</v>
      </c>
      <c r="AB117" s="3" t="s">
        <v>210</v>
      </c>
      <c r="AC117" s="158">
        <v>18272.8</v>
      </c>
      <c r="AD117" s="32">
        <v>44239</v>
      </c>
      <c r="AE117" s="32">
        <v>201248</v>
      </c>
      <c r="AF117" s="158">
        <v>492770.1</v>
      </c>
      <c r="AG117" s="32">
        <v>28413</v>
      </c>
      <c r="AH117" s="158">
        <v>380127</v>
      </c>
      <c r="AI117" s="32">
        <v>15271</v>
      </c>
      <c r="AJ117" s="32">
        <v>320410</v>
      </c>
      <c r="AK117" s="32">
        <v>3576040</v>
      </c>
      <c r="AL117" s="107">
        <f>450703+150765</f>
        <v>601468</v>
      </c>
      <c r="AM117" s="3"/>
    </row>
    <row r="118" spans="1:39" ht="15" customHeight="1" x14ac:dyDescent="0.2">
      <c r="A118" s="323" t="s">
        <v>104</v>
      </c>
      <c r="B118" s="3" t="s">
        <v>209</v>
      </c>
      <c r="C118" s="32">
        <v>258</v>
      </c>
      <c r="D118" s="32">
        <v>35</v>
      </c>
      <c r="E118" s="324">
        <v>0.73627606085858799</v>
      </c>
      <c r="F118" s="158">
        <v>190</v>
      </c>
      <c r="G118" s="32">
        <v>1234547</v>
      </c>
      <c r="H118" s="32">
        <v>9000</v>
      </c>
      <c r="I118" s="32">
        <v>1243547</v>
      </c>
      <c r="J118" s="32">
        <v>165</v>
      </c>
      <c r="K118" s="158">
        <v>1861.7066790000026</v>
      </c>
      <c r="L118" s="107">
        <v>28559.987890000044</v>
      </c>
      <c r="M118" s="32"/>
      <c r="N118" s="323" t="s">
        <v>104</v>
      </c>
      <c r="O118" s="3" t="s">
        <v>209</v>
      </c>
      <c r="P118" s="158">
        <v>14479.913860229966</v>
      </c>
      <c r="Q118" s="158">
        <v>16341.6</v>
      </c>
      <c r="R118" s="32">
        <v>431020</v>
      </c>
      <c r="S118" s="32">
        <v>190</v>
      </c>
      <c r="T118" s="158">
        <v>396</v>
      </c>
      <c r="U118" s="32">
        <v>182275</v>
      </c>
      <c r="V118" s="32">
        <v>1983</v>
      </c>
      <c r="W118" s="158">
        <v>3553.2</v>
      </c>
      <c r="X118" s="32">
        <v>17398</v>
      </c>
      <c r="Y118" s="107">
        <v>6959</v>
      </c>
      <c r="Z118" s="32"/>
      <c r="AA118" s="323" t="s">
        <v>104</v>
      </c>
      <c r="AB118" s="3" t="s">
        <v>209</v>
      </c>
      <c r="AC118" s="158">
        <v>27659.4</v>
      </c>
      <c r="AD118" s="32">
        <v>66965</v>
      </c>
      <c r="AE118" s="32">
        <v>356889</v>
      </c>
      <c r="AF118" s="158">
        <v>873868.2</v>
      </c>
      <c r="AG118" s="32">
        <v>50387</v>
      </c>
      <c r="AH118" s="158">
        <v>411301.5</v>
      </c>
      <c r="AI118" s="32">
        <v>16523</v>
      </c>
      <c r="AJ118" s="32">
        <v>333548</v>
      </c>
      <c r="AK118" s="32">
        <v>2008115</v>
      </c>
      <c r="AL118" s="107">
        <v>83046</v>
      </c>
      <c r="AM118" s="3"/>
    </row>
    <row r="119" spans="1:39" ht="15" customHeight="1" x14ac:dyDescent="0.2">
      <c r="A119" s="323" t="s">
        <v>434</v>
      </c>
      <c r="B119" s="3" t="s">
        <v>208</v>
      </c>
      <c r="C119" s="32">
        <v>724</v>
      </c>
      <c r="D119" s="32">
        <v>175</v>
      </c>
      <c r="E119" s="324">
        <v>0.8136705799053856</v>
      </c>
      <c r="F119" s="158">
        <v>589.1</v>
      </c>
      <c r="G119" s="32">
        <v>3827746</v>
      </c>
      <c r="H119" s="32">
        <v>0</v>
      </c>
      <c r="I119" s="32">
        <v>3827746</v>
      </c>
      <c r="J119" s="32">
        <v>649</v>
      </c>
      <c r="K119" s="158">
        <v>10480.666894000042</v>
      </c>
      <c r="L119" s="107">
        <v>88559.899632000568</v>
      </c>
      <c r="M119" s="32"/>
      <c r="N119" s="323" t="s">
        <v>434</v>
      </c>
      <c r="O119" s="3" t="s">
        <v>208</v>
      </c>
      <c r="P119" s="158">
        <v>52893.935392455125</v>
      </c>
      <c r="Q119" s="158">
        <v>63374.6</v>
      </c>
      <c r="R119" s="32">
        <v>1671545</v>
      </c>
      <c r="S119" s="32">
        <v>778</v>
      </c>
      <c r="T119" s="158">
        <v>1417</v>
      </c>
      <c r="U119" s="32">
        <v>652231</v>
      </c>
      <c r="V119" s="32">
        <v>7779</v>
      </c>
      <c r="W119" s="158">
        <v>15928.1</v>
      </c>
      <c r="X119" s="32">
        <v>77989</v>
      </c>
      <c r="Y119" s="107">
        <v>22262</v>
      </c>
      <c r="Z119" s="32"/>
      <c r="AA119" s="323" t="s">
        <v>434</v>
      </c>
      <c r="AB119" s="3" t="s">
        <v>208</v>
      </c>
      <c r="AC119" s="158">
        <v>91705.4</v>
      </c>
      <c r="AD119" s="32">
        <v>222022</v>
      </c>
      <c r="AE119" s="32">
        <v>215889</v>
      </c>
      <c r="AF119" s="158">
        <v>475295.5</v>
      </c>
      <c r="AG119" s="32">
        <v>27405</v>
      </c>
      <c r="AH119" s="158">
        <v>24480</v>
      </c>
      <c r="AI119" s="32">
        <v>983</v>
      </c>
      <c r="AJ119" s="32">
        <v>980630</v>
      </c>
      <c r="AK119" s="32">
        <v>6479921</v>
      </c>
      <c r="AL119" s="107">
        <v>235307</v>
      </c>
      <c r="AM119" s="3"/>
    </row>
    <row r="120" spans="1:39" ht="15" customHeight="1" x14ac:dyDescent="0.2">
      <c r="A120" s="323" t="s">
        <v>105</v>
      </c>
      <c r="B120" s="3" t="s">
        <v>207</v>
      </c>
      <c r="C120" s="32">
        <v>514</v>
      </c>
      <c r="D120" s="32">
        <v>0</v>
      </c>
      <c r="E120" s="324">
        <v>1.2795529712207863</v>
      </c>
      <c r="F120" s="158">
        <v>657.7</v>
      </c>
      <c r="G120" s="32">
        <v>4273483</v>
      </c>
      <c r="H120" s="32">
        <v>5000</v>
      </c>
      <c r="I120" s="32">
        <v>4278483</v>
      </c>
      <c r="J120" s="32">
        <v>126</v>
      </c>
      <c r="K120" s="158">
        <v>9466.560701999997</v>
      </c>
      <c r="L120" s="107">
        <v>24920</v>
      </c>
      <c r="M120" s="32"/>
      <c r="N120" s="323" t="s">
        <v>105</v>
      </c>
      <c r="O120" s="3" t="s">
        <v>207</v>
      </c>
      <c r="P120" s="158">
        <v>26899.274999999961</v>
      </c>
      <c r="Q120" s="158">
        <v>36365.800000000003</v>
      </c>
      <c r="R120" s="32">
        <v>959171</v>
      </c>
      <c r="S120" s="32">
        <v>260</v>
      </c>
      <c r="T120" s="158">
        <v>937.2</v>
      </c>
      <c r="U120" s="32">
        <v>431384</v>
      </c>
      <c r="V120" s="32">
        <v>1836</v>
      </c>
      <c r="W120" s="158">
        <v>3825.3</v>
      </c>
      <c r="X120" s="32">
        <v>18730</v>
      </c>
      <c r="Y120" s="107">
        <v>5660</v>
      </c>
      <c r="Z120" s="32"/>
      <c r="AA120" s="323" t="s">
        <v>105</v>
      </c>
      <c r="AB120" s="3" t="s">
        <v>207</v>
      </c>
      <c r="AC120" s="158">
        <v>22412.2</v>
      </c>
      <c r="AD120" s="32">
        <v>54261</v>
      </c>
      <c r="AE120" s="32">
        <v>220495</v>
      </c>
      <c r="AF120" s="158">
        <v>539897.80000000005</v>
      </c>
      <c r="AG120" s="32">
        <v>31130</v>
      </c>
      <c r="AH120" s="158">
        <v>328260</v>
      </c>
      <c r="AI120" s="32">
        <v>13187</v>
      </c>
      <c r="AJ120" s="32">
        <v>548692</v>
      </c>
      <c r="AK120" s="32">
        <v>5786346</v>
      </c>
      <c r="AL120" s="107">
        <v>0</v>
      </c>
      <c r="AM120" s="3"/>
    </row>
    <row r="121" spans="1:39" ht="15" customHeight="1" x14ac:dyDescent="0.2">
      <c r="A121" s="323" t="s">
        <v>106</v>
      </c>
      <c r="B121" s="3" t="s">
        <v>206</v>
      </c>
      <c r="C121" s="32">
        <v>1087</v>
      </c>
      <c r="D121" s="32">
        <v>0</v>
      </c>
      <c r="E121" s="324">
        <v>1.0777056964294713</v>
      </c>
      <c r="F121" s="158">
        <v>1171.5</v>
      </c>
      <c r="G121" s="32">
        <v>7611958</v>
      </c>
      <c r="H121" s="32">
        <v>23000</v>
      </c>
      <c r="I121" s="32">
        <v>7634958</v>
      </c>
      <c r="J121" s="32">
        <v>282</v>
      </c>
      <c r="K121" s="158">
        <v>18739.58448599992</v>
      </c>
      <c r="L121" s="107">
        <v>58987</v>
      </c>
      <c r="M121" s="32"/>
      <c r="N121" s="323" t="s">
        <v>106</v>
      </c>
      <c r="O121" s="3" t="s">
        <v>206</v>
      </c>
      <c r="P121" s="158">
        <v>56258.005000000077</v>
      </c>
      <c r="Q121" s="158">
        <v>74997.600000000006</v>
      </c>
      <c r="R121" s="32">
        <v>1978109</v>
      </c>
      <c r="S121" s="32">
        <v>485</v>
      </c>
      <c r="T121" s="158">
        <v>1852.6</v>
      </c>
      <c r="U121" s="32">
        <v>852733</v>
      </c>
      <c r="V121" s="32">
        <v>2770</v>
      </c>
      <c r="W121" s="158">
        <v>5817.6</v>
      </c>
      <c r="X121" s="32">
        <v>28485</v>
      </c>
      <c r="Y121" s="107">
        <v>9990</v>
      </c>
      <c r="Z121" s="32"/>
      <c r="AA121" s="323" t="s">
        <v>106</v>
      </c>
      <c r="AB121" s="3" t="s">
        <v>206</v>
      </c>
      <c r="AC121" s="158">
        <v>41635.800000000003</v>
      </c>
      <c r="AD121" s="32">
        <v>100802</v>
      </c>
      <c r="AE121" s="32">
        <v>438344</v>
      </c>
      <c r="AF121" s="158">
        <v>1037748.4</v>
      </c>
      <c r="AG121" s="32">
        <v>59836</v>
      </c>
      <c r="AH121" s="158">
        <v>334259</v>
      </c>
      <c r="AI121" s="32">
        <v>13428</v>
      </c>
      <c r="AJ121" s="32">
        <v>1055284</v>
      </c>
      <c r="AK121" s="32">
        <v>10668351</v>
      </c>
      <c r="AL121" s="107">
        <v>790039</v>
      </c>
      <c r="AM121" s="3"/>
    </row>
    <row r="122" spans="1:39" ht="15" customHeight="1" x14ac:dyDescent="0.2">
      <c r="A122" s="323" t="s">
        <v>107</v>
      </c>
      <c r="B122" s="3" t="s">
        <v>205</v>
      </c>
      <c r="C122" s="32">
        <v>1488</v>
      </c>
      <c r="D122" s="32">
        <v>90</v>
      </c>
      <c r="E122" s="324">
        <v>1.1368066592245865</v>
      </c>
      <c r="F122" s="158">
        <v>1691.6</v>
      </c>
      <c r="G122" s="32">
        <v>10991369</v>
      </c>
      <c r="H122" s="32">
        <v>29000</v>
      </c>
      <c r="I122" s="32">
        <v>11020369</v>
      </c>
      <c r="J122" s="32">
        <v>561</v>
      </c>
      <c r="K122" s="158">
        <v>27837.686374999936</v>
      </c>
      <c r="L122" s="107">
        <v>103205.5</v>
      </c>
      <c r="M122" s="32"/>
      <c r="N122" s="323" t="s">
        <v>107</v>
      </c>
      <c r="O122" s="3" t="s">
        <v>205</v>
      </c>
      <c r="P122" s="158">
        <v>95447.723250000199</v>
      </c>
      <c r="Q122" s="158">
        <v>123285.4</v>
      </c>
      <c r="R122" s="32">
        <v>3251730</v>
      </c>
      <c r="S122" s="32">
        <v>1141</v>
      </c>
      <c r="T122" s="158">
        <v>3055.8</v>
      </c>
      <c r="U122" s="32">
        <v>1406553</v>
      </c>
      <c r="V122" s="32">
        <v>6524</v>
      </c>
      <c r="W122" s="158">
        <v>12811.7</v>
      </c>
      <c r="X122" s="32">
        <v>62730</v>
      </c>
      <c r="Y122" s="107">
        <v>13712</v>
      </c>
      <c r="Z122" s="32"/>
      <c r="AA122" s="323" t="s">
        <v>107</v>
      </c>
      <c r="AB122" s="3" t="s">
        <v>205</v>
      </c>
      <c r="AC122" s="158">
        <v>71960.800000000003</v>
      </c>
      <c r="AD122" s="32">
        <v>174220</v>
      </c>
      <c r="AE122" s="32">
        <v>2148267</v>
      </c>
      <c r="AF122" s="158">
        <v>4765521.2</v>
      </c>
      <c r="AG122" s="32">
        <v>274779</v>
      </c>
      <c r="AH122" s="158">
        <v>1782729.8</v>
      </c>
      <c r="AI122" s="32">
        <v>71618</v>
      </c>
      <c r="AJ122" s="32">
        <v>1989900</v>
      </c>
      <c r="AK122" s="32">
        <v>16261999</v>
      </c>
      <c r="AL122" s="107">
        <v>0</v>
      </c>
      <c r="AM122" s="3"/>
    </row>
    <row r="123" spans="1:39" ht="15" customHeight="1" x14ac:dyDescent="0.2">
      <c r="A123" s="323" t="s">
        <v>108</v>
      </c>
      <c r="B123" s="3" t="s">
        <v>204</v>
      </c>
      <c r="C123" s="32">
        <v>2478</v>
      </c>
      <c r="D123" s="32">
        <v>500</v>
      </c>
      <c r="E123" s="324">
        <v>0.90865995366304841</v>
      </c>
      <c r="F123" s="158">
        <v>2251.6999999999998</v>
      </c>
      <c r="G123" s="32">
        <v>14630684</v>
      </c>
      <c r="H123" s="32">
        <v>278000</v>
      </c>
      <c r="I123" s="32">
        <v>14908684</v>
      </c>
      <c r="J123" s="32">
        <v>1441</v>
      </c>
      <c r="K123" s="158">
        <v>33917.787836000003</v>
      </c>
      <c r="L123" s="107">
        <v>265799.83429000061</v>
      </c>
      <c r="M123" s="32"/>
      <c r="N123" s="323" t="s">
        <v>108</v>
      </c>
      <c r="O123" s="3" t="s">
        <v>204</v>
      </c>
      <c r="P123" s="158">
        <v>196245.79999344982</v>
      </c>
      <c r="Q123" s="158">
        <v>230163.6</v>
      </c>
      <c r="R123" s="32">
        <v>6070711</v>
      </c>
      <c r="S123" s="32">
        <v>1955</v>
      </c>
      <c r="T123" s="158">
        <v>3977.6</v>
      </c>
      <c r="U123" s="32">
        <v>1830849</v>
      </c>
      <c r="V123" s="32">
        <v>12656</v>
      </c>
      <c r="W123" s="158">
        <v>29611.8</v>
      </c>
      <c r="X123" s="32">
        <v>144988</v>
      </c>
      <c r="Y123" s="107">
        <v>43140</v>
      </c>
      <c r="Z123" s="32"/>
      <c r="AA123" s="323" t="s">
        <v>108</v>
      </c>
      <c r="AB123" s="3" t="s">
        <v>204</v>
      </c>
      <c r="AC123" s="158">
        <v>201966.5</v>
      </c>
      <c r="AD123" s="32">
        <v>488969</v>
      </c>
      <c r="AE123" s="32">
        <v>1143257</v>
      </c>
      <c r="AF123" s="158">
        <v>2799346.4</v>
      </c>
      <c r="AG123" s="32">
        <v>161409</v>
      </c>
      <c r="AH123" s="158">
        <v>1899620</v>
      </c>
      <c r="AI123" s="32">
        <v>76314</v>
      </c>
      <c r="AJ123" s="32">
        <v>2702529</v>
      </c>
      <c r="AK123" s="32">
        <v>23681924</v>
      </c>
      <c r="AL123" s="107">
        <v>1099663</v>
      </c>
      <c r="AM123" s="3"/>
    </row>
    <row r="124" spans="1:39" ht="15" customHeight="1" x14ac:dyDescent="0.2">
      <c r="A124" s="323" t="s">
        <v>109</v>
      </c>
      <c r="B124" s="3" t="s">
        <v>203</v>
      </c>
      <c r="C124" s="32">
        <v>8697</v>
      </c>
      <c r="D124" s="32">
        <v>210</v>
      </c>
      <c r="E124" s="324">
        <v>1.1361329337752</v>
      </c>
      <c r="F124" s="158">
        <v>9880.9</v>
      </c>
      <c r="G124" s="32">
        <v>64202303</v>
      </c>
      <c r="H124" s="32">
        <v>267000</v>
      </c>
      <c r="I124" s="32">
        <v>64469303</v>
      </c>
      <c r="J124" s="32">
        <v>2955</v>
      </c>
      <c r="K124" s="158">
        <v>164780.66704400262</v>
      </c>
      <c r="L124" s="107">
        <v>608505.5</v>
      </c>
      <c r="M124" s="32"/>
      <c r="N124" s="323" t="s">
        <v>109</v>
      </c>
      <c r="O124" s="3" t="s">
        <v>203</v>
      </c>
      <c r="P124" s="158">
        <v>586074.55999999691</v>
      </c>
      <c r="Q124" s="158">
        <v>750855.2</v>
      </c>
      <c r="R124" s="32">
        <v>19804281</v>
      </c>
      <c r="S124" s="32">
        <v>4971</v>
      </c>
      <c r="T124" s="158">
        <v>16660.400000000001</v>
      </c>
      <c r="U124" s="32">
        <v>7668611</v>
      </c>
      <c r="V124" s="32">
        <v>24580</v>
      </c>
      <c r="W124" s="158">
        <v>56755.1</v>
      </c>
      <c r="X124" s="32">
        <v>277890</v>
      </c>
      <c r="Y124" s="107">
        <v>72266</v>
      </c>
      <c r="Z124" s="32"/>
      <c r="AA124" s="323" t="s">
        <v>109</v>
      </c>
      <c r="AB124" s="3" t="s">
        <v>203</v>
      </c>
      <c r="AC124" s="158">
        <v>384542.4</v>
      </c>
      <c r="AD124" s="32">
        <v>930992</v>
      </c>
      <c r="AE124" s="32">
        <v>8634869</v>
      </c>
      <c r="AF124" s="158">
        <v>20423736.100000001</v>
      </c>
      <c r="AG124" s="32">
        <v>1177627</v>
      </c>
      <c r="AH124" s="158">
        <v>7254755.5</v>
      </c>
      <c r="AI124" s="32">
        <v>291446</v>
      </c>
      <c r="AJ124" s="32">
        <v>10346566</v>
      </c>
      <c r="AK124" s="32">
        <v>94620150</v>
      </c>
      <c r="AL124" s="107">
        <v>0</v>
      </c>
      <c r="AM124" s="3"/>
    </row>
    <row r="125" spans="1:39" ht="15" customHeight="1" x14ac:dyDescent="0.2">
      <c r="A125" s="323" t="s">
        <v>110</v>
      </c>
      <c r="B125" s="3" t="s">
        <v>202</v>
      </c>
      <c r="C125" s="32">
        <v>66</v>
      </c>
      <c r="D125" s="32">
        <v>0</v>
      </c>
      <c r="E125" s="324">
        <v>1.3373783802756498</v>
      </c>
      <c r="F125" s="158">
        <v>88.3</v>
      </c>
      <c r="G125" s="32">
        <v>573740</v>
      </c>
      <c r="H125" s="32">
        <v>0</v>
      </c>
      <c r="I125" s="32">
        <v>573740</v>
      </c>
      <c r="J125" s="32">
        <v>36</v>
      </c>
      <c r="K125" s="158">
        <v>3170.5199999999995</v>
      </c>
      <c r="L125" s="107">
        <v>5229.5</v>
      </c>
      <c r="M125" s="32"/>
      <c r="N125" s="323" t="s">
        <v>110</v>
      </c>
      <c r="O125" s="3" t="s">
        <v>202</v>
      </c>
      <c r="P125" s="158">
        <v>6469.0300000000007</v>
      </c>
      <c r="Q125" s="158">
        <v>9639.6</v>
      </c>
      <c r="R125" s="32">
        <v>254251</v>
      </c>
      <c r="S125" s="32">
        <v>36</v>
      </c>
      <c r="T125" s="158">
        <v>123</v>
      </c>
      <c r="U125" s="32">
        <v>56616</v>
      </c>
      <c r="V125" s="32">
        <v>206</v>
      </c>
      <c r="W125" s="158">
        <v>463.5</v>
      </c>
      <c r="X125" s="32">
        <v>2269</v>
      </c>
      <c r="Y125" s="107">
        <v>469</v>
      </c>
      <c r="Z125" s="32"/>
      <c r="AA125" s="323" t="s">
        <v>110</v>
      </c>
      <c r="AB125" s="3" t="s">
        <v>202</v>
      </c>
      <c r="AC125" s="158">
        <v>2930.5</v>
      </c>
      <c r="AD125" s="32">
        <v>7095</v>
      </c>
      <c r="AE125" s="32">
        <v>0</v>
      </c>
      <c r="AF125" s="158">
        <v>0</v>
      </c>
      <c r="AG125" s="32">
        <v>0</v>
      </c>
      <c r="AH125" s="158">
        <v>0</v>
      </c>
      <c r="AI125" s="32">
        <v>0</v>
      </c>
      <c r="AJ125" s="32">
        <v>65980</v>
      </c>
      <c r="AK125" s="32">
        <v>893971</v>
      </c>
      <c r="AL125" s="107">
        <v>26222</v>
      </c>
      <c r="AM125" s="3"/>
    </row>
    <row r="126" spans="1:39" ht="15" customHeight="1" x14ac:dyDescent="0.2">
      <c r="A126" s="323" t="s">
        <v>111</v>
      </c>
      <c r="B126" s="3" t="s">
        <v>201</v>
      </c>
      <c r="C126" s="32">
        <v>68</v>
      </c>
      <c r="D126" s="32">
        <v>0</v>
      </c>
      <c r="E126" s="324">
        <v>1.7367695240514449</v>
      </c>
      <c r="F126" s="158">
        <v>118.1</v>
      </c>
      <c r="G126" s="32">
        <v>767369</v>
      </c>
      <c r="H126" s="32">
        <v>0</v>
      </c>
      <c r="I126" s="32">
        <v>767369</v>
      </c>
      <c r="J126" s="32">
        <v>51</v>
      </c>
      <c r="K126" s="158">
        <v>3605.5982699999995</v>
      </c>
      <c r="L126" s="107">
        <v>7913</v>
      </c>
      <c r="M126" s="32"/>
      <c r="N126" s="323" t="s">
        <v>111</v>
      </c>
      <c r="O126" s="3" t="s">
        <v>201</v>
      </c>
      <c r="P126" s="158">
        <v>8527.2400000000016</v>
      </c>
      <c r="Q126" s="158">
        <v>12132.8</v>
      </c>
      <c r="R126" s="32">
        <v>320010</v>
      </c>
      <c r="S126" s="32">
        <v>64</v>
      </c>
      <c r="T126" s="158">
        <v>178.4</v>
      </c>
      <c r="U126" s="32">
        <v>82116</v>
      </c>
      <c r="V126" s="32">
        <v>695</v>
      </c>
      <c r="W126" s="158">
        <v>1186.5999999999999</v>
      </c>
      <c r="X126" s="32">
        <v>5810</v>
      </c>
      <c r="Y126" s="107">
        <v>1663</v>
      </c>
      <c r="Z126" s="32"/>
      <c r="AA126" s="323" t="s">
        <v>111</v>
      </c>
      <c r="AB126" s="3" t="s">
        <v>201</v>
      </c>
      <c r="AC126" s="158">
        <v>6932.3</v>
      </c>
      <c r="AD126" s="32">
        <v>16783</v>
      </c>
      <c r="AE126" s="32">
        <v>62552</v>
      </c>
      <c r="AF126" s="158">
        <v>131843.29999999999</v>
      </c>
      <c r="AG126" s="32">
        <v>7602</v>
      </c>
      <c r="AH126" s="158">
        <v>53157</v>
      </c>
      <c r="AI126" s="32">
        <v>2135</v>
      </c>
      <c r="AJ126" s="32">
        <v>114446</v>
      </c>
      <c r="AK126" s="32">
        <v>1201825</v>
      </c>
      <c r="AL126" s="107">
        <v>56553</v>
      </c>
      <c r="AM126" s="3"/>
    </row>
    <row r="127" spans="1:39" ht="15" customHeight="1" x14ac:dyDescent="0.2">
      <c r="A127" s="323" t="s">
        <v>112</v>
      </c>
      <c r="B127" s="3" t="s">
        <v>197</v>
      </c>
      <c r="C127" s="32">
        <v>205</v>
      </c>
      <c r="D127" s="32">
        <v>0</v>
      </c>
      <c r="E127" s="324">
        <v>1.3269536457496516</v>
      </c>
      <c r="F127" s="158">
        <v>272</v>
      </c>
      <c r="G127" s="32">
        <v>1767352</v>
      </c>
      <c r="H127" s="32">
        <v>0</v>
      </c>
      <c r="I127" s="32">
        <v>1767352</v>
      </c>
      <c r="J127" s="32">
        <v>58</v>
      </c>
      <c r="K127" s="158">
        <v>3722.9394599999991</v>
      </c>
      <c r="L127" s="107">
        <v>10493</v>
      </c>
      <c r="M127" s="32"/>
      <c r="N127" s="323" t="s">
        <v>112</v>
      </c>
      <c r="O127" s="3" t="s">
        <v>197</v>
      </c>
      <c r="P127" s="158">
        <v>12863.139999999938</v>
      </c>
      <c r="Q127" s="158">
        <v>16586.099999999999</v>
      </c>
      <c r="R127" s="32">
        <v>437469</v>
      </c>
      <c r="S127" s="32">
        <v>74</v>
      </c>
      <c r="T127" s="158">
        <v>399.2</v>
      </c>
      <c r="U127" s="32">
        <v>183748</v>
      </c>
      <c r="V127" s="32">
        <v>1085</v>
      </c>
      <c r="W127" s="158">
        <v>1828.3</v>
      </c>
      <c r="X127" s="32">
        <v>8952</v>
      </c>
      <c r="Y127" s="107">
        <v>2229</v>
      </c>
      <c r="Z127" s="32"/>
      <c r="AA127" s="323" t="s">
        <v>112</v>
      </c>
      <c r="AB127" s="3" t="s">
        <v>197</v>
      </c>
      <c r="AC127" s="158">
        <v>8708.7000000000007</v>
      </c>
      <c r="AD127" s="32">
        <v>21084</v>
      </c>
      <c r="AE127" s="32">
        <v>192493</v>
      </c>
      <c r="AF127" s="158">
        <v>346167.5</v>
      </c>
      <c r="AG127" s="32">
        <v>19960</v>
      </c>
      <c r="AH127" s="158">
        <v>109485</v>
      </c>
      <c r="AI127" s="32">
        <v>4398</v>
      </c>
      <c r="AJ127" s="32">
        <v>238142</v>
      </c>
      <c r="AK127" s="32">
        <v>2442963</v>
      </c>
      <c r="AL127" s="107">
        <v>137910</v>
      </c>
      <c r="AM127" s="3"/>
    </row>
    <row r="128" spans="1:39" ht="15" customHeight="1" x14ac:dyDescent="0.2">
      <c r="A128" s="323" t="s">
        <v>113</v>
      </c>
      <c r="B128" s="3" t="s">
        <v>198</v>
      </c>
      <c r="C128" s="32">
        <v>50</v>
      </c>
      <c r="D128" s="32">
        <v>50</v>
      </c>
      <c r="E128" s="324">
        <v>0.98117605131860497</v>
      </c>
      <c r="F128" s="158">
        <v>49.1</v>
      </c>
      <c r="G128" s="32">
        <v>319033</v>
      </c>
      <c r="H128" s="32">
        <v>5000</v>
      </c>
      <c r="I128" s="32">
        <v>324033</v>
      </c>
      <c r="J128" s="32">
        <v>0</v>
      </c>
      <c r="K128" s="158">
        <v>0</v>
      </c>
      <c r="L128" s="107">
        <v>4190</v>
      </c>
      <c r="M128" s="32"/>
      <c r="N128" s="323" t="s">
        <v>113</v>
      </c>
      <c r="O128" s="3" t="s">
        <v>198</v>
      </c>
      <c r="P128" s="158">
        <v>3988.2999999999993</v>
      </c>
      <c r="Q128" s="158">
        <v>3988.3</v>
      </c>
      <c r="R128" s="32">
        <v>105194</v>
      </c>
      <c r="S128" s="32">
        <v>32</v>
      </c>
      <c r="T128" s="158">
        <v>62.9</v>
      </c>
      <c r="U128" s="32">
        <v>28952</v>
      </c>
      <c r="V128" s="32">
        <v>600</v>
      </c>
      <c r="W128" s="158">
        <v>1187.3</v>
      </c>
      <c r="X128" s="32">
        <v>5813</v>
      </c>
      <c r="Y128" s="107">
        <v>1090</v>
      </c>
      <c r="Z128" s="32"/>
      <c r="AA128" s="323" t="s">
        <v>113</v>
      </c>
      <c r="AB128" s="3" t="s">
        <v>198</v>
      </c>
      <c r="AC128" s="158">
        <v>2116.9</v>
      </c>
      <c r="AD128" s="32">
        <v>5125</v>
      </c>
      <c r="AE128" s="32">
        <v>32968</v>
      </c>
      <c r="AF128" s="158">
        <v>80724.5</v>
      </c>
      <c r="AG128" s="32">
        <v>4655</v>
      </c>
      <c r="AH128" s="158">
        <v>49390</v>
      </c>
      <c r="AI128" s="32">
        <v>1984</v>
      </c>
      <c r="AJ128" s="32">
        <v>46529</v>
      </c>
      <c r="AK128" s="32">
        <v>475756</v>
      </c>
      <c r="AL128" s="107">
        <v>142802</v>
      </c>
      <c r="AM128" s="3"/>
    </row>
    <row r="129" spans="1:39" ht="15" customHeight="1" x14ac:dyDescent="0.2">
      <c r="A129" s="323" t="s">
        <v>114</v>
      </c>
      <c r="B129" s="3" t="s">
        <v>195</v>
      </c>
      <c r="C129" s="32">
        <v>1239</v>
      </c>
      <c r="D129" s="32">
        <v>320</v>
      </c>
      <c r="E129" s="324">
        <v>0.9252354261582092</v>
      </c>
      <c r="F129" s="158">
        <v>1146.4000000000001</v>
      </c>
      <c r="G129" s="32">
        <v>7448868</v>
      </c>
      <c r="H129" s="32">
        <v>270000</v>
      </c>
      <c r="I129" s="32">
        <v>7718868</v>
      </c>
      <c r="J129" s="32">
        <v>660</v>
      </c>
      <c r="K129" s="158">
        <v>18270.800826000101</v>
      </c>
      <c r="L129" s="107">
        <v>129087</v>
      </c>
      <c r="M129" s="32"/>
      <c r="N129" s="323" t="s">
        <v>114</v>
      </c>
      <c r="O129" s="3" t="s">
        <v>195</v>
      </c>
      <c r="P129" s="158">
        <v>92921.254999999976</v>
      </c>
      <c r="Q129" s="158">
        <v>111192.1</v>
      </c>
      <c r="R129" s="32">
        <v>2932762</v>
      </c>
      <c r="S129" s="32">
        <v>833</v>
      </c>
      <c r="T129" s="158">
        <v>1828.7</v>
      </c>
      <c r="U129" s="32">
        <v>841732</v>
      </c>
      <c r="V129" s="32">
        <v>5847</v>
      </c>
      <c r="W129" s="158">
        <v>13333</v>
      </c>
      <c r="X129" s="32">
        <v>65282</v>
      </c>
      <c r="Y129" s="107">
        <v>18452</v>
      </c>
      <c r="Z129" s="32"/>
      <c r="AA129" s="323" t="s">
        <v>114</v>
      </c>
      <c r="AB129" s="3" t="s">
        <v>195</v>
      </c>
      <c r="AC129" s="158">
        <v>86747.9</v>
      </c>
      <c r="AD129" s="32">
        <v>210020</v>
      </c>
      <c r="AE129" s="32">
        <v>848893</v>
      </c>
      <c r="AF129" s="158">
        <v>2078575.1</v>
      </c>
      <c r="AG129" s="32">
        <v>119850</v>
      </c>
      <c r="AH129" s="158">
        <v>473972</v>
      </c>
      <c r="AI129" s="32">
        <v>19041</v>
      </c>
      <c r="AJ129" s="32">
        <v>1255925</v>
      </c>
      <c r="AK129" s="32">
        <v>11907555</v>
      </c>
      <c r="AL129" s="107">
        <v>689752</v>
      </c>
      <c r="AM129" s="3"/>
    </row>
    <row r="130" spans="1:39" ht="15" customHeight="1" x14ac:dyDescent="0.2">
      <c r="A130" s="323" t="s">
        <v>115</v>
      </c>
      <c r="B130" s="3" t="s">
        <v>194</v>
      </c>
      <c r="C130" s="32">
        <v>315</v>
      </c>
      <c r="D130" s="32">
        <v>25</v>
      </c>
      <c r="E130" s="324">
        <v>1.0848363434191755</v>
      </c>
      <c r="F130" s="158">
        <v>341.7</v>
      </c>
      <c r="G130" s="32">
        <v>2220236</v>
      </c>
      <c r="H130" s="32">
        <v>0</v>
      </c>
      <c r="I130" s="32">
        <v>2220236</v>
      </c>
      <c r="J130" s="32">
        <v>84</v>
      </c>
      <c r="K130" s="158">
        <v>3392.5399780000025</v>
      </c>
      <c r="L130" s="107">
        <v>16952</v>
      </c>
      <c r="M130" s="32"/>
      <c r="N130" s="323" t="s">
        <v>115</v>
      </c>
      <c r="O130" s="3" t="s">
        <v>194</v>
      </c>
      <c r="P130" s="158">
        <v>16946.437499999971</v>
      </c>
      <c r="Q130" s="158">
        <v>20339</v>
      </c>
      <c r="R130" s="32">
        <v>536454</v>
      </c>
      <c r="S130" s="32">
        <v>128</v>
      </c>
      <c r="T130" s="158">
        <v>408.8</v>
      </c>
      <c r="U130" s="32">
        <v>188166</v>
      </c>
      <c r="V130" s="32">
        <v>1211</v>
      </c>
      <c r="W130" s="158">
        <v>2632</v>
      </c>
      <c r="X130" s="32">
        <v>12887</v>
      </c>
      <c r="Y130" s="107">
        <v>1653</v>
      </c>
      <c r="Z130" s="32"/>
      <c r="AA130" s="323" t="s">
        <v>115</v>
      </c>
      <c r="AB130" s="3" t="s">
        <v>194</v>
      </c>
      <c r="AC130" s="158">
        <v>8848.1</v>
      </c>
      <c r="AD130" s="32">
        <v>21422</v>
      </c>
      <c r="AE130" s="32">
        <v>413722</v>
      </c>
      <c r="AF130" s="158">
        <v>818423.2</v>
      </c>
      <c r="AG130" s="32">
        <v>47190</v>
      </c>
      <c r="AH130" s="158">
        <v>269354</v>
      </c>
      <c r="AI130" s="32">
        <v>10821</v>
      </c>
      <c r="AJ130" s="32">
        <v>280486</v>
      </c>
      <c r="AK130" s="32">
        <v>3037176</v>
      </c>
      <c r="AL130" s="107">
        <v>150593</v>
      </c>
      <c r="AM130" s="3"/>
    </row>
    <row r="131" spans="1:39" ht="15" customHeight="1" x14ac:dyDescent="0.2">
      <c r="A131" s="323" t="s">
        <v>116</v>
      </c>
      <c r="B131" s="3" t="s">
        <v>193</v>
      </c>
      <c r="C131" s="32">
        <v>4690</v>
      </c>
      <c r="D131" s="32">
        <v>110</v>
      </c>
      <c r="E131" s="324">
        <v>1.0533931230045523</v>
      </c>
      <c r="F131" s="158">
        <v>4940.3999999999996</v>
      </c>
      <c r="G131" s="32">
        <v>32100827</v>
      </c>
      <c r="H131" s="32">
        <v>113000</v>
      </c>
      <c r="I131" s="32">
        <v>32213827</v>
      </c>
      <c r="J131" s="32">
        <v>1671</v>
      </c>
      <c r="K131" s="158">
        <v>87437.530231998826</v>
      </c>
      <c r="L131" s="107">
        <v>334369</v>
      </c>
      <c r="M131" s="32"/>
      <c r="N131" s="323" t="s">
        <v>116</v>
      </c>
      <c r="O131" s="3" t="s">
        <v>193</v>
      </c>
      <c r="P131" s="158">
        <v>298294.01199999446</v>
      </c>
      <c r="Q131" s="158">
        <v>385731.5</v>
      </c>
      <c r="R131" s="32">
        <v>10173913</v>
      </c>
      <c r="S131" s="32">
        <v>2775</v>
      </c>
      <c r="T131" s="158">
        <v>8738.2999999999993</v>
      </c>
      <c r="U131" s="32">
        <v>4022150</v>
      </c>
      <c r="V131" s="32">
        <v>10072</v>
      </c>
      <c r="W131" s="158">
        <v>24311.5</v>
      </c>
      <c r="X131" s="32">
        <v>119036</v>
      </c>
      <c r="Y131" s="107">
        <v>11164</v>
      </c>
      <c r="Z131" s="32"/>
      <c r="AA131" s="323" t="s">
        <v>116</v>
      </c>
      <c r="AB131" s="3" t="s">
        <v>193</v>
      </c>
      <c r="AC131" s="158">
        <v>73814.600000000006</v>
      </c>
      <c r="AD131" s="32">
        <v>178708</v>
      </c>
      <c r="AE131" s="32">
        <v>2716351</v>
      </c>
      <c r="AF131" s="158">
        <v>6651179.4000000004</v>
      </c>
      <c r="AG131" s="32">
        <v>383505</v>
      </c>
      <c r="AH131" s="158">
        <v>2103490.7999999998</v>
      </c>
      <c r="AI131" s="32">
        <v>84504</v>
      </c>
      <c r="AJ131" s="32">
        <v>4787903</v>
      </c>
      <c r="AK131" s="32">
        <v>47175643</v>
      </c>
      <c r="AL131" s="107">
        <v>0</v>
      </c>
      <c r="AM131" s="3"/>
    </row>
    <row r="132" spans="1:39" ht="15" customHeight="1" x14ac:dyDescent="0.2">
      <c r="A132" s="323" t="s">
        <v>117</v>
      </c>
      <c r="B132" s="3" t="s">
        <v>192</v>
      </c>
      <c r="C132" s="32">
        <v>255</v>
      </c>
      <c r="D132" s="32">
        <v>0</v>
      </c>
      <c r="E132" s="324">
        <v>0.99089381479739169</v>
      </c>
      <c r="F132" s="158">
        <v>252.7</v>
      </c>
      <c r="G132" s="32">
        <v>1641948</v>
      </c>
      <c r="H132" s="32">
        <v>0</v>
      </c>
      <c r="I132" s="32">
        <v>1641948</v>
      </c>
      <c r="J132" s="32">
        <v>117</v>
      </c>
      <c r="K132" s="158">
        <v>4275.1635600000009</v>
      </c>
      <c r="L132" s="107">
        <v>18107</v>
      </c>
      <c r="M132" s="32"/>
      <c r="N132" s="323" t="s">
        <v>117</v>
      </c>
      <c r="O132" s="3" t="s">
        <v>192</v>
      </c>
      <c r="P132" s="158">
        <v>15261.76499999999</v>
      </c>
      <c r="Q132" s="158">
        <v>19536.900000000001</v>
      </c>
      <c r="R132" s="32">
        <v>515298</v>
      </c>
      <c r="S132" s="32">
        <v>183</v>
      </c>
      <c r="T132" s="158">
        <v>534.5</v>
      </c>
      <c r="U132" s="32">
        <v>246025</v>
      </c>
      <c r="V132" s="32">
        <v>1034</v>
      </c>
      <c r="W132" s="158">
        <v>2068.6</v>
      </c>
      <c r="X132" s="32">
        <v>10128</v>
      </c>
      <c r="Y132" s="107">
        <v>3579</v>
      </c>
      <c r="Z132" s="32"/>
      <c r="AA132" s="323" t="s">
        <v>117</v>
      </c>
      <c r="AB132" s="3" t="s">
        <v>192</v>
      </c>
      <c r="AC132" s="158">
        <v>15093.7</v>
      </c>
      <c r="AD132" s="32">
        <v>36542</v>
      </c>
      <c r="AE132" s="32">
        <v>172637</v>
      </c>
      <c r="AF132" s="158">
        <v>404998.7</v>
      </c>
      <c r="AG132" s="32">
        <v>23352</v>
      </c>
      <c r="AH132" s="158">
        <v>131914</v>
      </c>
      <c r="AI132" s="32">
        <v>5299</v>
      </c>
      <c r="AJ132" s="32">
        <v>321346</v>
      </c>
      <c r="AK132" s="32">
        <v>2478592</v>
      </c>
      <c r="AL132" s="107">
        <v>289535</v>
      </c>
      <c r="AM132" s="3"/>
    </row>
    <row r="133" spans="1:39" ht="15" customHeight="1" x14ac:dyDescent="0.2">
      <c r="A133" s="323" t="s">
        <v>380</v>
      </c>
      <c r="B133" s="3" t="s">
        <v>379</v>
      </c>
      <c r="C133" s="32">
        <v>93</v>
      </c>
      <c r="D133" s="32">
        <v>0</v>
      </c>
      <c r="E133" s="324">
        <v>1.4184976155048052</v>
      </c>
      <c r="F133" s="158">
        <v>131.9</v>
      </c>
      <c r="G133" s="32">
        <v>857036</v>
      </c>
      <c r="H133" s="32">
        <v>0</v>
      </c>
      <c r="I133" s="32">
        <v>857036</v>
      </c>
      <c r="J133" s="32">
        <v>42</v>
      </c>
      <c r="K133" s="158">
        <v>2778.5157300000005</v>
      </c>
      <c r="L133" s="107">
        <v>10199.998911999999</v>
      </c>
      <c r="M133" s="32"/>
      <c r="N133" s="323" t="s">
        <v>380</v>
      </c>
      <c r="O133" s="3" t="s">
        <v>379</v>
      </c>
      <c r="P133" s="158">
        <v>13653.59268496</v>
      </c>
      <c r="Q133" s="158">
        <v>16432.099999999999</v>
      </c>
      <c r="R133" s="32">
        <v>433407</v>
      </c>
      <c r="S133" s="32">
        <v>64</v>
      </c>
      <c r="T133" s="158">
        <v>203.9</v>
      </c>
      <c r="U133" s="32">
        <v>93853</v>
      </c>
      <c r="V133" s="32">
        <v>301</v>
      </c>
      <c r="W133" s="158">
        <v>694.9</v>
      </c>
      <c r="X133" s="32">
        <v>3402</v>
      </c>
      <c r="Y133" s="107">
        <v>1340</v>
      </c>
      <c r="Z133" s="32"/>
      <c r="AA133" s="323" t="s">
        <v>380</v>
      </c>
      <c r="AB133" s="3" t="s">
        <v>379</v>
      </c>
      <c r="AC133" s="158">
        <v>7444</v>
      </c>
      <c r="AD133" s="32">
        <v>18022</v>
      </c>
      <c r="AE133" s="32">
        <v>89611</v>
      </c>
      <c r="AF133" s="158">
        <v>174967.4</v>
      </c>
      <c r="AG133" s="32">
        <v>10089</v>
      </c>
      <c r="AH133" s="158">
        <v>81750</v>
      </c>
      <c r="AI133" s="32">
        <v>3284</v>
      </c>
      <c r="AJ133" s="32">
        <v>128650</v>
      </c>
      <c r="AK133" s="32">
        <v>1419093</v>
      </c>
      <c r="AL133" s="107">
        <v>300351</v>
      </c>
      <c r="AM133" s="3"/>
    </row>
    <row r="134" spans="1:39" ht="15" customHeight="1" x14ac:dyDescent="0.2">
      <c r="A134" s="323" t="s">
        <v>131</v>
      </c>
      <c r="B134" s="3" t="s">
        <v>251</v>
      </c>
      <c r="C134" s="32">
        <v>28</v>
      </c>
      <c r="D134" s="32">
        <v>0</v>
      </c>
      <c r="E134" s="324">
        <v>0.72540000000000027</v>
      </c>
      <c r="F134" s="158">
        <v>20.3</v>
      </c>
      <c r="G134" s="32">
        <v>131902</v>
      </c>
      <c r="H134" s="32">
        <v>0</v>
      </c>
      <c r="I134" s="32">
        <v>131902</v>
      </c>
      <c r="J134" s="32">
        <v>29</v>
      </c>
      <c r="K134" s="158">
        <v>647.94620500000042</v>
      </c>
      <c r="L134" s="107">
        <v>3359.9994749999973</v>
      </c>
      <c r="M134" s="32"/>
      <c r="N134" s="323" t="s">
        <v>131</v>
      </c>
      <c r="O134" s="3" t="s">
        <v>251</v>
      </c>
      <c r="P134" s="158">
        <v>1703.5197338249993</v>
      </c>
      <c r="Q134" s="158">
        <v>2351.5</v>
      </c>
      <c r="R134" s="32">
        <v>62022</v>
      </c>
      <c r="S134" s="32">
        <v>50</v>
      </c>
      <c r="T134" s="158">
        <v>130.4</v>
      </c>
      <c r="U134" s="32">
        <v>60022</v>
      </c>
      <c r="V134" s="32">
        <v>120</v>
      </c>
      <c r="W134" s="158">
        <v>274.2</v>
      </c>
      <c r="X134" s="32">
        <v>1343</v>
      </c>
      <c r="Y134" s="107">
        <v>904</v>
      </c>
      <c r="Z134" s="32"/>
      <c r="AA134" s="323" t="s">
        <v>131</v>
      </c>
      <c r="AB134" s="3" t="s">
        <v>251</v>
      </c>
      <c r="AC134" s="158">
        <v>4713.1000000000004</v>
      </c>
      <c r="AD134" s="32">
        <v>11411</v>
      </c>
      <c r="AE134" s="32">
        <v>0</v>
      </c>
      <c r="AF134" s="158">
        <v>0</v>
      </c>
      <c r="AG134" s="32">
        <v>0</v>
      </c>
      <c r="AH134" s="158">
        <v>0</v>
      </c>
      <c r="AI134" s="32">
        <v>0</v>
      </c>
      <c r="AJ134" s="32">
        <v>72776</v>
      </c>
      <c r="AK134" s="32">
        <v>266700</v>
      </c>
      <c r="AL134" s="107">
        <v>11462</v>
      </c>
      <c r="AM134" s="3"/>
    </row>
    <row r="135" spans="1:39" ht="15" customHeight="1" x14ac:dyDescent="0.2">
      <c r="A135" s="323" t="s">
        <v>118</v>
      </c>
      <c r="B135" s="3" t="s">
        <v>191</v>
      </c>
      <c r="C135" s="32">
        <v>1306</v>
      </c>
      <c r="D135" s="32">
        <v>300</v>
      </c>
      <c r="E135" s="324">
        <v>1.0962033483361771</v>
      </c>
      <c r="F135" s="158">
        <v>1431.6</v>
      </c>
      <c r="G135" s="32">
        <v>9301988</v>
      </c>
      <c r="H135" s="32">
        <v>144000</v>
      </c>
      <c r="I135" s="32">
        <v>9445988</v>
      </c>
      <c r="J135" s="32">
        <v>464</v>
      </c>
      <c r="K135" s="158">
        <v>17257.611282000002</v>
      </c>
      <c r="L135" s="107">
        <v>135766</v>
      </c>
      <c r="M135" s="32"/>
      <c r="N135" s="323" t="s">
        <v>118</v>
      </c>
      <c r="O135" s="3" t="s">
        <v>191</v>
      </c>
      <c r="P135" s="158">
        <v>128634.77249999996</v>
      </c>
      <c r="Q135" s="158">
        <v>145892.4</v>
      </c>
      <c r="R135" s="32">
        <v>3848004</v>
      </c>
      <c r="S135" s="32">
        <v>1185</v>
      </c>
      <c r="T135" s="158">
        <v>2524.1999999999998</v>
      </c>
      <c r="U135" s="32">
        <v>1161863</v>
      </c>
      <c r="V135" s="32">
        <v>8069</v>
      </c>
      <c r="W135" s="158">
        <v>17504.099999999999</v>
      </c>
      <c r="X135" s="32">
        <v>85705</v>
      </c>
      <c r="Y135" s="107">
        <v>25544</v>
      </c>
      <c r="Z135" s="32"/>
      <c r="AA135" s="323" t="s">
        <v>118</v>
      </c>
      <c r="AB135" s="3" t="s">
        <v>191</v>
      </c>
      <c r="AC135" s="158">
        <v>95896.9</v>
      </c>
      <c r="AD135" s="32">
        <v>232170</v>
      </c>
      <c r="AE135" s="32">
        <v>1965655</v>
      </c>
      <c r="AF135" s="158">
        <v>4813046.7</v>
      </c>
      <c r="AG135" s="32">
        <v>277519</v>
      </c>
      <c r="AH135" s="158">
        <v>1587521.5</v>
      </c>
      <c r="AI135" s="32">
        <v>63776</v>
      </c>
      <c r="AJ135" s="32">
        <v>1821033</v>
      </c>
      <c r="AK135" s="32">
        <v>15115025</v>
      </c>
      <c r="AL135" s="107">
        <v>1100785</v>
      </c>
      <c r="AM135" s="3"/>
    </row>
    <row r="136" spans="1:39" ht="15" customHeight="1" x14ac:dyDescent="0.2">
      <c r="A136" s="323" t="s">
        <v>119</v>
      </c>
      <c r="B136" s="3" t="s">
        <v>190</v>
      </c>
      <c r="C136" s="32">
        <v>2618</v>
      </c>
      <c r="D136" s="32">
        <v>140</v>
      </c>
      <c r="E136" s="324">
        <v>1.0476443541392286</v>
      </c>
      <c r="F136" s="158">
        <v>2742.7</v>
      </c>
      <c r="G136" s="32">
        <v>17821014</v>
      </c>
      <c r="H136" s="32">
        <v>47000</v>
      </c>
      <c r="I136" s="32">
        <v>17868014</v>
      </c>
      <c r="J136" s="32">
        <v>960</v>
      </c>
      <c r="K136" s="158">
        <v>46213.971549999769</v>
      </c>
      <c r="L136" s="107">
        <v>195957</v>
      </c>
      <c r="M136" s="32"/>
      <c r="N136" s="323" t="s">
        <v>119</v>
      </c>
      <c r="O136" s="3" t="s">
        <v>190</v>
      </c>
      <c r="P136" s="158">
        <v>170038.18500000102</v>
      </c>
      <c r="Q136" s="158">
        <v>216252.2</v>
      </c>
      <c r="R136" s="32">
        <v>5703789</v>
      </c>
      <c r="S136" s="32">
        <v>1551</v>
      </c>
      <c r="T136" s="158">
        <v>4436.8</v>
      </c>
      <c r="U136" s="32">
        <v>2042214</v>
      </c>
      <c r="V136" s="32">
        <v>5607</v>
      </c>
      <c r="W136" s="158">
        <v>13371.9</v>
      </c>
      <c r="X136" s="32">
        <v>65473</v>
      </c>
      <c r="Y136" s="107">
        <v>16010</v>
      </c>
      <c r="Z136" s="32"/>
      <c r="AA136" s="323" t="s">
        <v>119</v>
      </c>
      <c r="AB136" s="3" t="s">
        <v>190</v>
      </c>
      <c r="AC136" s="158">
        <v>95877</v>
      </c>
      <c r="AD136" s="32">
        <v>232122</v>
      </c>
      <c r="AE136" s="32">
        <v>1234861</v>
      </c>
      <c r="AF136" s="158">
        <v>3012797.2</v>
      </c>
      <c r="AG136" s="32">
        <v>173717</v>
      </c>
      <c r="AH136" s="158">
        <v>790094.3</v>
      </c>
      <c r="AI136" s="32">
        <v>31741</v>
      </c>
      <c r="AJ136" s="32">
        <v>2545267</v>
      </c>
      <c r="AK136" s="32">
        <v>26117070</v>
      </c>
      <c r="AL136" s="107">
        <v>0</v>
      </c>
      <c r="AM136" s="3"/>
    </row>
    <row r="137" spans="1:39" ht="15" customHeight="1" x14ac:dyDescent="0.2">
      <c r="A137" s="323" t="s">
        <v>120</v>
      </c>
      <c r="B137" s="3" t="s">
        <v>189</v>
      </c>
      <c r="C137" s="32">
        <v>1039</v>
      </c>
      <c r="D137" s="32">
        <v>35</v>
      </c>
      <c r="E137" s="324">
        <v>1.0831494323781268</v>
      </c>
      <c r="F137" s="158">
        <v>1125.4000000000001</v>
      </c>
      <c r="G137" s="32">
        <v>7312418</v>
      </c>
      <c r="H137" s="32">
        <v>15000</v>
      </c>
      <c r="I137" s="32">
        <v>7327418</v>
      </c>
      <c r="J137" s="32">
        <v>373</v>
      </c>
      <c r="K137" s="158">
        <v>19659.718666000008</v>
      </c>
      <c r="L137" s="107">
        <v>68168</v>
      </c>
      <c r="M137" s="32"/>
      <c r="N137" s="323" t="s">
        <v>120</v>
      </c>
      <c r="O137" s="3" t="s">
        <v>189</v>
      </c>
      <c r="P137" s="158">
        <v>62875.355000000083</v>
      </c>
      <c r="Q137" s="158">
        <v>82535.100000000006</v>
      </c>
      <c r="R137" s="32">
        <v>2176916</v>
      </c>
      <c r="S137" s="32">
        <v>538</v>
      </c>
      <c r="T137" s="158">
        <v>1758.6</v>
      </c>
      <c r="U137" s="32">
        <v>809466</v>
      </c>
      <c r="V137" s="32">
        <v>8348</v>
      </c>
      <c r="W137" s="158">
        <v>10969.1</v>
      </c>
      <c r="X137" s="32">
        <v>53708</v>
      </c>
      <c r="Y137" s="107">
        <v>12597</v>
      </c>
      <c r="Z137" s="32"/>
      <c r="AA137" s="323" t="s">
        <v>120</v>
      </c>
      <c r="AB137" s="3" t="s">
        <v>189</v>
      </c>
      <c r="AC137" s="158">
        <v>58684.3</v>
      </c>
      <c r="AD137" s="32">
        <v>142077</v>
      </c>
      <c r="AE137" s="32">
        <v>1329076</v>
      </c>
      <c r="AF137" s="158">
        <v>3038983.2</v>
      </c>
      <c r="AG137" s="32">
        <v>175227</v>
      </c>
      <c r="AH137" s="158">
        <v>1364267</v>
      </c>
      <c r="AI137" s="32">
        <v>54807</v>
      </c>
      <c r="AJ137" s="32">
        <v>1235285</v>
      </c>
      <c r="AK137" s="32">
        <v>10739619</v>
      </c>
      <c r="AL137" s="107">
        <v>0</v>
      </c>
      <c r="AM137" s="3"/>
    </row>
    <row r="138" spans="1:39" ht="15" customHeight="1" x14ac:dyDescent="0.2">
      <c r="A138" s="323" t="s">
        <v>121</v>
      </c>
      <c r="B138" s="3" t="s">
        <v>188</v>
      </c>
      <c r="C138" s="32">
        <v>17</v>
      </c>
      <c r="D138" s="32">
        <v>0</v>
      </c>
      <c r="E138" s="324">
        <v>0.72539999999999805</v>
      </c>
      <c r="F138" s="158">
        <v>12.3</v>
      </c>
      <c r="G138" s="32">
        <v>79921</v>
      </c>
      <c r="H138" s="32">
        <v>0</v>
      </c>
      <c r="I138" s="32">
        <v>79921</v>
      </c>
      <c r="J138" s="32">
        <v>13</v>
      </c>
      <c r="K138" s="158">
        <v>310.28399999999999</v>
      </c>
      <c r="L138" s="107">
        <v>1870</v>
      </c>
      <c r="M138" s="32"/>
      <c r="N138" s="323" t="s">
        <v>121</v>
      </c>
      <c r="O138" s="3" t="s">
        <v>188</v>
      </c>
      <c r="P138" s="158">
        <v>948.08999999999992</v>
      </c>
      <c r="Q138" s="158">
        <v>1258.4000000000001</v>
      </c>
      <c r="R138" s="32">
        <v>33191</v>
      </c>
      <c r="S138" s="32">
        <v>25</v>
      </c>
      <c r="T138" s="158">
        <v>62.7</v>
      </c>
      <c r="U138" s="32">
        <v>28860</v>
      </c>
      <c r="V138" s="32">
        <v>212</v>
      </c>
      <c r="W138" s="158">
        <v>229.7</v>
      </c>
      <c r="X138" s="32">
        <v>1125</v>
      </c>
      <c r="Y138" s="107">
        <v>652</v>
      </c>
      <c r="Z138" s="32"/>
      <c r="AA138" s="323" t="s">
        <v>121</v>
      </c>
      <c r="AB138" s="3" t="s">
        <v>188</v>
      </c>
      <c r="AC138" s="158">
        <v>1956</v>
      </c>
      <c r="AD138" s="32">
        <v>4736</v>
      </c>
      <c r="AE138" s="32">
        <v>21843</v>
      </c>
      <c r="AF138" s="158">
        <v>32145</v>
      </c>
      <c r="AG138" s="32">
        <v>1853</v>
      </c>
      <c r="AH138" s="158">
        <v>12223</v>
      </c>
      <c r="AI138" s="32">
        <v>491</v>
      </c>
      <c r="AJ138" s="32">
        <v>37065</v>
      </c>
      <c r="AK138" s="32">
        <v>150177</v>
      </c>
      <c r="AL138" s="107">
        <v>0</v>
      </c>
      <c r="AM138" s="3"/>
    </row>
    <row r="139" spans="1:39" ht="15" customHeight="1" x14ac:dyDescent="0.2">
      <c r="A139" s="323" t="s">
        <v>122</v>
      </c>
      <c r="B139" s="3" t="s">
        <v>184</v>
      </c>
      <c r="C139" s="32">
        <v>3614</v>
      </c>
      <c r="D139" s="32">
        <v>100</v>
      </c>
      <c r="E139" s="324">
        <v>1.0967238061052715</v>
      </c>
      <c r="F139" s="158">
        <v>3963.6</v>
      </c>
      <c r="G139" s="32">
        <v>25753954</v>
      </c>
      <c r="H139" s="32">
        <v>0</v>
      </c>
      <c r="I139" s="32">
        <v>25753954</v>
      </c>
      <c r="J139" s="32">
        <v>1029</v>
      </c>
      <c r="K139" s="158">
        <v>60161.592041000054</v>
      </c>
      <c r="L139" s="107">
        <v>218162.5</v>
      </c>
      <c r="M139" s="32"/>
      <c r="N139" s="323" t="s">
        <v>122</v>
      </c>
      <c r="O139" s="3" t="s">
        <v>184</v>
      </c>
      <c r="P139" s="158">
        <v>209252.39499999816</v>
      </c>
      <c r="Q139" s="158">
        <v>269414</v>
      </c>
      <c r="R139" s="32">
        <v>7105965</v>
      </c>
      <c r="S139" s="32">
        <v>1939</v>
      </c>
      <c r="T139" s="158">
        <v>6141</v>
      </c>
      <c r="U139" s="32">
        <v>2826639</v>
      </c>
      <c r="V139" s="32">
        <v>14935</v>
      </c>
      <c r="W139" s="158">
        <v>32316.400000000001</v>
      </c>
      <c r="X139" s="32">
        <v>158231</v>
      </c>
      <c r="Y139" s="107">
        <v>21310</v>
      </c>
      <c r="Z139" s="32"/>
      <c r="AA139" s="323" t="s">
        <v>122</v>
      </c>
      <c r="AB139" s="3" t="s">
        <v>184</v>
      </c>
      <c r="AC139" s="158">
        <v>117149.5</v>
      </c>
      <c r="AD139" s="32">
        <v>283624</v>
      </c>
      <c r="AE139" s="32">
        <v>380347</v>
      </c>
      <c r="AF139" s="158">
        <v>931306.8</v>
      </c>
      <c r="AG139" s="32">
        <v>53699</v>
      </c>
      <c r="AH139" s="158">
        <v>142688</v>
      </c>
      <c r="AI139" s="32">
        <v>5732</v>
      </c>
      <c r="AJ139" s="32">
        <v>3327925</v>
      </c>
      <c r="AK139" s="32">
        <v>36187844</v>
      </c>
      <c r="AL139" s="107">
        <v>0</v>
      </c>
      <c r="AM139" s="3"/>
    </row>
    <row r="140" spans="1:39" ht="15" customHeight="1" x14ac:dyDescent="0.2">
      <c r="A140" s="323" t="s">
        <v>123</v>
      </c>
      <c r="B140" s="3" t="s">
        <v>183</v>
      </c>
      <c r="C140" s="32">
        <f>179+10</f>
        <v>189</v>
      </c>
      <c r="D140" s="32">
        <v>0</v>
      </c>
      <c r="E140" s="324">
        <v>1.4024219491024437</v>
      </c>
      <c r="F140" s="158">
        <f>251+14</f>
        <v>265</v>
      </c>
      <c r="G140" s="32">
        <f>1630902+96967</f>
        <v>1727869</v>
      </c>
      <c r="H140" s="32">
        <v>5000</v>
      </c>
      <c r="I140" s="32">
        <f>1635902+96967</f>
        <v>1732869</v>
      </c>
      <c r="J140" s="32">
        <v>119</v>
      </c>
      <c r="K140" s="158">
        <v>5503.0680529999981</v>
      </c>
      <c r="L140" s="107">
        <v>19233.5</v>
      </c>
      <c r="M140" s="32"/>
      <c r="N140" s="323" t="s">
        <v>123</v>
      </c>
      <c r="O140" s="3" t="s">
        <v>183</v>
      </c>
      <c r="P140" s="158">
        <v>17833.332500000011</v>
      </c>
      <c r="Q140" s="158">
        <v>23336.400000000001</v>
      </c>
      <c r="R140" s="32">
        <v>615512</v>
      </c>
      <c r="S140" s="32">
        <v>180</v>
      </c>
      <c r="T140" s="158">
        <v>427.6</v>
      </c>
      <c r="U140" s="32">
        <v>196820</v>
      </c>
      <c r="V140" s="32">
        <v>1436</v>
      </c>
      <c r="W140" s="158">
        <v>2288.6</v>
      </c>
      <c r="X140" s="32">
        <v>11206</v>
      </c>
      <c r="Y140" s="107">
        <v>3822</v>
      </c>
      <c r="Z140" s="32"/>
      <c r="AA140" s="323" t="s">
        <v>123</v>
      </c>
      <c r="AB140" s="3" t="s">
        <v>183</v>
      </c>
      <c r="AC140" s="158">
        <v>15549.8</v>
      </c>
      <c r="AD140" s="32">
        <v>37647</v>
      </c>
      <c r="AE140" s="32">
        <v>288797</v>
      </c>
      <c r="AF140" s="158">
        <v>617269.80000000005</v>
      </c>
      <c r="AG140" s="32">
        <v>35592</v>
      </c>
      <c r="AH140" s="158">
        <v>357840</v>
      </c>
      <c r="AI140" s="32">
        <v>14376</v>
      </c>
      <c r="AJ140" s="32">
        <v>295641</v>
      </c>
      <c r="AK140" s="32">
        <f>2547055+96967</f>
        <v>2644022</v>
      </c>
      <c r="AL140" s="107">
        <v>140974</v>
      </c>
      <c r="AM140" s="3"/>
    </row>
    <row r="141" spans="1:39" ht="15" customHeight="1" x14ac:dyDescent="0.2">
      <c r="A141" s="323" t="s">
        <v>124</v>
      </c>
      <c r="B141" s="3" t="s">
        <v>178</v>
      </c>
      <c r="C141" s="32">
        <v>1564</v>
      </c>
      <c r="D141" s="32">
        <v>110</v>
      </c>
      <c r="E141" s="324">
        <v>1.2600618927446077</v>
      </c>
      <c r="F141" s="158">
        <v>1970.7</v>
      </c>
      <c r="G141" s="32">
        <v>12804854</v>
      </c>
      <c r="H141" s="32">
        <v>30000</v>
      </c>
      <c r="I141" s="32">
        <v>12834854</v>
      </c>
      <c r="J141" s="32">
        <v>622</v>
      </c>
      <c r="K141" s="158">
        <v>29124.422876000077</v>
      </c>
      <c r="L141" s="107">
        <v>125516.5</v>
      </c>
      <c r="M141" s="32"/>
      <c r="N141" s="323" t="s">
        <v>124</v>
      </c>
      <c r="O141" s="3" t="s">
        <v>178</v>
      </c>
      <c r="P141" s="158">
        <v>122748.5862499997</v>
      </c>
      <c r="Q141" s="158">
        <v>151873</v>
      </c>
      <c r="R141" s="32">
        <v>4005747</v>
      </c>
      <c r="S141" s="32">
        <v>960</v>
      </c>
      <c r="T141" s="158">
        <v>2610.6</v>
      </c>
      <c r="U141" s="32">
        <v>1201632</v>
      </c>
      <c r="V141" s="32">
        <v>15318</v>
      </c>
      <c r="W141" s="158">
        <v>20219.099999999999</v>
      </c>
      <c r="X141" s="32">
        <v>98999</v>
      </c>
      <c r="Y141" s="107">
        <v>34673</v>
      </c>
      <c r="Z141" s="32"/>
      <c r="AA141" s="323" t="s">
        <v>124</v>
      </c>
      <c r="AB141" s="3" t="s">
        <v>178</v>
      </c>
      <c r="AC141" s="158">
        <v>108284.7</v>
      </c>
      <c r="AD141" s="32">
        <v>262162</v>
      </c>
      <c r="AE141" s="32">
        <v>3057586</v>
      </c>
      <c r="AF141" s="158">
        <v>6799120.5999999996</v>
      </c>
      <c r="AG141" s="32">
        <v>392035</v>
      </c>
      <c r="AH141" s="158">
        <v>6485797.5999999996</v>
      </c>
      <c r="AI141" s="32">
        <v>260554</v>
      </c>
      <c r="AJ141" s="32">
        <v>2215382</v>
      </c>
      <c r="AK141" s="32">
        <v>19055983</v>
      </c>
      <c r="AL141" s="107">
        <v>0</v>
      </c>
      <c r="AM141" s="3"/>
    </row>
    <row r="142" spans="1:39" ht="15" customHeight="1" x14ac:dyDescent="0.2">
      <c r="A142" s="323" t="s">
        <v>125</v>
      </c>
      <c r="B142" s="3" t="s">
        <v>176</v>
      </c>
      <c r="C142" s="32">
        <v>1680</v>
      </c>
      <c r="D142" s="32">
        <v>100</v>
      </c>
      <c r="E142" s="324">
        <v>1.1516562522206197</v>
      </c>
      <c r="F142" s="158">
        <v>1934.8</v>
      </c>
      <c r="G142" s="32">
        <v>12571589</v>
      </c>
      <c r="H142" s="32">
        <v>28000</v>
      </c>
      <c r="I142" s="32">
        <v>12599589</v>
      </c>
      <c r="J142" s="32">
        <v>580</v>
      </c>
      <c r="K142" s="158">
        <v>28711.244825000107</v>
      </c>
      <c r="L142" s="107">
        <v>115113.5</v>
      </c>
      <c r="M142" s="32"/>
      <c r="N142" s="323" t="s">
        <v>125</v>
      </c>
      <c r="O142" s="3" t="s">
        <v>176</v>
      </c>
      <c r="P142" s="158">
        <v>112180.11000000029</v>
      </c>
      <c r="Q142" s="158">
        <v>140891.4</v>
      </c>
      <c r="R142" s="32">
        <v>3716100</v>
      </c>
      <c r="S142" s="32">
        <v>886</v>
      </c>
      <c r="T142" s="158">
        <v>2628.5</v>
      </c>
      <c r="U142" s="32">
        <v>1209872</v>
      </c>
      <c r="V142" s="32">
        <v>10088</v>
      </c>
      <c r="W142" s="158">
        <v>17017.900000000001</v>
      </c>
      <c r="X142" s="32">
        <v>83325</v>
      </c>
      <c r="Y142" s="107">
        <v>25149</v>
      </c>
      <c r="Z142" s="32"/>
      <c r="AA142" s="323" t="s">
        <v>125</v>
      </c>
      <c r="AB142" s="3" t="s">
        <v>176</v>
      </c>
      <c r="AC142" s="158">
        <v>102289</v>
      </c>
      <c r="AD142" s="32">
        <v>247646</v>
      </c>
      <c r="AE142" s="32">
        <v>1941371</v>
      </c>
      <c r="AF142" s="158">
        <v>4369456.5</v>
      </c>
      <c r="AG142" s="32">
        <v>251942</v>
      </c>
      <c r="AH142" s="158">
        <v>3072446</v>
      </c>
      <c r="AI142" s="32">
        <v>123430</v>
      </c>
      <c r="AJ142" s="32">
        <v>1916215</v>
      </c>
      <c r="AK142" s="32">
        <v>18231904</v>
      </c>
      <c r="AL142" s="107">
        <v>0</v>
      </c>
      <c r="AM142" s="3"/>
    </row>
    <row r="143" spans="1:39" ht="15.95" customHeight="1" x14ac:dyDescent="0.2">
      <c r="A143" s="325" t="s">
        <v>397</v>
      </c>
      <c r="B143" s="326"/>
      <c r="C143" s="230">
        <v>181126</v>
      </c>
      <c r="D143" s="230">
        <v>9473</v>
      </c>
      <c r="E143" s="327"/>
      <c r="F143" s="328">
        <v>216023.20000000007</v>
      </c>
      <c r="G143" s="230">
        <v>1403636002</v>
      </c>
      <c r="H143" s="230">
        <v>12000000</v>
      </c>
      <c r="I143" s="230">
        <v>1415636002</v>
      </c>
      <c r="J143" s="230">
        <v>68071</v>
      </c>
      <c r="K143" s="328">
        <v>3282817.3061409984</v>
      </c>
      <c r="L143" s="232">
        <v>13092561.621031186</v>
      </c>
      <c r="M143" s="329"/>
      <c r="N143" s="325" t="s">
        <v>397</v>
      </c>
      <c r="O143" s="326"/>
      <c r="P143" s="328">
        <v>12245985.512331083</v>
      </c>
      <c r="Q143" s="328">
        <v>15528802.600000003</v>
      </c>
      <c r="R143" s="230">
        <v>409582000</v>
      </c>
      <c r="S143" s="230">
        <v>105781</v>
      </c>
      <c r="T143" s="328">
        <v>311442.3</v>
      </c>
      <c r="U143" s="230">
        <v>143353698</v>
      </c>
      <c r="V143" s="230">
        <v>781110</v>
      </c>
      <c r="W143" s="328">
        <v>1568462</v>
      </c>
      <c r="X143" s="230">
        <v>7679664</v>
      </c>
      <c r="Y143" s="232">
        <v>1957302</v>
      </c>
      <c r="Z143" s="329"/>
      <c r="AA143" s="325" t="s">
        <v>397</v>
      </c>
      <c r="AB143" s="326"/>
      <c r="AC143" s="328">
        <v>9516155.1000000015</v>
      </c>
      <c r="AD143" s="230">
        <v>23038984</v>
      </c>
      <c r="AE143" s="230">
        <v>170057484</v>
      </c>
      <c r="AF143" s="328">
        <v>399568246.19999999</v>
      </c>
      <c r="AG143" s="230">
        <v>23038990</v>
      </c>
      <c r="AH143" s="328">
        <v>191164502.20000005</v>
      </c>
      <c r="AI143" s="230">
        <v>7679662</v>
      </c>
      <c r="AJ143" s="230">
        <v>204790998</v>
      </c>
      <c r="AK143" s="230">
        <v>2030009000</v>
      </c>
      <c r="AL143" s="232">
        <v>40606499</v>
      </c>
      <c r="AM143" s="3"/>
    </row>
    <row r="144" spans="1:39" ht="13.3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158"/>
      <c r="Q144" s="3"/>
      <c r="R144" s="3"/>
      <c r="S144" s="3"/>
      <c r="T144" s="158"/>
      <c r="U144" s="3"/>
      <c r="V144" s="32"/>
      <c r="W144" s="3"/>
      <c r="X144" s="3"/>
      <c r="Y144" s="32"/>
      <c r="Z144" s="3"/>
      <c r="AA144" s="3"/>
      <c r="AB144" s="3"/>
      <c r="AC144" s="158"/>
      <c r="AD144" s="3"/>
      <c r="AE144" s="32"/>
      <c r="AF144" s="158"/>
      <c r="AG144" s="3"/>
      <c r="AH144" s="158"/>
      <c r="AI144" s="32"/>
      <c r="AJ144" s="3"/>
      <c r="AK144" s="32"/>
      <c r="AL144" s="3"/>
      <c r="AM144" s="3"/>
    </row>
    <row r="145" spans="12:39" x14ac:dyDescent="0.2">
      <c r="L145" s="173"/>
      <c r="M145" s="3"/>
      <c r="P145" s="173"/>
      <c r="S145" s="3"/>
      <c r="T145" s="3"/>
      <c r="U145" s="3"/>
      <c r="V145" s="3"/>
      <c r="W145" s="3"/>
      <c r="X145" s="3"/>
      <c r="Y145" s="32"/>
      <c r="Z145" s="3"/>
      <c r="AC145" s="158"/>
      <c r="AD145" s="3"/>
      <c r="AE145" s="32"/>
      <c r="AF145" s="158"/>
      <c r="AG145" s="3"/>
      <c r="AH145" s="158"/>
      <c r="AI145" s="32"/>
      <c r="AJ145" s="3"/>
      <c r="AK145" s="32"/>
      <c r="AL145" s="3"/>
      <c r="AM145" s="3"/>
    </row>
    <row r="146" spans="12:39" x14ac:dyDescent="0.2">
      <c r="L146" s="173"/>
      <c r="AF146" s="330"/>
    </row>
  </sheetData>
  <mergeCells count="3">
    <mergeCell ref="A5:L5"/>
    <mergeCell ref="N5:Y5"/>
    <mergeCell ref="AA5:AL5"/>
  </mergeCells>
  <pageMargins left="0.70866141732283472" right="0.51181102362204722" top="0.74803149606299213" bottom="0.74803149606299213" header="0.31496062992125984" footer="0.31496062992125984"/>
  <pageSetup paperSize="9" scale="72" fitToWidth="3" fitToHeight="0" pageOrder="overThenDown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>
    <tabColor theme="4" tint="0.59999389629810485"/>
  </sheetPr>
  <dimension ref="A4:U45"/>
  <sheetViews>
    <sheetView zoomScale="90" zoomScaleNormal="90" workbookViewId="0"/>
  </sheetViews>
  <sheetFormatPr defaultRowHeight="15" x14ac:dyDescent="0.25"/>
  <cols>
    <col min="1" max="6" width="4.42578125" customWidth="1"/>
    <col min="7" max="7" width="77.42578125" customWidth="1"/>
    <col min="8" max="13" width="14.7109375" customWidth="1"/>
    <col min="14" max="17" width="12.85546875" customWidth="1"/>
    <col min="18" max="18" width="13.5703125" customWidth="1"/>
    <col min="19" max="19" width="11" bestFit="1" customWidth="1"/>
    <col min="20" max="20" width="16" bestFit="1" customWidth="1"/>
    <col min="21" max="22" width="11" bestFit="1" customWidth="1"/>
  </cols>
  <sheetData>
    <row r="4" spans="1:21" x14ac:dyDescent="0.25">
      <c r="A4" s="43" t="s">
        <v>436</v>
      </c>
      <c r="L4" s="116"/>
      <c r="S4" s="43"/>
      <c r="T4" s="43"/>
      <c r="U4" s="43"/>
    </row>
    <row r="5" spans="1:21" ht="45" x14ac:dyDescent="0.25">
      <c r="A5" s="55"/>
      <c r="B5" s="56"/>
      <c r="C5" s="56"/>
      <c r="D5" s="56"/>
      <c r="E5" s="56"/>
      <c r="F5" s="56"/>
      <c r="G5" s="57"/>
      <c r="H5" s="75" t="s">
        <v>151</v>
      </c>
      <c r="I5" s="75" t="s">
        <v>151</v>
      </c>
      <c r="J5" s="75" t="s">
        <v>151</v>
      </c>
      <c r="K5" s="75" t="s">
        <v>151</v>
      </c>
      <c r="L5" s="75" t="s">
        <v>151</v>
      </c>
      <c r="M5" s="75" t="s">
        <v>151</v>
      </c>
      <c r="N5" s="58" t="s">
        <v>343</v>
      </c>
      <c r="O5" s="59" t="s">
        <v>342</v>
      </c>
      <c r="P5" s="59" t="s">
        <v>339</v>
      </c>
      <c r="Q5" s="59" t="s">
        <v>340</v>
      </c>
      <c r="R5" s="60" t="s">
        <v>341</v>
      </c>
      <c r="S5" s="43"/>
      <c r="T5" s="43"/>
      <c r="U5" s="43"/>
    </row>
    <row r="6" spans="1:21" ht="15" customHeight="1" x14ac:dyDescent="0.25">
      <c r="A6" s="239" t="s">
        <v>458</v>
      </c>
      <c r="B6" s="237"/>
      <c r="C6" s="237"/>
      <c r="D6" s="237"/>
      <c r="E6" s="237"/>
      <c r="F6" s="237"/>
      <c r="G6" s="238"/>
      <c r="H6" s="79">
        <f>I7+H25</f>
        <v>2208893500</v>
      </c>
      <c r="I6" s="77"/>
      <c r="J6" s="77"/>
      <c r="K6" s="77"/>
      <c r="L6" s="77"/>
      <c r="M6" s="77"/>
      <c r="N6" s="92"/>
      <c r="O6" s="49"/>
      <c r="P6" s="93"/>
      <c r="Q6" s="93"/>
      <c r="R6" s="94"/>
      <c r="S6" s="43"/>
      <c r="T6" s="43"/>
      <c r="U6" s="43"/>
    </row>
    <row r="7" spans="1:21" ht="15" customHeight="1" x14ac:dyDescent="0.25">
      <c r="A7" s="72"/>
      <c r="B7" s="235" t="s">
        <v>459</v>
      </c>
      <c r="C7" s="235"/>
      <c r="D7" s="235"/>
      <c r="E7" s="235"/>
      <c r="F7" s="235"/>
      <c r="G7" s="236"/>
      <c r="H7" s="78"/>
      <c r="I7" s="86">
        <v>2163529000</v>
      </c>
      <c r="J7" s="77"/>
      <c r="K7" s="77"/>
      <c r="L7" s="77"/>
      <c r="M7" s="77"/>
      <c r="N7" s="50">
        <f>I7/I$7</f>
        <v>1</v>
      </c>
      <c r="O7" s="51"/>
      <c r="P7" s="51"/>
      <c r="Q7" s="51"/>
      <c r="R7" s="61"/>
      <c r="S7" s="43"/>
      <c r="T7" s="43"/>
      <c r="U7" s="43"/>
    </row>
    <row r="8" spans="1:21" s="137" customFormat="1" ht="15" customHeight="1" x14ac:dyDescent="0.25">
      <c r="A8" s="72"/>
      <c r="B8" s="186"/>
      <c r="C8" s="235" t="s">
        <v>460</v>
      </c>
      <c r="D8" s="235"/>
      <c r="E8" s="235"/>
      <c r="F8" s="235"/>
      <c r="G8" s="236"/>
      <c r="H8" s="78"/>
      <c r="I8" s="79"/>
      <c r="J8" s="77">
        <f>I7-H26</f>
        <v>2148529000</v>
      </c>
      <c r="K8" s="77"/>
      <c r="L8" s="77"/>
      <c r="M8" s="77"/>
      <c r="N8" s="50"/>
      <c r="O8" s="51"/>
      <c r="P8" s="51"/>
      <c r="Q8" s="51"/>
      <c r="R8" s="61"/>
      <c r="S8" s="43"/>
      <c r="T8" s="43"/>
      <c r="U8" s="43"/>
    </row>
    <row r="9" spans="1:21" ht="15" customHeight="1" x14ac:dyDescent="0.25">
      <c r="A9" s="72"/>
      <c r="B9" s="186"/>
      <c r="C9" s="240" t="s">
        <v>461</v>
      </c>
      <c r="D9" s="235"/>
      <c r="E9" s="235"/>
      <c r="F9" s="235"/>
      <c r="G9" s="236"/>
      <c r="H9" s="79"/>
      <c r="I9" s="76"/>
      <c r="J9" s="146">
        <v>2148529000</v>
      </c>
      <c r="K9" s="77"/>
      <c r="L9" s="77"/>
      <c r="M9" s="77"/>
      <c r="N9" s="50">
        <f>J9/I$7</f>
        <v>0.99306688285666611</v>
      </c>
      <c r="O9" s="52">
        <f>J9/J$9</f>
        <v>1</v>
      </c>
      <c r="P9" s="52"/>
      <c r="Q9" s="51"/>
      <c r="R9" s="61"/>
      <c r="S9" s="43"/>
      <c r="T9" s="43"/>
      <c r="U9" s="43"/>
    </row>
    <row r="10" spans="1:21" ht="15" customHeight="1" x14ac:dyDescent="0.25">
      <c r="A10" s="72"/>
      <c r="B10" s="186"/>
      <c r="C10" s="186"/>
      <c r="D10" s="235" t="s">
        <v>338</v>
      </c>
      <c r="E10" s="235"/>
      <c r="F10" s="235"/>
      <c r="G10" s="236"/>
      <c r="H10" s="79"/>
      <c r="I10" s="77"/>
      <c r="J10" s="77"/>
      <c r="K10" s="146">
        <v>1503970000</v>
      </c>
      <c r="L10" s="77"/>
      <c r="M10" s="77"/>
      <c r="N10" s="50">
        <f>K10/I$7</f>
        <v>0.69514667933732344</v>
      </c>
      <c r="O10" s="82">
        <v>0.7</v>
      </c>
      <c r="P10" s="52">
        <f>K10/K$10</f>
        <v>1</v>
      </c>
      <c r="Q10" s="51"/>
      <c r="R10" s="61"/>
      <c r="S10" s="135"/>
      <c r="T10" s="76"/>
      <c r="U10" s="135"/>
    </row>
    <row r="11" spans="1:21" ht="15" customHeight="1" x14ac:dyDescent="0.25">
      <c r="A11" s="157"/>
      <c r="B11" s="186"/>
      <c r="C11" s="186"/>
      <c r="D11" s="46"/>
      <c r="E11" s="235" t="s">
        <v>462</v>
      </c>
      <c r="F11" s="235"/>
      <c r="G11" s="236"/>
      <c r="H11" s="79"/>
      <c r="I11" s="77"/>
      <c r="J11" s="77"/>
      <c r="K11" s="77"/>
      <c r="L11" s="77">
        <f>K10-H27</f>
        <v>1486560000</v>
      </c>
      <c r="M11" s="77"/>
      <c r="N11" s="50">
        <f>L11/I$7</f>
        <v>0.68709964137296053</v>
      </c>
      <c r="O11" s="51">
        <f>L11/J$9</f>
        <v>0.69189664184193</v>
      </c>
      <c r="P11" s="52">
        <f>L11/K$10</f>
        <v>0.98842397122283021</v>
      </c>
      <c r="Q11" s="52"/>
      <c r="R11" s="61"/>
      <c r="S11" s="43"/>
      <c r="T11" s="77"/>
      <c r="U11" s="43"/>
    </row>
    <row r="12" spans="1:21" ht="15" customHeight="1" x14ac:dyDescent="0.25">
      <c r="A12" s="72"/>
      <c r="B12" s="186"/>
      <c r="C12" s="186"/>
      <c r="D12" s="46"/>
      <c r="E12" s="235" t="s">
        <v>463</v>
      </c>
      <c r="F12" s="235"/>
      <c r="G12" s="236"/>
      <c r="H12" s="79"/>
      <c r="I12" s="77"/>
      <c r="J12" s="77"/>
      <c r="K12" s="77"/>
      <c r="L12" s="77">
        <f>K10-H27-H28</f>
        <v>1479096000</v>
      </c>
      <c r="M12" s="71"/>
      <c r="N12" s="50">
        <f>L12/I$7</f>
        <v>0.68364972228243759</v>
      </c>
      <c r="O12" s="51">
        <f>L12/J$9</f>
        <v>0.68842263706936235</v>
      </c>
      <c r="P12" s="52">
        <f>L12/K$10</f>
        <v>0.98346110627206662</v>
      </c>
      <c r="Q12" s="51"/>
      <c r="R12" s="61"/>
      <c r="S12" s="43"/>
      <c r="T12" s="77"/>
      <c r="U12" s="43"/>
    </row>
    <row r="13" spans="1:21" ht="15" customHeight="1" x14ac:dyDescent="0.25">
      <c r="A13" s="72"/>
      <c r="B13" s="186"/>
      <c r="C13" s="46"/>
      <c r="D13" s="235" t="s">
        <v>150</v>
      </c>
      <c r="E13" s="235"/>
      <c r="F13" s="235"/>
      <c r="G13" s="236"/>
      <c r="H13" s="79"/>
      <c r="I13" s="77"/>
      <c r="J13" s="77"/>
      <c r="K13" s="77">
        <f>ROUND(J9*O13,-3)</f>
        <v>429706000</v>
      </c>
      <c r="L13" s="77"/>
      <c r="M13" s="77"/>
      <c r="N13" s="50">
        <f>K13/I$7</f>
        <v>0.19861346901289514</v>
      </c>
      <c r="O13" s="83">
        <v>0.2</v>
      </c>
      <c r="P13" s="84"/>
      <c r="Q13" s="51"/>
      <c r="R13" s="61"/>
      <c r="S13" s="135"/>
      <c r="T13" s="76"/>
      <c r="U13" s="135"/>
    </row>
    <row r="14" spans="1:21" ht="15" customHeight="1" x14ac:dyDescent="0.25">
      <c r="A14" s="72"/>
      <c r="B14" s="186"/>
      <c r="C14" s="46"/>
      <c r="D14" s="235" t="s">
        <v>327</v>
      </c>
      <c r="E14" s="235"/>
      <c r="F14" s="235"/>
      <c r="G14" s="236"/>
      <c r="H14" s="79"/>
      <c r="I14" s="77"/>
      <c r="J14" s="77"/>
      <c r="K14" s="77">
        <f>ROUND(J9*O14,-3)</f>
        <v>214853000</v>
      </c>
      <c r="L14" s="77"/>
      <c r="M14" s="77"/>
      <c r="N14" s="50">
        <f>K14/I$7</f>
        <v>9.9306734506447572E-2</v>
      </c>
      <c r="O14" s="83">
        <v>0.1</v>
      </c>
      <c r="P14" s="84"/>
      <c r="Q14" s="51">
        <f>K14/K$14</f>
        <v>1</v>
      </c>
      <c r="R14" s="61"/>
      <c r="S14" s="43"/>
      <c r="T14" s="76"/>
      <c r="U14" s="135"/>
    </row>
    <row r="15" spans="1:21" ht="15" customHeight="1" x14ac:dyDescent="0.25">
      <c r="A15" s="72"/>
      <c r="B15" s="47"/>
      <c r="C15" s="46"/>
      <c r="D15" s="186"/>
      <c r="E15" s="235" t="s">
        <v>156</v>
      </c>
      <c r="F15" s="235"/>
      <c r="G15" s="236"/>
      <c r="H15" s="79"/>
      <c r="I15" s="77"/>
      <c r="J15" s="77"/>
      <c r="K15" s="77"/>
      <c r="L15" s="77">
        <f>K14*Q15</f>
        <v>150397100</v>
      </c>
      <c r="M15" s="77"/>
      <c r="N15" s="50">
        <f>L15/I$7</f>
        <v>6.9514714154513296E-2</v>
      </c>
      <c r="O15" s="52">
        <f>L15/J$9</f>
        <v>7.000003258043061E-2</v>
      </c>
      <c r="P15" s="84"/>
      <c r="Q15" s="191">
        <f>7/10</f>
        <v>0.7</v>
      </c>
      <c r="R15" s="192"/>
      <c r="S15" s="134"/>
      <c r="T15" s="134"/>
      <c r="U15" s="134"/>
    </row>
    <row r="16" spans="1:21" s="43" customFormat="1" ht="15" customHeight="1" x14ac:dyDescent="0.25">
      <c r="A16" s="62"/>
      <c r="B16" s="47"/>
      <c r="C16" s="46"/>
      <c r="D16" s="186"/>
      <c r="E16" s="235" t="s">
        <v>329</v>
      </c>
      <c r="F16" s="235"/>
      <c r="G16" s="236"/>
      <c r="H16" s="79"/>
      <c r="I16" s="77"/>
      <c r="J16" s="77"/>
      <c r="K16" s="77"/>
      <c r="L16" s="77">
        <f>K14*Q16</f>
        <v>32227950</v>
      </c>
      <c r="M16" s="77"/>
      <c r="N16" s="50">
        <f>L16/I$7</f>
        <v>1.4896010175967134E-2</v>
      </c>
      <c r="O16" s="52">
        <f>L16/J$9</f>
        <v>1.5000006981520845E-2</v>
      </c>
      <c r="P16" s="84"/>
      <c r="Q16" s="191">
        <f>3/20</f>
        <v>0.15</v>
      </c>
      <c r="R16" s="192">
        <f>L16/L$16</f>
        <v>1</v>
      </c>
      <c r="S16" s="134"/>
      <c r="T16" s="134"/>
      <c r="U16" s="134"/>
    </row>
    <row r="17" spans="1:21" s="43" customFormat="1" ht="15" customHeight="1" x14ac:dyDescent="0.25">
      <c r="A17" s="62"/>
      <c r="B17" s="186"/>
      <c r="C17" s="46"/>
      <c r="D17" s="186"/>
      <c r="E17" s="186"/>
      <c r="F17" s="235" t="s">
        <v>14</v>
      </c>
      <c r="G17" s="236"/>
      <c r="H17" s="79"/>
      <c r="I17" s="77"/>
      <c r="J17" s="77"/>
      <c r="K17" s="77"/>
      <c r="L17" s="77"/>
      <c r="M17" s="77">
        <f>ROUND(L16*R17,0)</f>
        <v>8056988</v>
      </c>
      <c r="N17" s="50">
        <f>M17/I$7</f>
        <v>3.7240027750956887E-3</v>
      </c>
      <c r="O17" s="52">
        <f>M17/J$9</f>
        <v>3.7500019780975728E-3</v>
      </c>
      <c r="P17" s="84"/>
      <c r="Q17" s="193">
        <f>M17/K$14</f>
        <v>3.750000232717253E-2</v>
      </c>
      <c r="R17" s="194">
        <f>1/4</f>
        <v>0.25</v>
      </c>
    </row>
    <row r="18" spans="1:21" ht="15" customHeight="1" x14ac:dyDescent="0.25">
      <c r="A18" s="72"/>
      <c r="B18" s="186"/>
      <c r="C18" s="46"/>
      <c r="D18" s="186"/>
      <c r="E18" s="186"/>
      <c r="F18" s="235" t="s">
        <v>330</v>
      </c>
      <c r="G18" s="236"/>
      <c r="H18" s="79"/>
      <c r="I18" s="77"/>
      <c r="J18" s="77"/>
      <c r="K18" s="77"/>
      <c r="L18" s="77"/>
      <c r="M18" s="77">
        <f>ROUND(L16*R18,0)</f>
        <v>24170963</v>
      </c>
      <c r="N18" s="50">
        <f>M18/I$7</f>
        <v>1.1172007863079257E-2</v>
      </c>
      <c r="O18" s="52">
        <f>M18/J$9</f>
        <v>1.1250005468857996E-2</v>
      </c>
      <c r="P18" s="84"/>
      <c r="Q18" s="193">
        <f>M18/K$14</f>
        <v>0.11250000232717253</v>
      </c>
      <c r="R18" s="194">
        <f>3/4</f>
        <v>0.75</v>
      </c>
      <c r="S18" s="43"/>
      <c r="T18" s="43"/>
      <c r="U18" s="43"/>
    </row>
    <row r="19" spans="1:21" ht="15" customHeight="1" x14ac:dyDescent="0.25">
      <c r="A19" s="72"/>
      <c r="B19" s="186"/>
      <c r="C19" s="46"/>
      <c r="D19" s="186"/>
      <c r="E19" s="235" t="s">
        <v>515</v>
      </c>
      <c r="F19" s="235"/>
      <c r="G19" s="236"/>
      <c r="H19" s="79"/>
      <c r="I19" s="77"/>
      <c r="J19" s="77"/>
      <c r="K19" s="77"/>
      <c r="L19" s="77">
        <f>K14*Q19</f>
        <v>32227950</v>
      </c>
      <c r="M19" s="77"/>
      <c r="N19" s="50">
        <f>L19/I$7</f>
        <v>1.4896010175967134E-2</v>
      </c>
      <c r="O19" s="52">
        <f>L19/J$9</f>
        <v>1.5000006981520845E-2</v>
      </c>
      <c r="P19" s="84"/>
      <c r="Q19" s="191">
        <f>3/20</f>
        <v>0.15</v>
      </c>
      <c r="R19" s="195"/>
      <c r="S19" s="43"/>
      <c r="T19" s="43"/>
      <c r="U19" s="134"/>
    </row>
    <row r="20" spans="1:21" s="137" customFormat="1" ht="15" customHeight="1" x14ac:dyDescent="0.25">
      <c r="A20" s="72"/>
      <c r="B20" s="186"/>
      <c r="C20" s="46"/>
      <c r="D20" s="186"/>
      <c r="E20" s="186"/>
      <c r="F20" s="235" t="s">
        <v>513</v>
      </c>
      <c r="G20" s="236"/>
      <c r="H20" s="79"/>
      <c r="I20" s="77"/>
      <c r="J20" s="77"/>
      <c r="K20" s="77"/>
      <c r="L20" s="77"/>
      <c r="M20" s="77">
        <f>ROUND(L19*R20,0)</f>
        <v>24170963</v>
      </c>
      <c r="N20" s="50">
        <f>M20/I$7</f>
        <v>1.1172007863079257E-2</v>
      </c>
      <c r="O20" s="52">
        <f>M20/J$9</f>
        <v>1.1250005468857996E-2</v>
      </c>
      <c r="P20" s="84"/>
      <c r="Q20" s="196"/>
      <c r="R20" s="194">
        <f>3/4</f>
        <v>0.75</v>
      </c>
      <c r="S20" s="43"/>
      <c r="T20" s="43"/>
      <c r="U20" s="134"/>
    </row>
    <row r="21" spans="1:21" s="137" customFormat="1" ht="15" customHeight="1" x14ac:dyDescent="0.25">
      <c r="A21" s="72"/>
      <c r="B21" s="186"/>
      <c r="C21" s="46"/>
      <c r="D21" s="186"/>
      <c r="E21" s="186"/>
      <c r="F21" s="235" t="s">
        <v>514</v>
      </c>
      <c r="G21" s="236"/>
      <c r="H21" s="79"/>
      <c r="I21" s="77"/>
      <c r="J21" s="77"/>
      <c r="K21" s="77"/>
      <c r="L21" s="77"/>
      <c r="M21" s="77">
        <f>ROUND(L19*R21,0)</f>
        <v>8056988</v>
      </c>
      <c r="N21" s="50">
        <f>M21/I$7</f>
        <v>3.7240027750956887E-3</v>
      </c>
      <c r="O21" s="52">
        <f>M21/J$9</f>
        <v>3.7500019780975728E-3</v>
      </c>
      <c r="P21" s="84"/>
      <c r="Q21" s="196"/>
      <c r="R21" s="194">
        <f>1/4</f>
        <v>0.25</v>
      </c>
      <c r="S21" s="43"/>
      <c r="T21" s="43"/>
      <c r="U21" s="134"/>
    </row>
    <row r="22" spans="1:21" ht="15" customHeight="1" x14ac:dyDescent="0.25">
      <c r="A22" s="72"/>
      <c r="B22" s="186"/>
      <c r="C22" s="235" t="s">
        <v>155</v>
      </c>
      <c r="D22" s="235"/>
      <c r="E22" s="235"/>
      <c r="F22" s="235"/>
      <c r="G22" s="236"/>
      <c r="H22" s="79"/>
      <c r="I22" s="77"/>
      <c r="J22" s="77">
        <f>J8+H25</f>
        <v>2193893500</v>
      </c>
      <c r="K22" s="77"/>
      <c r="L22" s="77"/>
      <c r="M22" s="77"/>
      <c r="N22" s="50"/>
      <c r="O22" s="51"/>
      <c r="P22" s="85"/>
      <c r="Q22" s="51"/>
      <c r="R22" s="61"/>
      <c r="S22" s="43"/>
      <c r="T22" s="43"/>
      <c r="U22" s="43"/>
    </row>
    <row r="23" spans="1:21" ht="15" customHeight="1" x14ac:dyDescent="0.25">
      <c r="A23" s="72"/>
      <c r="B23" s="186"/>
      <c r="C23" s="235" t="s">
        <v>430</v>
      </c>
      <c r="D23" s="235"/>
      <c r="E23" s="235"/>
      <c r="F23" s="235"/>
      <c r="G23" s="236"/>
      <c r="H23" s="79"/>
      <c r="I23" s="77"/>
      <c r="J23" s="77">
        <f>J8-H28</f>
        <v>2141065000</v>
      </c>
      <c r="K23" s="77">
        <f>K10+K13+K14-H28</f>
        <v>2141065000</v>
      </c>
      <c r="L23" s="77"/>
      <c r="M23" s="77"/>
      <c r="N23" s="50"/>
      <c r="O23" s="51"/>
      <c r="P23" s="85"/>
      <c r="Q23" s="51"/>
      <c r="R23" s="61"/>
      <c r="S23" s="43"/>
      <c r="T23" s="43"/>
      <c r="U23" s="43"/>
    </row>
    <row r="24" spans="1:21" ht="15" customHeight="1" x14ac:dyDescent="0.25">
      <c r="A24" s="54"/>
      <c r="B24" s="44"/>
      <c r="C24" s="233" t="s">
        <v>431</v>
      </c>
      <c r="D24" s="233"/>
      <c r="E24" s="233"/>
      <c r="F24" s="233"/>
      <c r="G24" s="234"/>
      <c r="H24" s="77"/>
      <c r="I24" s="77"/>
      <c r="J24" s="77">
        <f>J8-H27-H28</f>
        <v>2123655000</v>
      </c>
      <c r="K24" s="77"/>
      <c r="L24" s="77">
        <f>L12+K13+K14</f>
        <v>2123655000</v>
      </c>
      <c r="M24" s="77"/>
      <c r="N24" s="50">
        <f>J24/I$7</f>
        <v>0.98156992580178037</v>
      </c>
      <c r="O24" s="112">
        <f>J24/J$9</f>
        <v>0.98842277669977929</v>
      </c>
      <c r="P24" s="81"/>
      <c r="Q24" s="81"/>
      <c r="R24" s="80"/>
      <c r="S24" s="43"/>
      <c r="T24" s="43"/>
      <c r="U24" s="43"/>
    </row>
    <row r="25" spans="1:21" ht="15" customHeight="1" x14ac:dyDescent="0.25">
      <c r="A25" s="53"/>
      <c r="B25" s="48"/>
      <c r="C25" s="48"/>
      <c r="D25" s="48"/>
      <c r="E25" s="48"/>
      <c r="F25" s="237" t="s">
        <v>152</v>
      </c>
      <c r="G25" s="238"/>
      <c r="H25" s="87">
        <v>45364500</v>
      </c>
      <c r="I25" s="95"/>
      <c r="J25" s="95"/>
      <c r="K25" s="95"/>
      <c r="L25" s="95"/>
      <c r="M25" s="95"/>
      <c r="N25" s="63"/>
      <c r="O25" s="64"/>
      <c r="P25" s="64"/>
      <c r="Q25" s="64"/>
      <c r="R25" s="65"/>
      <c r="S25" s="43"/>
      <c r="T25" s="43"/>
      <c r="U25" s="43"/>
    </row>
    <row r="26" spans="1:21" ht="15" customHeight="1" x14ac:dyDescent="0.25">
      <c r="A26" s="54"/>
      <c r="B26" s="44"/>
      <c r="C26" s="44"/>
      <c r="D26" s="44"/>
      <c r="E26" s="44"/>
      <c r="F26" s="235" t="s">
        <v>153</v>
      </c>
      <c r="G26" s="236"/>
      <c r="H26" s="86">
        <v>15000000</v>
      </c>
      <c r="I26" s="79"/>
      <c r="J26" s="79"/>
      <c r="K26" s="79"/>
      <c r="L26" s="79"/>
      <c r="M26" s="79"/>
      <c r="N26" s="67">
        <f>H26/I$7</f>
        <v>6.9331171433338768E-3</v>
      </c>
      <c r="O26" s="51"/>
      <c r="P26" s="51"/>
      <c r="Q26" s="51"/>
      <c r="R26" s="61"/>
      <c r="S26" s="43"/>
      <c r="T26" s="43"/>
      <c r="U26" s="43"/>
    </row>
    <row r="27" spans="1:21" ht="15" customHeight="1" x14ac:dyDescent="0.25">
      <c r="A27" s="54"/>
      <c r="B27" s="44"/>
      <c r="C27" s="44"/>
      <c r="D27" s="44"/>
      <c r="E27" s="44"/>
      <c r="F27" s="235" t="s">
        <v>154</v>
      </c>
      <c r="G27" s="236"/>
      <c r="H27" s="86">
        <v>17410000</v>
      </c>
      <c r="I27" s="79"/>
      <c r="J27" s="79"/>
      <c r="K27" s="79"/>
      <c r="L27" s="79"/>
      <c r="M27" s="79"/>
      <c r="N27" s="67">
        <f>H27/I$7</f>
        <v>8.0470379643628534E-3</v>
      </c>
      <c r="O27" s="51">
        <f>H27/J$9</f>
        <v>8.1032185276531058E-3</v>
      </c>
      <c r="P27" s="51">
        <f>H27/K$10</f>
        <v>1.1576028777169758E-2</v>
      </c>
      <c r="Q27" s="51"/>
      <c r="R27" s="61"/>
      <c r="S27" s="43"/>
      <c r="T27" s="43"/>
      <c r="U27" s="43"/>
    </row>
    <row r="28" spans="1:21" ht="15" customHeight="1" x14ac:dyDescent="0.25">
      <c r="A28" s="187"/>
      <c r="B28" s="45"/>
      <c r="C28" s="45"/>
      <c r="D28" s="45"/>
      <c r="E28" s="45"/>
      <c r="F28" s="233" t="s">
        <v>356</v>
      </c>
      <c r="G28" s="234"/>
      <c r="H28" s="188">
        <v>7464000</v>
      </c>
      <c r="I28" s="122"/>
      <c r="J28" s="122"/>
      <c r="K28" s="122"/>
      <c r="L28" s="122"/>
      <c r="M28" s="189"/>
      <c r="N28" s="68">
        <f>H28/I$7</f>
        <v>3.4499190905229373E-3</v>
      </c>
      <c r="O28" s="66">
        <f>H28/J$9</f>
        <v>3.4740047725676498E-3</v>
      </c>
      <c r="P28" s="66">
        <f>H28/K$10</f>
        <v>4.9628649507636458E-3</v>
      </c>
      <c r="Q28" s="66"/>
      <c r="R28" s="190"/>
      <c r="S28" s="43"/>
      <c r="T28" s="43"/>
      <c r="U28" s="43"/>
    </row>
    <row r="29" spans="1:21" x14ac:dyDescent="0.25">
      <c r="A29" s="43" t="s">
        <v>557</v>
      </c>
    </row>
    <row r="30" spans="1:21" x14ac:dyDescent="0.25">
      <c r="C30" s="103"/>
      <c r="D30" s="103"/>
      <c r="E30" s="103"/>
      <c r="F30" s="103"/>
      <c r="G30" s="103"/>
      <c r="H30" s="103"/>
      <c r="I30" s="103"/>
      <c r="K30" s="103"/>
      <c r="L30" s="103"/>
      <c r="M30" s="103"/>
    </row>
    <row r="31" spans="1:21" x14ac:dyDescent="0.25">
      <c r="C31" s="103"/>
      <c r="D31" s="103"/>
      <c r="E31" s="103"/>
      <c r="F31" s="103"/>
      <c r="G31" s="103"/>
      <c r="H31" s="123"/>
      <c r="I31" s="124"/>
      <c r="J31" s="124"/>
      <c r="K31" s="124"/>
      <c r="L31" s="124"/>
      <c r="M31" s="124"/>
      <c r="N31" s="124"/>
      <c r="O31" s="124"/>
    </row>
    <row r="32" spans="1:21" x14ac:dyDescent="0.25">
      <c r="C32" s="103"/>
      <c r="D32" s="103"/>
      <c r="E32" s="103"/>
      <c r="F32" s="103"/>
      <c r="G32" s="103"/>
      <c r="H32" s="123"/>
      <c r="I32" s="124"/>
      <c r="J32" s="124"/>
      <c r="K32" s="124"/>
      <c r="L32" s="124"/>
      <c r="M32" s="124"/>
      <c r="N32" s="124"/>
      <c r="O32" s="124"/>
    </row>
    <row r="33" spans="8:15" x14ac:dyDescent="0.25">
      <c r="H33" s="123"/>
      <c r="I33" s="124"/>
      <c r="J33" s="124"/>
      <c r="K33" s="124"/>
      <c r="L33" s="124"/>
      <c r="M33" s="124"/>
      <c r="N33" s="124"/>
      <c r="O33" s="124"/>
    </row>
    <row r="34" spans="8:15" x14ac:dyDescent="0.25">
      <c r="H34" s="123"/>
      <c r="I34" s="124"/>
      <c r="J34" s="124"/>
      <c r="K34" s="124"/>
      <c r="L34" s="124"/>
      <c r="M34" s="124"/>
      <c r="N34" s="124"/>
      <c r="O34" s="1"/>
    </row>
    <row r="35" spans="8:15" x14ac:dyDescent="0.25">
      <c r="H35" s="123"/>
      <c r="I35" s="124"/>
      <c r="J35" s="124"/>
      <c r="K35" s="124"/>
      <c r="L35" s="124"/>
      <c r="M35" s="124"/>
      <c r="N35" s="124"/>
      <c r="O35" s="1"/>
    </row>
    <row r="36" spans="8:15" x14ac:dyDescent="0.25">
      <c r="H36" s="123"/>
      <c r="I36" s="124"/>
      <c r="J36" s="124"/>
      <c r="K36" s="124"/>
      <c r="L36" s="124"/>
      <c r="M36" s="124"/>
      <c r="N36" s="124"/>
      <c r="O36" s="1"/>
    </row>
    <row r="37" spans="8:15" x14ac:dyDescent="0.25">
      <c r="H37" s="123"/>
      <c r="I37" s="124"/>
      <c r="J37" s="124"/>
      <c r="K37" s="124"/>
      <c r="L37" s="124"/>
      <c r="M37" s="124"/>
      <c r="N37" s="124"/>
      <c r="O37" s="1"/>
    </row>
    <row r="38" spans="8:15" x14ac:dyDescent="0.25">
      <c r="H38" s="123"/>
      <c r="I38" s="124"/>
      <c r="J38" s="124"/>
      <c r="K38" s="124"/>
      <c r="L38" s="124"/>
      <c r="M38" s="124"/>
      <c r="N38" s="124"/>
      <c r="O38" s="137"/>
    </row>
    <row r="39" spans="8:15" x14ac:dyDescent="0.25">
      <c r="H39" s="123"/>
      <c r="I39" s="124"/>
      <c r="J39" s="124"/>
      <c r="K39" s="124"/>
      <c r="L39" s="124"/>
      <c r="M39" s="124"/>
      <c r="N39" s="124"/>
      <c r="O39" s="124"/>
    </row>
    <row r="40" spans="8:15" x14ac:dyDescent="0.25">
      <c r="H40" s="123"/>
      <c r="I40" s="124"/>
      <c r="J40" s="124"/>
      <c r="K40" s="124"/>
      <c r="L40" s="124"/>
      <c r="M40" s="124"/>
      <c r="N40" s="124"/>
      <c r="O40" s="124"/>
    </row>
    <row r="41" spans="8:15" x14ac:dyDescent="0.25">
      <c r="H41" s="123"/>
      <c r="I41" s="124"/>
      <c r="J41" s="124"/>
      <c r="K41" s="124"/>
      <c r="L41" s="124"/>
      <c r="M41" s="124"/>
      <c r="N41" s="124"/>
      <c r="O41" s="1"/>
    </row>
    <row r="42" spans="8:15" x14ac:dyDescent="0.25">
      <c r="H42" s="123"/>
      <c r="I42" s="124"/>
      <c r="J42" s="124"/>
      <c r="K42" s="124"/>
      <c r="L42" s="124"/>
      <c r="M42" s="124"/>
      <c r="N42" s="124"/>
      <c r="O42" s="1"/>
    </row>
    <row r="43" spans="8:15" x14ac:dyDescent="0.25">
      <c r="H43" s="123"/>
      <c r="I43" s="124"/>
      <c r="J43" s="124"/>
      <c r="K43" s="124"/>
      <c r="L43" s="124"/>
      <c r="M43" s="124"/>
      <c r="N43" s="124"/>
      <c r="O43" s="1"/>
    </row>
    <row r="44" spans="8:15" x14ac:dyDescent="0.25">
      <c r="H44" s="123"/>
      <c r="I44" s="124"/>
      <c r="J44" s="124"/>
      <c r="K44" s="124"/>
      <c r="L44" s="124"/>
      <c r="M44" s="124"/>
      <c r="N44" s="124"/>
      <c r="O44" s="1"/>
    </row>
    <row r="45" spans="8:15" x14ac:dyDescent="0.25">
      <c r="H45" s="123"/>
      <c r="I45" s="124"/>
      <c r="J45" s="124"/>
      <c r="K45" s="124"/>
      <c r="L45" s="124"/>
      <c r="M45" s="124"/>
      <c r="N45" s="124"/>
      <c r="O45" s="137"/>
    </row>
  </sheetData>
  <mergeCells count="23">
    <mergeCell ref="C23:G23"/>
    <mergeCell ref="C22:G22"/>
    <mergeCell ref="D13:G13"/>
    <mergeCell ref="D14:G14"/>
    <mergeCell ref="E15:G15"/>
    <mergeCell ref="E16:G16"/>
    <mergeCell ref="F17:G17"/>
    <mergeCell ref="F18:G18"/>
    <mergeCell ref="E19:G19"/>
    <mergeCell ref="F20:G20"/>
    <mergeCell ref="F21:G21"/>
    <mergeCell ref="E12:G12"/>
    <mergeCell ref="A6:G6"/>
    <mergeCell ref="B7:G7"/>
    <mergeCell ref="C9:G9"/>
    <mergeCell ref="D10:G10"/>
    <mergeCell ref="E11:G11"/>
    <mergeCell ref="C8:G8"/>
    <mergeCell ref="F28:G28"/>
    <mergeCell ref="F27:G27"/>
    <mergeCell ref="F26:G26"/>
    <mergeCell ref="F25:G25"/>
    <mergeCell ref="C24:G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>
    <tabColor theme="4" tint="0.59999389629810485"/>
  </sheetPr>
  <dimension ref="A1:AT315"/>
  <sheetViews>
    <sheetView zoomScaleNormal="100" workbookViewId="0">
      <pane xSplit="2" ySplit="5" topLeftCell="F119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13.140625" defaultRowHeight="15" x14ac:dyDescent="0.25"/>
  <cols>
    <col min="1" max="1" width="11.5703125" style="2" hidden="1" customWidth="1"/>
    <col min="2" max="2" width="42.140625" style="2" customWidth="1"/>
    <col min="3" max="3" width="18.5703125" style="2" hidden="1" customWidth="1"/>
    <col min="4" max="5" width="16.42578125" style="2" hidden="1" customWidth="1"/>
    <col min="6" max="6" width="16.7109375" style="2" customWidth="1"/>
    <col min="7" max="7" width="18.7109375" style="3" customWidth="1"/>
    <col min="8" max="8" width="10.28515625" style="3" customWidth="1"/>
    <col min="9" max="11" width="10.28515625" style="2" customWidth="1"/>
    <col min="12" max="12" width="12.28515625" style="2" customWidth="1"/>
    <col min="13" max="13" width="11.140625" style="2" customWidth="1"/>
    <col min="14" max="14" width="10.28515625" style="2" customWidth="1"/>
    <col min="15" max="15" width="12.28515625" style="2" customWidth="1"/>
    <col min="16" max="17" width="10.28515625" style="2" customWidth="1"/>
    <col min="18" max="18" width="12.28515625" style="2" customWidth="1"/>
    <col min="19" max="20" width="10.28515625" style="2" customWidth="1"/>
    <col min="21" max="21" width="12.28515625" style="2" customWidth="1"/>
    <col min="22" max="22" width="11.28515625" style="2" customWidth="1"/>
    <col min="23" max="23" width="10.28515625" style="2" customWidth="1"/>
    <col min="24" max="30" width="12.28515625" style="2" customWidth="1"/>
    <col min="31" max="31" width="10.28515625" style="2" customWidth="1"/>
    <col min="32" max="32" width="15.42578125" style="2" customWidth="1"/>
    <col min="33" max="33" width="20.7109375" style="2" customWidth="1"/>
    <col min="34" max="34" width="20.7109375" customWidth="1"/>
    <col min="35" max="36" width="20.7109375" style="2" customWidth="1"/>
    <col min="37" max="37" width="20.7109375" customWidth="1"/>
    <col min="38" max="39" width="20.7109375" style="137" customWidth="1"/>
    <col min="40" max="40" width="20.7109375" customWidth="1"/>
    <col min="41" max="41" width="21.85546875" style="2" customWidth="1"/>
    <col min="42" max="42" width="21.85546875" style="3" customWidth="1"/>
    <col min="43" max="43" width="21.85546875" style="2" customWidth="1"/>
    <col min="44" max="44" width="25.5703125" style="3" customWidth="1"/>
    <col min="45" max="46" width="25.5703125" style="2" customWidth="1"/>
    <col min="47" max="16384" width="13.140625" style="2"/>
  </cols>
  <sheetData>
    <row r="1" spans="1:46" x14ac:dyDescent="0.25">
      <c r="A1" s="3"/>
      <c r="D1" s="3"/>
      <c r="E1" s="3"/>
      <c r="F1" s="147"/>
      <c r="G1" s="1"/>
      <c r="H1" s="4"/>
      <c r="M1" s="10"/>
      <c r="V1" s="3"/>
      <c r="AG1" s="4"/>
      <c r="AH1" s="4"/>
      <c r="AI1" s="4"/>
      <c r="AJ1" s="4"/>
      <c r="AK1" s="156"/>
      <c r="AL1" s="4"/>
      <c r="AN1" s="4"/>
      <c r="AO1" s="3"/>
      <c r="AR1" s="2"/>
    </row>
    <row r="2" spans="1:46" ht="53.25" customHeight="1" x14ac:dyDescent="0.2">
      <c r="A2" s="295" t="s">
        <v>323</v>
      </c>
      <c r="B2" s="295"/>
      <c r="C2" s="14"/>
      <c r="D2" s="14"/>
      <c r="E2" s="14"/>
      <c r="F2" s="258" t="s">
        <v>558</v>
      </c>
      <c r="G2" s="259"/>
      <c r="H2" s="259"/>
      <c r="I2" s="259"/>
      <c r="J2" s="257"/>
      <c r="K2" s="257"/>
      <c r="L2" s="257"/>
      <c r="M2" s="257"/>
      <c r="N2" s="257"/>
      <c r="O2" s="257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7"/>
      <c r="AF2" s="263"/>
      <c r="AG2" s="269"/>
      <c r="AH2" s="269"/>
      <c r="AI2" s="269"/>
      <c r="AJ2" s="269"/>
      <c r="AK2" s="269"/>
      <c r="AL2" s="269"/>
      <c r="AM2" s="269"/>
      <c r="AN2" s="270"/>
      <c r="AO2" s="242" t="s">
        <v>559</v>
      </c>
      <c r="AP2" s="243"/>
      <c r="AQ2" s="243"/>
      <c r="AR2" s="244"/>
      <c r="AS2" s="304" t="s">
        <v>418</v>
      </c>
      <c r="AT2" s="117" t="s">
        <v>417</v>
      </c>
    </row>
    <row r="3" spans="1:46" s="5" customFormat="1" ht="15" customHeight="1" x14ac:dyDescent="0.2">
      <c r="A3" s="22"/>
      <c r="B3" s="22"/>
      <c r="C3" s="22"/>
      <c r="D3" s="22"/>
      <c r="E3" s="22"/>
      <c r="F3" s="260" t="s">
        <v>421</v>
      </c>
      <c r="G3" s="261"/>
      <c r="H3" s="261"/>
      <c r="I3" s="261"/>
      <c r="J3" s="261"/>
      <c r="K3" s="261"/>
      <c r="L3" s="262"/>
      <c r="M3" s="260" t="s">
        <v>150</v>
      </c>
      <c r="N3" s="261"/>
      <c r="O3" s="262"/>
      <c r="P3" s="267" t="s">
        <v>327</v>
      </c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88"/>
      <c r="AE3" s="260" t="s">
        <v>13</v>
      </c>
      <c r="AF3" s="262"/>
      <c r="AG3" s="294" t="s">
        <v>517</v>
      </c>
      <c r="AH3" s="294" t="s">
        <v>518</v>
      </c>
      <c r="AI3" s="294" t="s">
        <v>519</v>
      </c>
      <c r="AJ3" s="294" t="s">
        <v>520</v>
      </c>
      <c r="AK3" s="294" t="s">
        <v>560</v>
      </c>
      <c r="AL3" s="249" t="s">
        <v>539</v>
      </c>
      <c r="AM3" s="249" t="s">
        <v>561</v>
      </c>
      <c r="AN3" s="249" t="s">
        <v>562</v>
      </c>
      <c r="AO3" s="247" t="s">
        <v>358</v>
      </c>
      <c r="AP3" s="245" t="s">
        <v>359</v>
      </c>
      <c r="AQ3" s="246" t="s">
        <v>360</v>
      </c>
      <c r="AR3" s="248" t="s">
        <v>420</v>
      </c>
      <c r="AS3" s="241"/>
      <c r="AT3" s="241"/>
    </row>
    <row r="4" spans="1:46" s="6" customFormat="1" ht="29.25" customHeight="1" x14ac:dyDescent="0.25">
      <c r="A4" s="23"/>
      <c r="B4" s="23"/>
      <c r="C4" s="23"/>
      <c r="D4" s="23"/>
      <c r="E4" s="23"/>
      <c r="F4" s="254" t="s">
        <v>162</v>
      </c>
      <c r="G4" s="255"/>
      <c r="H4" s="255"/>
      <c r="I4" s="255"/>
      <c r="J4" s="255"/>
      <c r="K4" s="255"/>
      <c r="L4" s="256"/>
      <c r="M4" s="264" t="s">
        <v>163</v>
      </c>
      <c r="N4" s="265"/>
      <c r="O4" s="266"/>
      <c r="P4" s="265" t="s">
        <v>164</v>
      </c>
      <c r="Q4" s="265"/>
      <c r="R4" s="265"/>
      <c r="S4" s="250" t="s">
        <v>165</v>
      </c>
      <c r="T4" s="251"/>
      <c r="U4" s="252"/>
      <c r="V4" s="250" t="s">
        <v>328</v>
      </c>
      <c r="W4" s="251"/>
      <c r="X4" s="252"/>
      <c r="Y4" s="250" t="s">
        <v>505</v>
      </c>
      <c r="Z4" s="251"/>
      <c r="AA4" s="252"/>
      <c r="AB4" s="250" t="s">
        <v>506</v>
      </c>
      <c r="AC4" s="251"/>
      <c r="AD4" s="252"/>
      <c r="AE4" s="264" t="s">
        <v>507</v>
      </c>
      <c r="AF4" s="266"/>
      <c r="AG4" s="294"/>
      <c r="AH4" s="294"/>
      <c r="AI4" s="294"/>
      <c r="AJ4" s="294"/>
      <c r="AK4" s="294"/>
      <c r="AL4" s="249"/>
      <c r="AM4" s="249"/>
      <c r="AN4" s="249"/>
      <c r="AO4" s="247"/>
      <c r="AP4" s="245"/>
      <c r="AQ4" s="246"/>
      <c r="AR4" s="248"/>
      <c r="AS4" s="241"/>
      <c r="AT4" s="241"/>
    </row>
    <row r="5" spans="1:46" s="5" customFormat="1" ht="50.25" customHeight="1" x14ac:dyDescent="0.2">
      <c r="A5" s="22" t="s">
        <v>322</v>
      </c>
      <c r="B5" s="24" t="s">
        <v>321</v>
      </c>
      <c r="C5" s="24" t="s">
        <v>332</v>
      </c>
      <c r="D5" s="24" t="s">
        <v>331</v>
      </c>
      <c r="E5" s="24" t="s">
        <v>372</v>
      </c>
      <c r="F5" s="70" t="s">
        <v>365</v>
      </c>
      <c r="G5" s="17" t="s">
        <v>433</v>
      </c>
      <c r="H5" s="18" t="s">
        <v>457</v>
      </c>
      <c r="I5" s="17" t="s">
        <v>170</v>
      </c>
      <c r="J5" s="17" t="s">
        <v>169</v>
      </c>
      <c r="K5" s="17" t="s">
        <v>157</v>
      </c>
      <c r="L5" s="17" t="s">
        <v>424</v>
      </c>
      <c r="M5" s="19" t="s">
        <v>158</v>
      </c>
      <c r="N5" s="17" t="s">
        <v>159</v>
      </c>
      <c r="O5" s="21" t="s">
        <v>425</v>
      </c>
      <c r="P5" s="20" t="s">
        <v>160</v>
      </c>
      <c r="Q5" s="17" t="s">
        <v>161</v>
      </c>
      <c r="R5" s="20" t="s">
        <v>426</v>
      </c>
      <c r="S5" s="19" t="s">
        <v>166</v>
      </c>
      <c r="T5" s="17" t="s">
        <v>167</v>
      </c>
      <c r="U5" s="21" t="s">
        <v>427</v>
      </c>
      <c r="V5" s="19" t="s">
        <v>172</v>
      </c>
      <c r="W5" s="17" t="s">
        <v>171</v>
      </c>
      <c r="X5" s="176" t="s">
        <v>428</v>
      </c>
      <c r="Y5" s="19" t="s">
        <v>508</v>
      </c>
      <c r="Z5" s="17" t="s">
        <v>168</v>
      </c>
      <c r="AA5" s="21" t="s">
        <v>429</v>
      </c>
      <c r="AB5" s="19" t="s">
        <v>532</v>
      </c>
      <c r="AC5" s="17" t="s">
        <v>509</v>
      </c>
      <c r="AD5" s="176" t="s">
        <v>510</v>
      </c>
      <c r="AE5" s="19" t="s">
        <v>511</v>
      </c>
      <c r="AF5" s="21" t="s">
        <v>512</v>
      </c>
      <c r="AG5" s="298" t="s">
        <v>568</v>
      </c>
      <c r="AH5" s="298" t="s">
        <v>569</v>
      </c>
      <c r="AI5" s="298" t="s">
        <v>570</v>
      </c>
      <c r="AJ5" s="298" t="s">
        <v>571</v>
      </c>
      <c r="AK5" s="298" t="s">
        <v>572</v>
      </c>
      <c r="AL5" s="298" t="s">
        <v>573</v>
      </c>
      <c r="AM5" s="299" t="s">
        <v>574</v>
      </c>
      <c r="AN5" s="298" t="s">
        <v>575</v>
      </c>
      <c r="AO5" s="101" t="s">
        <v>416</v>
      </c>
      <c r="AP5" s="101" t="s">
        <v>361</v>
      </c>
      <c r="AQ5" s="101" t="s">
        <v>516</v>
      </c>
      <c r="AR5" s="97" t="s">
        <v>362</v>
      </c>
      <c r="AS5" s="110" t="s">
        <v>363</v>
      </c>
      <c r="AT5" s="109" t="s">
        <v>364</v>
      </c>
    </row>
    <row r="6" spans="1:46" ht="12.75" x14ac:dyDescent="0.2">
      <c r="A6" s="3" t="s">
        <v>377</v>
      </c>
      <c r="B6" s="7" t="s">
        <v>378</v>
      </c>
      <c r="C6" s="7" t="s">
        <v>173</v>
      </c>
      <c r="D6" s="7" t="s">
        <v>325</v>
      </c>
      <c r="E6" s="7" t="s">
        <v>373</v>
      </c>
      <c r="F6" s="105">
        <v>2484</v>
      </c>
      <c r="G6" s="106">
        <f>Ohj.lask.[[#This Row],[Tavoitteelliset opiskelija-vuodet]]-Ohj.lask.[[#This Row],[Järjestämisluvan opisk.vuosien vähimmäismäärä]]</f>
        <v>1851</v>
      </c>
      <c r="H6" s="32">
        <v>4335</v>
      </c>
      <c r="I6" s="8">
        <f>IFERROR(VLOOKUP($A6,'2.1 Toteut. op.vuodet'!$A:$T,COLUMN('2.1 Toteut. op.vuodet'!S:S),FALSE),0)</f>
        <v>0.86114857234649356</v>
      </c>
      <c r="J6" s="74">
        <f t="shared" ref="J6:J37" si="0">IFERROR(ROUND(H6*I6,1),0)</f>
        <v>3733.1</v>
      </c>
      <c r="K6" s="9">
        <f>IFERROR(Ohj.lask.[[#This Row],[Painotetut opiskelija-vuodet]]/Ohj.lask.[[#Totals],[Painotetut opiskelija-vuodet]],0)</f>
        <v>1.7224037523680687E-2</v>
      </c>
      <c r="L6" s="10">
        <f>ROUND(IFERROR('1.1 Jakotaulu'!L$12*Ohj.lask.[[#This Row],[%-osuus 1]],0),0)</f>
        <v>25476005</v>
      </c>
      <c r="M6" s="132">
        <f>IFERROR(ROUND(VLOOKUP($A6,'2.2 Tutk. ja osien pain. pist.'!$A:$Q,COLUMN('2.2 Tutk. ja osien pain. pist.'!O:O),FALSE),1),0)</f>
        <v>309660.5</v>
      </c>
      <c r="N6" s="9">
        <f>IFERROR(Ohj.lask.[[#This Row],[Painotetut pisteet 2]]/Ohj.lask.[[#Totals],[Painotetut pisteet 2]],0)</f>
        <v>2.0214429010801345E-2</v>
      </c>
      <c r="O6" s="16">
        <f>ROUND(IFERROR('1.1 Jakotaulu'!K$13*Ohj.lask.[[#This Row],[%-osuus 2]],0),0)</f>
        <v>8686261</v>
      </c>
      <c r="P6" s="133">
        <f>IFERROR(ROUND(VLOOKUP($A6,'2.3 Työll. ja jatko-opisk.'!$A:$Z,COLUMN('2.3 Työll. ja jatko-opisk.'!L:L),FALSE),1),0)</f>
        <v>6926.6</v>
      </c>
      <c r="Q6" s="9">
        <f>IFERROR(Ohj.lask.[[#This Row],[Painotetut pisteet 3]]/Ohj.lask.[[#Totals],[Painotetut pisteet 3]],0)</f>
        <v>2.2162566872296303E-2</v>
      </c>
      <c r="R6" s="10">
        <f>ROUND(IFERROR('1.1 Jakotaulu'!L$15*Ohj.lask.[[#This Row],[%-osuus 3]],0),0)</f>
        <v>3333186</v>
      </c>
      <c r="S6" s="132">
        <f>IFERROR(ROUND(VLOOKUP($A6,'2.4 Aloittaneet palaute'!$A:$I,COLUMN('2.4 Aloittaneet palaute'!H:H),FALSE),1),0)</f>
        <v>65316.2</v>
      </c>
      <c r="T6" s="13">
        <f>IFERROR(Ohj.lask.[[#This Row],[Painotetut pisteet 4]]/Ohj.lask.[[#Totals],[Painotetut pisteet 4]],0)</f>
        <v>3.9184349393072179E-2</v>
      </c>
      <c r="U6" s="16">
        <f>ROUND(IFERROR('1.1 Jakotaulu'!M$17*Ohj.lask.[[#This Row],[%-osuus 4]],0),0)</f>
        <v>315708</v>
      </c>
      <c r="V6" s="132">
        <f>IFERROR(ROUND(VLOOKUP($A6,'2.5 Päättäneet palaute'!$A:$Z,COLUMN('2.5 Päättäneet palaute'!X:X),FALSE),1),0)</f>
        <v>363227.8</v>
      </c>
      <c r="W6" s="13">
        <f>IFERROR(Ohj.lask.[[#This Row],[Painotetut pisteet 5]]/Ohj.lask.[[#Totals],[Painotetut pisteet 5]],0)</f>
        <v>3.5515055065095176E-2</v>
      </c>
      <c r="X6" s="16">
        <f>ROUND(IFERROR('1.1 Jakotaulu'!M$18*Ohj.lask.[[#This Row],[%-osuus 5]],0),0)</f>
        <v>858433</v>
      </c>
      <c r="Y6" s="132">
        <f>IFERROR(ROUND(VLOOKUP($A6,'2.6 Työpaikkaohjaajakysely'!B:J,COLUMN('2.6 Työpaikkaohjaajakysely'!H:H),FALSE),1),0)</f>
        <v>11371153.5</v>
      </c>
      <c r="Z6" s="9">
        <f>IFERROR(Ohj.lask.[[#This Row],[Painotetut pisteet 6]]/Ohj.lask.[[#Totals],[Painotetut pisteet 6]],0)</f>
        <v>3.3503004782681922E-2</v>
      </c>
      <c r="AA6" s="16">
        <f>ROUND(IFERROR('1.1 Jakotaulu'!M$20*Ohj.lask.[[#This Row],[%-osuus 6]],0),0)</f>
        <v>809800</v>
      </c>
      <c r="AB6" s="132">
        <f>IFERROR(ROUND(VLOOKUP($A6,'2.7 Työpaikkakysely'!B:H,COLUMN('2.7 Työpaikkakysely'!F:F),FALSE),1),0)</f>
        <v>4431022.3</v>
      </c>
      <c r="AC6" s="9">
        <f>IFERROR(Ohj.lask.[[#This Row],[Pisteet 7]]/Ohj.lask.[[#Totals],[Pisteet 7]],0)</f>
        <v>2.4012858935591484E-2</v>
      </c>
      <c r="AD6" s="16">
        <f>ROUND(IFERROR('1.1 Jakotaulu'!M$21*Ohj.lask.[[#This Row],[%-osuus 7]],0),0)</f>
        <v>193471</v>
      </c>
      <c r="AE6" s="12">
        <f>IFERROR(Ohj.lask.[[#This Row],[Jaettava € 8]]/Ohj.lask.[[#Totals],[Jaettava € 8]],"")</f>
        <v>1.8681407317122707E-2</v>
      </c>
      <c r="AF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39672864</v>
      </c>
      <c r="AG6" s="102">
        <v>0</v>
      </c>
      <c r="AH6" s="102">
        <v>0</v>
      </c>
      <c r="AI6" s="102">
        <v>0</v>
      </c>
      <c r="AJ6" s="102">
        <v>0</v>
      </c>
      <c r="AK6" s="102">
        <v>137000</v>
      </c>
      <c r="AL6" s="107">
        <v>0</v>
      </c>
      <c r="AM6" s="107">
        <v>11510</v>
      </c>
      <c r="AN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148510</v>
      </c>
      <c r="AO6" s="10">
        <f>Ohj.lask.[[#This Row],[Jaettava € 1]]+Ohj.lask.[[#This Row],[Harkinnanvarainen korotus 8, €]]</f>
        <v>25624515</v>
      </c>
      <c r="AP6" s="102">
        <f>Ohj.lask.[[#This Row],[Jaettava € 2]]</f>
        <v>8686261</v>
      </c>
      <c r="AQ6" s="10">
        <f>Ohj.lask.[[#This Row],[Jaettava € 3]]+Ohj.lask.[[#This Row],[Jaettava € 4]]+Ohj.lask.[[#This Row],[Jaettava € 5]]+Ohj.lask.[[#This Row],[Jaettava € 6]]+Ohj.lask.[[#This Row],[Jaettava € 7]]</f>
        <v>5510598</v>
      </c>
      <c r="AR6" s="33">
        <f>Ohj.lask.[[#This Row],[Jaettava € 8]]+Ohj.lask.[[#This Row],[Harkinnanvarainen korotus 8, €]]</f>
        <v>39821374</v>
      </c>
      <c r="AS6" s="33">
        <v>2250956</v>
      </c>
      <c r="AT6" s="16">
        <f>Ohj.lask.[[#This Row],[Perus-, suoritus- ja vaikuttavuusrahoitus yhteensä, €]]+Ohj.lask.[[#This Row],[Alv-korvaus, €]]</f>
        <v>42072330</v>
      </c>
    </row>
    <row r="7" spans="1:46" ht="12.75" x14ac:dyDescent="0.2">
      <c r="A7" s="3" t="s">
        <v>320</v>
      </c>
      <c r="B7" s="7" t="s">
        <v>15</v>
      </c>
      <c r="C7" s="7" t="s">
        <v>182</v>
      </c>
      <c r="D7" s="7" t="s">
        <v>325</v>
      </c>
      <c r="E7" s="7" t="s">
        <v>373</v>
      </c>
      <c r="F7" s="105">
        <v>329</v>
      </c>
      <c r="G7" s="106">
        <f>Ohj.lask.[[#This Row],[Tavoitteelliset opiskelija-vuodet]]-Ohj.lask.[[#This Row],[Järjestämisluvan opisk.vuosien vähimmäismäärä]]</f>
        <v>10</v>
      </c>
      <c r="H7" s="32">
        <v>339</v>
      </c>
      <c r="I7" s="8">
        <f>IFERROR(VLOOKUP($A7,'2.1 Toteut. op.vuodet'!$A:$T,COLUMN('2.1 Toteut. op.vuodet'!S:S),FALSE),0)</f>
        <v>1.1460354682609952</v>
      </c>
      <c r="J7" s="74">
        <f t="shared" si="0"/>
        <v>388.5</v>
      </c>
      <c r="K7" s="9">
        <f>IFERROR(Ohj.lask.[[#This Row],[Painotetut opiskelija-vuodet]]/Ohj.lask.[[#Totals],[Painotetut opiskelija-vuodet]],0)</f>
        <v>1.7924884353352297E-3</v>
      </c>
      <c r="L7" s="10">
        <f>ROUND(IFERROR('1.1 Jakotaulu'!L$12*Ohj.lask.[[#This Row],[%-osuus 1]],0),0)</f>
        <v>2651262</v>
      </c>
      <c r="M7" s="132">
        <f>IFERROR(ROUND(VLOOKUP($A7,'2.2 Tutk. ja osien pain. pist.'!$A:$Q,COLUMN('2.2 Tutk. ja osien pain. pist.'!O:O),FALSE),1),0)</f>
        <v>38038.5</v>
      </c>
      <c r="N7" s="9">
        <f>IFERROR(Ohj.lask.[[#This Row],[Painotetut pisteet 2]]/Ohj.lask.[[#Totals],[Painotetut pisteet 2]],0)</f>
        <v>2.4831276766890415E-3</v>
      </c>
      <c r="O7" s="16">
        <f>ROUND(IFERROR('1.1 Jakotaulu'!K$13*Ohj.lask.[[#This Row],[%-osuus 2]],0),0)</f>
        <v>1067015</v>
      </c>
      <c r="P7" s="133">
        <f>IFERROR(ROUND(VLOOKUP($A7,'2.3 Työll. ja jatko-opisk.'!$A:$Z,COLUMN('2.3 Työll. ja jatko-opisk.'!L:L),FALSE),1),0)</f>
        <v>708.1</v>
      </c>
      <c r="Q7" s="9">
        <f>IFERROR(Ohj.lask.[[#This Row],[Painotetut pisteet 3]]/Ohj.lask.[[#Totals],[Painotetut pisteet 3]],0)</f>
        <v>2.2656589960836503E-3</v>
      </c>
      <c r="R7" s="10">
        <f>ROUND(IFERROR('1.1 Jakotaulu'!L$15*Ohj.lask.[[#This Row],[%-osuus 3]],0),0)</f>
        <v>340749</v>
      </c>
      <c r="S7" s="132">
        <f>IFERROR(ROUND(VLOOKUP($A7,'2.4 Aloittaneet palaute'!$A:$I,COLUMN('2.4 Aloittaneet palaute'!H:H),FALSE),1),0)</f>
        <v>4818.2</v>
      </c>
      <c r="T7" s="13">
        <f>IFERROR(Ohj.lask.[[#This Row],[Painotetut pisteet 4]]/Ohj.lask.[[#Totals],[Painotetut pisteet 4]],0)</f>
        <v>2.8905238248045722E-3</v>
      </c>
      <c r="U7" s="16">
        <f>ROUND(IFERROR('1.1 Jakotaulu'!M$17*Ohj.lask.[[#This Row],[%-osuus 4]],0),0)</f>
        <v>23289</v>
      </c>
      <c r="V7" s="132">
        <f>IFERROR(ROUND(VLOOKUP($A7,'2.5 Päättäneet palaute'!$A:$Z,COLUMN('2.5 Päättäneet palaute'!X:X),FALSE),1),0)</f>
        <v>31898.2</v>
      </c>
      <c r="W7" s="13">
        <f>IFERROR(Ohj.lask.[[#This Row],[Painotetut pisteet 5]]/Ohj.lask.[[#Totals],[Painotetut pisteet 5]],0)</f>
        <v>3.1188866311373164E-3</v>
      </c>
      <c r="X7" s="16">
        <f>ROUND(IFERROR('1.1 Jakotaulu'!M$18*Ohj.lask.[[#This Row],[%-osuus 5]],0),0)</f>
        <v>75386</v>
      </c>
      <c r="Y7" s="132">
        <f>IFERROR(ROUND(VLOOKUP($A7,'2.6 Työpaikkaohjaajakysely'!B:J,COLUMN('2.6 Työpaikkaohjaajakysely'!H:H),FALSE),1),0)</f>
        <v>746811.1</v>
      </c>
      <c r="Z7" s="9">
        <f>IFERROR(Ohj.lask.[[#This Row],[Painotetut pisteet 6]]/Ohj.lask.[[#Totals],[Painotetut pisteet 6]],0)</f>
        <v>2.2003410520366248E-3</v>
      </c>
      <c r="AA7" s="16">
        <f>ROUND(IFERROR('1.1 Jakotaulu'!M$20*Ohj.lask.[[#This Row],[%-osuus 6]],0),0)</f>
        <v>53184</v>
      </c>
      <c r="AB7" s="132">
        <f>IFERROR(ROUND(VLOOKUP($A7,'2.7 Työpaikkakysely'!B:H,COLUMN('2.7 Työpaikkakysely'!F:F),FALSE),1),0)</f>
        <v>491703.3</v>
      </c>
      <c r="AC7" s="9">
        <f>IFERROR(Ohj.lask.[[#This Row],[Pisteet 7]]/Ohj.lask.[[#Totals],[Pisteet 7]],0)</f>
        <v>2.664667695548456E-3</v>
      </c>
      <c r="AD7" s="16">
        <f>ROUND(IFERROR('1.1 Jakotaulu'!M$21*Ohj.lask.[[#This Row],[%-osuus 7]],0),0)</f>
        <v>21469</v>
      </c>
      <c r="AE7" s="12">
        <f>IFERROR(Ohj.lask.[[#This Row],[Jaettava € 8]]/Ohj.lask.[[#Totals],[Jaettava € 8]],"")</f>
        <v>1.9929574276324885E-3</v>
      </c>
      <c r="AF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4232354</v>
      </c>
      <c r="AG7" s="102">
        <v>0</v>
      </c>
      <c r="AH7" s="102">
        <v>0</v>
      </c>
      <c r="AI7" s="102">
        <v>0</v>
      </c>
      <c r="AJ7" s="102">
        <v>0</v>
      </c>
      <c r="AK7" s="102">
        <v>6000</v>
      </c>
      <c r="AL7" s="107">
        <v>0</v>
      </c>
      <c r="AM7" s="107">
        <v>822</v>
      </c>
      <c r="AN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6822</v>
      </c>
      <c r="AO7" s="10">
        <f>Ohj.lask.[[#This Row],[Jaettava € 1]]+Ohj.lask.[[#This Row],[Harkinnanvarainen korotus 8, €]]</f>
        <v>2658084</v>
      </c>
      <c r="AP7" s="102">
        <f>Ohj.lask.[[#This Row],[Jaettava € 2]]</f>
        <v>1067015</v>
      </c>
      <c r="AQ7" s="10">
        <f>Ohj.lask.[[#This Row],[Jaettava € 3]]+Ohj.lask.[[#This Row],[Jaettava € 4]]+Ohj.lask.[[#This Row],[Jaettava € 5]]+Ohj.lask.[[#This Row],[Jaettava € 6]]+Ohj.lask.[[#This Row],[Jaettava € 7]]</f>
        <v>514077</v>
      </c>
      <c r="AR7" s="33">
        <f>Ohj.lask.[[#This Row],[Jaettava € 8]]+Ohj.lask.[[#This Row],[Harkinnanvarainen korotus 8, €]]</f>
        <v>4239176</v>
      </c>
      <c r="AS7" s="33">
        <v>165105</v>
      </c>
      <c r="AT7" s="16">
        <f>Ohj.lask.[[#This Row],[Perus-, suoritus- ja vaikuttavuusrahoitus yhteensä, €]]+Ohj.lask.[[#This Row],[Alv-korvaus, €]]</f>
        <v>4404281</v>
      </c>
    </row>
    <row r="8" spans="1:46" ht="12.75" x14ac:dyDescent="0.2">
      <c r="A8" s="3" t="s">
        <v>319</v>
      </c>
      <c r="B8" s="7" t="s">
        <v>16</v>
      </c>
      <c r="C8" s="7" t="s">
        <v>182</v>
      </c>
      <c r="D8" s="7" t="s">
        <v>325</v>
      </c>
      <c r="E8" s="7" t="s">
        <v>373</v>
      </c>
      <c r="F8" s="105">
        <v>79</v>
      </c>
      <c r="G8" s="106">
        <f>Ohj.lask.[[#This Row],[Tavoitteelliset opiskelija-vuodet]]-Ohj.lask.[[#This Row],[Järjestämisluvan opisk.vuosien vähimmäismäärä]]</f>
        <v>23</v>
      </c>
      <c r="H8" s="32">
        <v>102</v>
      </c>
      <c r="I8" s="8">
        <f>IFERROR(VLOOKUP($A8,'2.1 Toteut. op.vuodet'!$A:$T,COLUMN('2.1 Toteut. op.vuodet'!S:S),FALSE),0)</f>
        <v>6.2133090880650732</v>
      </c>
      <c r="J8" s="74">
        <f t="shared" si="0"/>
        <v>633.79999999999995</v>
      </c>
      <c r="K8" s="9">
        <f>IFERROR(Ohj.lask.[[#This Row],[Painotetut opiskelija-vuodet]]/Ohj.lask.[[#Totals],[Painotetut opiskelija-vuodet]],0)</f>
        <v>2.9242707086627249E-3</v>
      </c>
      <c r="L8" s="10">
        <f>ROUND(IFERROR('1.1 Jakotaulu'!L$12*Ohj.lask.[[#This Row],[%-osuus 1]],0),0)</f>
        <v>4325277</v>
      </c>
      <c r="M8" s="132">
        <f>IFERROR(ROUND(VLOOKUP($A8,'2.2 Tutk. ja osien pain. pist.'!$A:$Q,COLUMN('2.2 Tutk. ja osien pain. pist.'!O:O),FALSE),1),0)</f>
        <v>11999.3</v>
      </c>
      <c r="N8" s="9">
        <f>IFERROR(Ohj.lask.[[#This Row],[Painotetut pisteet 2]]/Ohj.lask.[[#Totals],[Painotetut pisteet 2]],0)</f>
        <v>7.833062273984204E-4</v>
      </c>
      <c r="O8" s="16">
        <f>ROUND(IFERROR('1.1 Jakotaulu'!K$13*Ohj.lask.[[#This Row],[%-osuus 2]],0),0)</f>
        <v>336591</v>
      </c>
      <c r="P8" s="133">
        <f>IFERROR(ROUND(VLOOKUP($A8,'2.3 Työll. ja jatko-opisk.'!$A:$Z,COLUMN('2.3 Työll. ja jatko-opisk.'!L:L),FALSE),1),0)</f>
        <v>22.1</v>
      </c>
      <c r="Q8" s="9">
        <f>IFERROR(Ohj.lask.[[#This Row],[Painotetut pisteet 3]]/Ohj.lask.[[#Totals],[Painotetut pisteet 3]],0)</f>
        <v>7.0711853994419825E-5</v>
      </c>
      <c r="R8" s="10">
        <f>ROUND(IFERROR('1.1 Jakotaulu'!L$15*Ohj.lask.[[#This Row],[%-osuus 3]],0),0)</f>
        <v>10635</v>
      </c>
      <c r="S8" s="132">
        <f>IFERROR(ROUND(VLOOKUP($A8,'2.4 Aloittaneet palaute'!$A:$I,COLUMN('2.4 Aloittaneet palaute'!H:H),FALSE),1),0)</f>
        <v>307</v>
      </c>
      <c r="T8" s="13">
        <f>IFERROR(Ohj.lask.[[#This Row],[Painotetut pisteet 4]]/Ohj.lask.[[#Totals],[Painotetut pisteet 4]],0)</f>
        <v>1.8417475700780451E-4</v>
      </c>
      <c r="U8" s="16">
        <f>ROUND(IFERROR('1.1 Jakotaulu'!M$17*Ohj.lask.[[#This Row],[%-osuus 4]],0),0)</f>
        <v>1484</v>
      </c>
      <c r="V8" s="132">
        <f>IFERROR(ROUND(VLOOKUP($A8,'2.5 Päättäneet palaute'!$A:$Z,COLUMN('2.5 Päättäneet palaute'!X:X),FALSE),1),0)</f>
        <v>2341.3000000000002</v>
      </c>
      <c r="W8" s="13">
        <f>IFERROR(Ohj.lask.[[#This Row],[Painotetut pisteet 5]]/Ohj.lask.[[#Totals],[Painotetut pisteet 5]],0)</f>
        <v>2.2892355272340756E-4</v>
      </c>
      <c r="X8" s="16">
        <f>ROUND(IFERROR('1.1 Jakotaulu'!M$18*Ohj.lask.[[#This Row],[%-osuus 5]],0),0)</f>
        <v>5533</v>
      </c>
      <c r="Y8" s="132">
        <f>IFERROR(ROUND(VLOOKUP($A8,'2.6 Työpaikkaohjaajakysely'!B:J,COLUMN('2.6 Työpaikkaohjaajakysely'!H:H),FALSE),1),0)</f>
        <v>48233.599999999999</v>
      </c>
      <c r="Z8" s="9">
        <f>IFERROR(Ohj.lask.[[#This Row],[Painotetut pisteet 6]]/Ohj.lask.[[#Totals],[Painotetut pisteet 6]],0)</f>
        <v>1.4211139894347279E-4</v>
      </c>
      <c r="AA8" s="16">
        <f>ROUND(IFERROR('1.1 Jakotaulu'!M$20*Ohj.lask.[[#This Row],[%-osuus 6]],0),0)</f>
        <v>3435</v>
      </c>
      <c r="AB8" s="132">
        <f>IFERROR(ROUND(VLOOKUP($A8,'2.7 Työpaikkakysely'!B:H,COLUMN('2.7 Työpaikkakysely'!F:F),FALSE),1),0)</f>
        <v>36927</v>
      </c>
      <c r="AC8" s="9">
        <f>IFERROR(Ohj.lask.[[#This Row],[Pisteet 7]]/Ohj.lask.[[#Totals],[Pisteet 7]],0)</f>
        <v>2.0011698923622811E-4</v>
      </c>
      <c r="AD8" s="16">
        <f>ROUND(IFERROR('1.1 Jakotaulu'!M$21*Ohj.lask.[[#This Row],[%-osuus 7]],0),0)</f>
        <v>1612</v>
      </c>
      <c r="AE8" s="12">
        <f>IFERROR(Ohj.lask.[[#This Row],[Jaettava € 8]]/Ohj.lask.[[#Totals],[Jaettava € 8]],"")</f>
        <v>2.2058983246420415E-3</v>
      </c>
      <c r="AF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4684567</v>
      </c>
      <c r="AG8" s="102">
        <v>0</v>
      </c>
      <c r="AH8" s="102">
        <v>0</v>
      </c>
      <c r="AI8" s="102">
        <v>0</v>
      </c>
      <c r="AJ8" s="102">
        <v>0</v>
      </c>
      <c r="AK8" s="102">
        <v>0</v>
      </c>
      <c r="AL8" s="107">
        <v>0</v>
      </c>
      <c r="AM8" s="107">
        <v>0</v>
      </c>
      <c r="AN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8" s="10">
        <f>Ohj.lask.[[#This Row],[Jaettava € 1]]+Ohj.lask.[[#This Row],[Harkinnanvarainen korotus 8, €]]</f>
        <v>4325277</v>
      </c>
      <c r="AP8" s="102">
        <f>Ohj.lask.[[#This Row],[Jaettava € 2]]</f>
        <v>336591</v>
      </c>
      <c r="AQ8" s="10">
        <f>Ohj.lask.[[#This Row],[Jaettava € 3]]+Ohj.lask.[[#This Row],[Jaettava € 4]]+Ohj.lask.[[#This Row],[Jaettava € 5]]+Ohj.lask.[[#This Row],[Jaettava € 6]]+Ohj.lask.[[#This Row],[Jaettava € 7]]</f>
        <v>22699</v>
      </c>
      <c r="AR8" s="33">
        <f>Ohj.lask.[[#This Row],[Jaettava € 8]]+Ohj.lask.[[#This Row],[Harkinnanvarainen korotus 8, €]]</f>
        <v>4684567</v>
      </c>
      <c r="AS8" s="33">
        <v>144545</v>
      </c>
      <c r="AT8" s="16">
        <f>Ohj.lask.[[#This Row],[Perus-, suoritus- ja vaikuttavuusrahoitus yhteensä, €]]+Ohj.lask.[[#This Row],[Alv-korvaus, €]]</f>
        <v>4829112</v>
      </c>
    </row>
    <row r="9" spans="1:46" ht="12.75" x14ac:dyDescent="0.2">
      <c r="A9" s="3" t="s">
        <v>488</v>
      </c>
      <c r="B9" s="7" t="s">
        <v>489</v>
      </c>
      <c r="C9" s="7" t="s">
        <v>173</v>
      </c>
      <c r="D9" s="7" t="s">
        <v>325</v>
      </c>
      <c r="E9" s="7" t="s">
        <v>373</v>
      </c>
      <c r="F9" s="105">
        <v>1462</v>
      </c>
      <c r="G9" s="106">
        <f>Ohj.lask.[[#This Row],[Tavoitteelliset opiskelija-vuodet]]-Ohj.lask.[[#This Row],[Järjestämisluvan opisk.vuosien vähimmäismäärä]]</f>
        <v>308</v>
      </c>
      <c r="H9" s="32">
        <v>1770</v>
      </c>
      <c r="I9" s="8">
        <f>IFERROR(VLOOKUP($A9,'2.1 Toteut. op.vuodet'!$A:$T,COLUMN('2.1 Toteut. op.vuodet'!S:S),FALSE),0)</f>
        <v>5.2561723772528604</v>
      </c>
      <c r="J9" s="74">
        <f t="shared" si="0"/>
        <v>9303.4</v>
      </c>
      <c r="K9" s="9">
        <f>IFERROR(Ohj.lask.[[#This Row],[Painotetut opiskelija-vuodet]]/Ohj.lask.[[#Totals],[Painotetut opiskelija-vuodet]],0)</f>
        <v>4.2924676729209202E-2</v>
      </c>
      <c r="L9" s="10">
        <f>ROUND(IFERROR('1.1 Jakotaulu'!L$12*Ohj.lask.[[#This Row],[%-osuus 1]],0),0)</f>
        <v>63489718</v>
      </c>
      <c r="M9" s="132">
        <f>IFERROR(ROUND(VLOOKUP($A9,'2.2 Tutk. ja osien pain. pist.'!$A:$Q,COLUMN('2.2 Tutk. ja osien pain. pist.'!O:O),FALSE),1),0)</f>
        <v>362701.6</v>
      </c>
      <c r="N9" s="9">
        <f>IFERROR(Ohj.lask.[[#This Row],[Painotetut pisteet 2]]/Ohj.lask.[[#Totals],[Painotetut pisteet 2]],0)</f>
        <v>2.3676916317399422E-2</v>
      </c>
      <c r="O9" s="16">
        <f>ROUND(IFERROR('1.1 Jakotaulu'!K$13*Ohj.lask.[[#This Row],[%-osuus 2]],0),0)</f>
        <v>10174113</v>
      </c>
      <c r="P9" s="133">
        <f>IFERROR(ROUND(VLOOKUP($A9,'2.3 Työll. ja jatko-opisk.'!$A:$Z,COLUMN('2.3 Työll. ja jatko-opisk.'!L:L),FALSE),1),0)</f>
        <v>1620.1</v>
      </c>
      <c r="Q9" s="9">
        <f>IFERROR(Ohj.lask.[[#This Row],[Painotetut pisteet 3]]/Ohj.lask.[[#Totals],[Painotetut pisteet 3]],0)</f>
        <v>5.183722835129391E-3</v>
      </c>
      <c r="R9" s="10">
        <f>ROUND(IFERROR('1.1 Jakotaulu'!L$15*Ohj.lask.[[#This Row],[%-osuus 3]],0),0)</f>
        <v>779617</v>
      </c>
      <c r="S9" s="132">
        <f>IFERROR(ROUND(VLOOKUP($A9,'2.4 Aloittaneet palaute'!$A:$I,COLUMN('2.4 Aloittaneet palaute'!H:H),FALSE),1),0)</f>
        <v>9019.7999999999993</v>
      </c>
      <c r="T9" s="13">
        <f>IFERROR(Ohj.lask.[[#This Row],[Painotetut pisteet 4]]/Ohj.lask.[[#Totals],[Painotetut pisteet 4]],0)</f>
        <v>5.4111383493778333E-3</v>
      </c>
      <c r="U9" s="16">
        <f>ROUND(IFERROR('1.1 Jakotaulu'!M$17*Ohj.lask.[[#This Row],[%-osuus 4]],0),0)</f>
        <v>43597</v>
      </c>
      <c r="V9" s="132">
        <f>IFERROR(ROUND(VLOOKUP($A9,'2.5 Päättäneet palaute'!$A:$Z,COLUMN('2.5 Päättäneet palaute'!X:X),FALSE),1),0)</f>
        <v>80434</v>
      </c>
      <c r="W9" s="13">
        <f>IFERROR(Ohj.lask.[[#This Row],[Painotetut pisteet 5]]/Ohj.lask.[[#Totals],[Painotetut pisteet 5]],0)</f>
        <v>7.8645355314374762E-3</v>
      </c>
      <c r="X9" s="16">
        <f>ROUND(IFERROR('1.1 Jakotaulu'!M$18*Ohj.lask.[[#This Row],[%-osuus 5]],0),0)</f>
        <v>190093</v>
      </c>
      <c r="Y9" s="132">
        <f>IFERROR(ROUND(VLOOKUP($A9,'2.6 Työpaikkaohjaajakysely'!B:J,COLUMN('2.6 Työpaikkaohjaajakysely'!H:H),FALSE),1),0)</f>
        <v>1887571.4</v>
      </c>
      <c r="Z9" s="9">
        <f>IFERROR(Ohj.lask.[[#This Row],[Painotetut pisteet 6]]/Ohj.lask.[[#Totals],[Painotetut pisteet 6]],0)</f>
        <v>5.5613807026572643E-3</v>
      </c>
      <c r="AA9" s="16">
        <f>ROUND(IFERROR('1.1 Jakotaulu'!M$20*Ohj.lask.[[#This Row],[%-osuus 6]],0),0)</f>
        <v>134424</v>
      </c>
      <c r="AB9" s="132">
        <f>IFERROR(ROUND(VLOOKUP($A9,'2.7 Työpaikkakysely'!B:H,COLUMN('2.7 Työpaikkakysely'!F:F),FALSE),1),0)</f>
        <v>1161337</v>
      </c>
      <c r="AC9" s="9">
        <f>IFERROR(Ohj.lask.[[#This Row],[Pisteet 7]]/Ohj.lask.[[#Totals],[Pisteet 7]],0)</f>
        <v>6.2935863711818842E-3</v>
      </c>
      <c r="AD9" s="16">
        <f>ROUND(IFERROR('1.1 Jakotaulu'!M$21*Ohj.lask.[[#This Row],[%-osuus 7]],0),0)</f>
        <v>50707</v>
      </c>
      <c r="AE9" s="12">
        <f>IFERROR(Ohj.lask.[[#This Row],[Jaettava € 8]]/Ohj.lask.[[#Totals],[Jaettava € 8]],"")</f>
        <v>3.5251615307455707E-2</v>
      </c>
      <c r="AF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74862269</v>
      </c>
      <c r="AG9" s="102">
        <v>0</v>
      </c>
      <c r="AH9" s="102">
        <v>0</v>
      </c>
      <c r="AI9" s="102">
        <v>0</v>
      </c>
      <c r="AJ9" s="102">
        <v>0</v>
      </c>
      <c r="AK9" s="102">
        <v>12000</v>
      </c>
      <c r="AL9" s="107">
        <v>0</v>
      </c>
      <c r="AM9" s="107">
        <v>15433</v>
      </c>
      <c r="AN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27433</v>
      </c>
      <c r="AO9" s="10">
        <f>Ohj.lask.[[#This Row],[Jaettava € 1]]+Ohj.lask.[[#This Row],[Harkinnanvarainen korotus 8, €]]</f>
        <v>63517151</v>
      </c>
      <c r="AP9" s="102">
        <f>Ohj.lask.[[#This Row],[Jaettava € 2]]</f>
        <v>10174113</v>
      </c>
      <c r="AQ9" s="10">
        <f>Ohj.lask.[[#This Row],[Jaettava € 3]]+Ohj.lask.[[#This Row],[Jaettava € 4]]+Ohj.lask.[[#This Row],[Jaettava € 5]]+Ohj.lask.[[#This Row],[Jaettava € 6]]+Ohj.lask.[[#This Row],[Jaettava € 7]]</f>
        <v>1198438</v>
      </c>
      <c r="AR9" s="33">
        <f>Ohj.lask.[[#This Row],[Jaettava € 8]]+Ohj.lask.[[#This Row],[Harkinnanvarainen korotus 8, €]]</f>
        <v>74889702</v>
      </c>
      <c r="AS9" s="33">
        <v>3018199</v>
      </c>
      <c r="AT9" s="16">
        <f>Ohj.lask.[[#This Row],[Perus-, suoritus- ja vaikuttavuusrahoitus yhteensä, €]]+Ohj.lask.[[#This Row],[Alv-korvaus, €]]</f>
        <v>77907901</v>
      </c>
    </row>
    <row r="10" spans="1:46" ht="12.75" x14ac:dyDescent="0.2">
      <c r="A10" s="3" t="s">
        <v>318</v>
      </c>
      <c r="B10" s="7" t="s">
        <v>17</v>
      </c>
      <c r="C10" s="7" t="s">
        <v>173</v>
      </c>
      <c r="D10" s="7" t="s">
        <v>325</v>
      </c>
      <c r="E10" s="7" t="s">
        <v>373</v>
      </c>
      <c r="F10" s="105">
        <v>986</v>
      </c>
      <c r="G10" s="106">
        <f>Ohj.lask.[[#This Row],[Tavoitteelliset opiskelija-vuodet]]-Ohj.lask.[[#This Row],[Järjestämisluvan opisk.vuosien vähimmäismäärä]]</f>
        <v>191</v>
      </c>
      <c r="H10" s="32">
        <v>1177</v>
      </c>
      <c r="I10" s="8">
        <f>IFERROR(VLOOKUP($A10,'2.1 Toteut. op.vuodet'!$A:$T,COLUMN('2.1 Toteut. op.vuodet'!S:S),FALSE),0)</f>
        <v>5.4480939642878905</v>
      </c>
      <c r="J10" s="74">
        <f t="shared" si="0"/>
        <v>6412.4</v>
      </c>
      <c r="K10" s="9">
        <f>IFERROR(Ohj.lask.[[#This Row],[Painotetut opiskelija-vuodet]]/Ohj.lask.[[#Totals],[Painotetut opiskelija-vuodet]],0)</f>
        <v>2.9585979003201097E-2</v>
      </c>
      <c r="L10" s="10">
        <f>ROUND(IFERROR('1.1 Jakotaulu'!L$12*Ohj.lask.[[#This Row],[%-osuus 1]],0),0)</f>
        <v>43760503</v>
      </c>
      <c r="M10" s="132">
        <f>IFERROR(ROUND(VLOOKUP($A10,'2.2 Tutk. ja osien pain. pist.'!$A:$Q,COLUMN('2.2 Tutk. ja osien pain. pist.'!O:O),FALSE),1),0)</f>
        <v>270223.7</v>
      </c>
      <c r="N10" s="9">
        <f>IFERROR(Ohj.lask.[[#This Row],[Painotetut pisteet 2]]/Ohj.lask.[[#Totals],[Painotetut pisteet 2]],0)</f>
        <v>1.7640021251293204E-2</v>
      </c>
      <c r="O10" s="16">
        <f>ROUND(IFERROR('1.1 Jakotaulu'!K$13*Ohj.lask.[[#This Row],[%-osuus 2]],0),0)</f>
        <v>7580023</v>
      </c>
      <c r="P10" s="133">
        <f>IFERROR(ROUND(VLOOKUP($A10,'2.3 Työll. ja jatko-opisk.'!$A:$Z,COLUMN('2.3 Työll. ja jatko-opisk.'!L:L),FALSE),1),0)</f>
        <v>876.8</v>
      </c>
      <c r="Q10" s="9">
        <f>IFERROR(Ohj.lask.[[#This Row],[Painotetut pisteet 3]]/Ohj.lask.[[#Totals],[Painotetut pisteet 3]],0)</f>
        <v>2.8054368136790631E-3</v>
      </c>
      <c r="R10" s="10">
        <f>ROUND(IFERROR('1.1 Jakotaulu'!L$15*Ohj.lask.[[#This Row],[%-osuus 3]],0),0)</f>
        <v>421930</v>
      </c>
      <c r="S10" s="132">
        <f>IFERROR(ROUND(VLOOKUP($A10,'2.4 Aloittaneet palaute'!$A:$I,COLUMN('2.4 Aloittaneet palaute'!H:H),FALSE),1),0)</f>
        <v>5597.5</v>
      </c>
      <c r="T10" s="13">
        <f>IFERROR(Ohj.lask.[[#This Row],[Painotetut pisteet 4]]/Ohj.lask.[[#Totals],[Painotetut pisteet 4]],0)</f>
        <v>3.3580397470722662E-3</v>
      </c>
      <c r="U10" s="16">
        <f>ROUND(IFERROR('1.1 Jakotaulu'!M$17*Ohj.lask.[[#This Row],[%-osuus 4]],0),0)</f>
        <v>27056</v>
      </c>
      <c r="V10" s="132">
        <f>IFERROR(ROUND(VLOOKUP($A10,'2.5 Päättäneet palaute'!$A:$Z,COLUMN('2.5 Päättäneet palaute'!X:X),FALSE),1),0)</f>
        <v>36071.5</v>
      </c>
      <c r="W10" s="13">
        <f>IFERROR(Ohj.lask.[[#This Row],[Painotetut pisteet 5]]/Ohj.lask.[[#Totals],[Painotetut pisteet 5]],0)</f>
        <v>3.5269362884134438E-3</v>
      </c>
      <c r="X10" s="16">
        <f>ROUND(IFERROR('1.1 Jakotaulu'!M$18*Ohj.lask.[[#This Row],[%-osuus 5]],0),0)</f>
        <v>85249</v>
      </c>
      <c r="Y10" s="132">
        <f>IFERROR(ROUND(VLOOKUP($A10,'2.6 Työpaikkaohjaajakysely'!B:J,COLUMN('2.6 Työpaikkaohjaajakysely'!H:H),FALSE),1),0)</f>
        <v>876180.8</v>
      </c>
      <c r="Z10" s="9">
        <f>IFERROR(Ohj.lask.[[#This Row],[Painotetut pisteet 6]]/Ohj.lask.[[#Totals],[Painotetut pisteet 6]],0)</f>
        <v>2.5815049926899746E-3</v>
      </c>
      <c r="AA10" s="16">
        <f>ROUND(IFERROR('1.1 Jakotaulu'!M$20*Ohj.lask.[[#This Row],[%-osuus 6]],0),0)</f>
        <v>62397</v>
      </c>
      <c r="AB10" s="132">
        <f>IFERROR(ROUND(VLOOKUP($A10,'2.7 Työpaikkakysely'!B:H,COLUMN('2.7 Työpaikkakysely'!F:F),FALSE),1),0)</f>
        <v>378345</v>
      </c>
      <c r="AC10" s="9">
        <f>IFERROR(Ohj.lask.[[#This Row],[Pisteet 7]]/Ohj.lask.[[#Totals],[Pisteet 7]],0)</f>
        <v>2.050349670771542E-3</v>
      </c>
      <c r="AD10" s="16">
        <f>ROUND(IFERROR('1.1 Jakotaulu'!M$21*Ohj.lask.[[#This Row],[%-osuus 7]],0),0)</f>
        <v>16520</v>
      </c>
      <c r="AE10" s="12">
        <f>IFERROR(Ohj.lask.[[#This Row],[Jaettava € 8]]/Ohj.lask.[[#Totals],[Jaettava € 8]],"")</f>
        <v>2.4464274128044725E-2</v>
      </c>
      <c r="AF1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51953678</v>
      </c>
      <c r="AG10" s="102">
        <v>0</v>
      </c>
      <c r="AH10" s="102">
        <v>0</v>
      </c>
      <c r="AI10" s="102">
        <v>0</v>
      </c>
      <c r="AJ10" s="102">
        <v>0</v>
      </c>
      <c r="AK10" s="102">
        <v>5000</v>
      </c>
      <c r="AL10" s="107">
        <v>0</v>
      </c>
      <c r="AM10" s="107">
        <v>0</v>
      </c>
      <c r="AN1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5000</v>
      </c>
      <c r="AO10" s="10">
        <f>Ohj.lask.[[#This Row],[Jaettava € 1]]+Ohj.lask.[[#This Row],[Harkinnanvarainen korotus 8, €]]</f>
        <v>43765503</v>
      </c>
      <c r="AP10" s="102">
        <f>Ohj.lask.[[#This Row],[Jaettava € 2]]</f>
        <v>7580023</v>
      </c>
      <c r="AQ10" s="10">
        <f>Ohj.lask.[[#This Row],[Jaettava € 3]]+Ohj.lask.[[#This Row],[Jaettava € 4]]+Ohj.lask.[[#This Row],[Jaettava € 5]]+Ohj.lask.[[#This Row],[Jaettava € 6]]+Ohj.lask.[[#This Row],[Jaettava € 7]]</f>
        <v>613152</v>
      </c>
      <c r="AR10" s="33">
        <f>Ohj.lask.[[#This Row],[Jaettava € 8]]+Ohj.lask.[[#This Row],[Harkinnanvarainen korotus 8, €]]</f>
        <v>51958678</v>
      </c>
      <c r="AS10" s="33">
        <v>2827118</v>
      </c>
      <c r="AT10" s="16">
        <f>Ohj.lask.[[#This Row],[Perus-, suoritus- ja vaikuttavuusrahoitus yhteensä, €]]+Ohj.lask.[[#This Row],[Alv-korvaus, €]]</f>
        <v>54785796</v>
      </c>
    </row>
    <row r="11" spans="1:46" ht="12.75" x14ac:dyDescent="0.2">
      <c r="A11" s="3" t="s">
        <v>316</v>
      </c>
      <c r="B11" s="7" t="s">
        <v>147</v>
      </c>
      <c r="C11" s="96" t="s">
        <v>173</v>
      </c>
      <c r="D11" s="96" t="s">
        <v>325</v>
      </c>
      <c r="E11" s="96" t="s">
        <v>373</v>
      </c>
      <c r="F11" s="104">
        <v>68</v>
      </c>
      <c r="G11" s="106">
        <f>Ohj.lask.[[#This Row],[Tavoitteelliset opiskelija-vuodet]]-Ohj.lask.[[#This Row],[Järjestämisluvan opisk.vuosien vähimmäismäärä]]</f>
        <v>7</v>
      </c>
      <c r="H11" s="32">
        <v>75</v>
      </c>
      <c r="I11" s="8">
        <f>IFERROR(VLOOKUP($A11,'2.1 Toteut. op.vuodet'!$A:$T,COLUMN('2.1 Toteut. op.vuodet'!S:S),FALSE),0)</f>
        <v>0.72549506833038502</v>
      </c>
      <c r="J11" s="74">
        <f t="shared" si="0"/>
        <v>54.4</v>
      </c>
      <c r="K11" s="9">
        <f>IFERROR(Ohj.lask.[[#This Row],[Painotetut opiskelija-vuodet]]/Ohj.lask.[[#Totals],[Painotetut opiskelija-vuodet]],0)</f>
        <v>2.5099451964539642E-4</v>
      </c>
      <c r="L11" s="10">
        <f>ROUND(IFERROR('1.1 Jakotaulu'!L$12*Ohj.lask.[[#This Row],[%-osuus 1]],0),0)</f>
        <v>371245</v>
      </c>
      <c r="M11" s="132">
        <f>IFERROR(ROUND(VLOOKUP($A11,'2.2 Tutk. ja osien pain. pist.'!$A:$Q,COLUMN('2.2 Tutk. ja osien pain. pist.'!O:O),FALSE),1),0)</f>
        <v>6683.3</v>
      </c>
      <c r="N11" s="9">
        <f>IFERROR(Ohj.lask.[[#This Row],[Painotetut pisteet 2]]/Ohj.lask.[[#Totals],[Painotetut pisteet 2]],0)</f>
        <v>4.3628132554164519E-4</v>
      </c>
      <c r="O11" s="16">
        <f>ROUND(IFERROR('1.1 Jakotaulu'!K$13*Ohj.lask.[[#This Row],[%-osuus 2]],0),0)</f>
        <v>187473</v>
      </c>
      <c r="P11" s="133">
        <f>IFERROR(ROUND(VLOOKUP($A11,'2.3 Työll. ja jatko-opisk.'!$A:$Z,COLUMN('2.3 Työll. ja jatko-opisk.'!L:L),FALSE),1),0)</f>
        <v>119</v>
      </c>
      <c r="Q11" s="13">
        <f>IFERROR(Ohj.lask.[[#This Row],[Painotetut pisteet 3]]/Ohj.lask.[[#Totals],[Painotetut pisteet 3]],0)</f>
        <v>3.8075613689302979E-4</v>
      </c>
      <c r="R11" s="10">
        <f>ROUND(IFERROR('1.1 Jakotaulu'!L$15*Ohj.lask.[[#This Row],[%-osuus 3]],0),0)</f>
        <v>57265</v>
      </c>
      <c r="S11" s="132">
        <f>IFERROR(ROUND(VLOOKUP($A11,'2.4 Aloittaneet palaute'!$A:$I,COLUMN('2.4 Aloittaneet palaute'!H:H),FALSE),1),0)</f>
        <v>2008.4</v>
      </c>
      <c r="T11" s="13">
        <f>IFERROR(Ohj.lask.[[#This Row],[Painotetut pisteet 4]]/Ohj.lask.[[#Totals],[Painotetut pisteet 4]],0)</f>
        <v>1.2048748598517088E-3</v>
      </c>
      <c r="U11" s="16">
        <f>ROUND(IFERROR('1.1 Jakotaulu'!M$17*Ohj.lask.[[#This Row],[%-osuus 4]],0),0)</f>
        <v>9708</v>
      </c>
      <c r="V11" s="132">
        <f>IFERROR(ROUND(VLOOKUP($A11,'2.5 Päättäneet palaute'!$A:$Z,COLUMN('2.5 Päättäneet palaute'!X:X),FALSE),1),0)</f>
        <v>15007.1</v>
      </c>
      <c r="W11" s="13">
        <f>IFERROR(Ohj.lask.[[#This Row],[Painotetut pisteet 5]]/Ohj.lask.[[#Totals],[Painotetut pisteet 5]],0)</f>
        <v>1.4673380805857641E-3</v>
      </c>
      <c r="X11" s="16">
        <f>ROUND(IFERROR('1.1 Jakotaulu'!M$18*Ohj.lask.[[#This Row],[%-osuus 5]],0),0)</f>
        <v>35467</v>
      </c>
      <c r="Y11" s="132">
        <f>IFERROR(ROUND(VLOOKUP($A11,'2.6 Työpaikkaohjaajakysely'!B:J,COLUMN('2.6 Työpaikkaohjaajakysely'!H:H),FALSE),1),0)</f>
        <v>671275.9</v>
      </c>
      <c r="Z11" s="9">
        <f>IFERROR(Ohj.lask.[[#This Row],[Painotetut pisteet 6]]/Ohj.lask.[[#Totals],[Painotetut pisteet 6]],0)</f>
        <v>1.9777905283047243E-3</v>
      </c>
      <c r="AA11" s="16">
        <f>ROUND(IFERROR('1.1 Jakotaulu'!M$20*Ohj.lask.[[#This Row],[%-osuus 6]],0),0)</f>
        <v>47805</v>
      </c>
      <c r="AB11" s="132">
        <f>IFERROR(ROUND(VLOOKUP($A11,'2.7 Työpaikkakysely'!B:H,COLUMN('2.7 Työpaikkakysely'!F:F),FALSE),1),0)</f>
        <v>201491</v>
      </c>
      <c r="AC11" s="9">
        <f>IFERROR(Ohj.lask.[[#This Row],[Pisteet 7]]/Ohj.lask.[[#Totals],[Pisteet 7]],0)</f>
        <v>1.0919319814281375E-3</v>
      </c>
      <c r="AD11" s="16">
        <f>ROUND(IFERROR('1.1 Jakotaulu'!M$21*Ohj.lask.[[#This Row],[%-osuus 7]],0),0)</f>
        <v>8798</v>
      </c>
      <c r="AE11" s="12">
        <f>IFERROR(Ohj.lask.[[#This Row],[Jaettava € 8]]/Ohj.lask.[[#Totals],[Jaettava € 8]],"")</f>
        <v>3.3798380669833441E-4</v>
      </c>
      <c r="AF1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717761</v>
      </c>
      <c r="AG11" s="102">
        <v>0</v>
      </c>
      <c r="AH11" s="102">
        <v>0</v>
      </c>
      <c r="AI11" s="102">
        <v>0</v>
      </c>
      <c r="AJ11" s="102">
        <v>0</v>
      </c>
      <c r="AK11" s="102">
        <v>7000</v>
      </c>
      <c r="AL11" s="107">
        <v>0</v>
      </c>
      <c r="AM11" s="107">
        <v>0</v>
      </c>
      <c r="AN1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7000</v>
      </c>
      <c r="AO11" s="10">
        <f>Ohj.lask.[[#This Row],[Jaettava € 1]]+Ohj.lask.[[#This Row],[Harkinnanvarainen korotus 8, €]]</f>
        <v>378245</v>
      </c>
      <c r="AP11" s="102">
        <f>Ohj.lask.[[#This Row],[Jaettava € 2]]</f>
        <v>187473</v>
      </c>
      <c r="AQ11" s="10">
        <f>Ohj.lask.[[#This Row],[Jaettava € 3]]+Ohj.lask.[[#This Row],[Jaettava € 4]]+Ohj.lask.[[#This Row],[Jaettava € 5]]+Ohj.lask.[[#This Row],[Jaettava € 6]]+Ohj.lask.[[#This Row],[Jaettava € 7]]</f>
        <v>159043</v>
      </c>
      <c r="AR11" s="33">
        <f>Ohj.lask.[[#This Row],[Jaettava € 8]]+Ohj.lask.[[#This Row],[Harkinnanvarainen korotus 8, €]]</f>
        <v>724761</v>
      </c>
      <c r="AS11" s="33">
        <v>27082</v>
      </c>
      <c r="AT11" s="16">
        <f>Ohj.lask.[[#This Row],[Perus-, suoritus- ja vaikuttavuusrahoitus yhteensä, €]]+Ohj.lask.[[#This Row],[Alv-korvaus, €]]</f>
        <v>751843</v>
      </c>
    </row>
    <row r="12" spans="1:46" ht="12.75" x14ac:dyDescent="0.2">
      <c r="A12" s="3" t="s">
        <v>315</v>
      </c>
      <c r="B12" s="7" t="s">
        <v>19</v>
      </c>
      <c r="C12" s="7" t="s">
        <v>173</v>
      </c>
      <c r="D12" s="7" t="s">
        <v>325</v>
      </c>
      <c r="E12" s="7" t="s">
        <v>374</v>
      </c>
      <c r="F12" s="105">
        <v>1592</v>
      </c>
      <c r="G12" s="106">
        <f>Ohj.lask.[[#This Row],[Tavoitteelliset opiskelija-vuodet]]-Ohj.lask.[[#This Row],[Järjestämisluvan opisk.vuosien vähimmäismäärä]]</f>
        <v>217</v>
      </c>
      <c r="H12" s="32">
        <v>1809</v>
      </c>
      <c r="I12" s="8">
        <f>IFERROR(VLOOKUP($A12,'2.1 Toteut. op.vuodet'!$A:$T,COLUMN('2.1 Toteut. op.vuodet'!S:S),FALSE),0)</f>
        <v>1.088960463644298</v>
      </c>
      <c r="J12" s="74">
        <f t="shared" si="0"/>
        <v>1969.9</v>
      </c>
      <c r="K12" s="9">
        <f>IFERROR(Ohj.lask.[[#This Row],[Painotetut opiskelija-vuodet]]/Ohj.lask.[[#Totals],[Painotetut opiskelija-vuodet]],0)</f>
        <v>9.0888622104681321E-3</v>
      </c>
      <c r="L12" s="10">
        <f>ROUND(IFERROR('1.1 Jakotaulu'!L$12*Ohj.lask.[[#This Row],[%-osuus 1]],0),0)</f>
        <v>13443300</v>
      </c>
      <c r="M12" s="132">
        <f>IFERROR(ROUND(VLOOKUP($A12,'2.2 Tutk. ja osien pain. pist.'!$A:$Q,COLUMN('2.2 Tutk. ja osien pain. pist.'!O:O),FALSE),1),0)</f>
        <v>143328.1</v>
      </c>
      <c r="N12" s="9">
        <f>IFERROR(Ohj.lask.[[#This Row],[Painotetut pisteet 2]]/Ohj.lask.[[#Totals],[Painotetut pisteet 2]],0)</f>
        <v>9.3563618953758591E-3</v>
      </c>
      <c r="O12" s="16">
        <f>ROUND(IFERROR('1.1 Jakotaulu'!K$13*Ohj.lask.[[#This Row],[%-osuus 2]],0),0)</f>
        <v>4020485</v>
      </c>
      <c r="P12" s="133">
        <f>IFERROR(ROUND(VLOOKUP($A12,'2.3 Työll. ja jatko-opisk.'!$A:$Z,COLUMN('2.3 Työll. ja jatko-opisk.'!L:L),FALSE),1),0)</f>
        <v>3209.3</v>
      </c>
      <c r="Q12" s="9">
        <f>IFERROR(Ohj.lask.[[#This Row],[Painotetut pisteet 3]]/Ohj.lask.[[#Totals],[Painotetut pisteet 3]],0)</f>
        <v>1.0268577059922694E-2</v>
      </c>
      <c r="R12" s="10">
        <f>ROUND(IFERROR('1.1 Jakotaulu'!L$15*Ohj.lask.[[#This Row],[%-osuus 3]],0),0)</f>
        <v>1544364</v>
      </c>
      <c r="S12" s="132">
        <f>IFERROR(ROUND(VLOOKUP($A12,'2.4 Aloittaneet palaute'!$A:$I,COLUMN('2.4 Aloittaneet palaute'!H:H),FALSE),1),0)</f>
        <v>13458</v>
      </c>
      <c r="T12" s="13">
        <f>IFERROR(Ohj.lask.[[#This Row],[Painotetut pisteet 4]]/Ohj.lask.[[#Totals],[Painotetut pisteet 4]],0)</f>
        <v>8.0736934195799123E-3</v>
      </c>
      <c r="U12" s="16">
        <f>ROUND(IFERROR('1.1 Jakotaulu'!M$17*Ohj.lask.[[#This Row],[%-osuus 4]],0),0)</f>
        <v>65050</v>
      </c>
      <c r="V12" s="132">
        <f>IFERROR(ROUND(VLOOKUP($A12,'2.5 Päättäneet palaute'!$A:$Z,COLUMN('2.5 Päättäneet palaute'!X:X),FALSE),1),0)</f>
        <v>99531.3</v>
      </c>
      <c r="W12" s="13">
        <f>IFERROR(Ohj.lask.[[#This Row],[Painotetut pisteet 5]]/Ohj.lask.[[#Totals],[Painotetut pisteet 5]],0)</f>
        <v>9.7317980622642526E-3</v>
      </c>
      <c r="X12" s="16">
        <f>ROUND(IFERROR('1.1 Jakotaulu'!M$18*Ohj.lask.[[#This Row],[%-osuus 5]],0),0)</f>
        <v>235227</v>
      </c>
      <c r="Y12" s="132">
        <f>IFERROR(ROUND(VLOOKUP($A12,'2.6 Työpaikkaohjaajakysely'!B:J,COLUMN('2.6 Työpaikkaohjaajakysely'!H:H),FALSE),1),0)</f>
        <v>1902783.1</v>
      </c>
      <c r="Z12" s="9">
        <f>IFERROR(Ohj.lask.[[#This Row],[Painotetut pisteet 6]]/Ohj.lask.[[#Totals],[Painotetut pisteet 6]],0)</f>
        <v>5.6061991687744207E-3</v>
      </c>
      <c r="AA12" s="16">
        <f>ROUND(IFERROR('1.1 Jakotaulu'!M$20*Ohj.lask.[[#This Row],[%-osuus 6]],0),0)</f>
        <v>135507</v>
      </c>
      <c r="AB12" s="132">
        <f>IFERROR(ROUND(VLOOKUP($A12,'2.7 Työpaikkakysely'!B:H,COLUMN('2.7 Työpaikkakysely'!F:F),FALSE),1),0)</f>
        <v>891490</v>
      </c>
      <c r="AC12" s="9">
        <f>IFERROR(Ohj.lask.[[#This Row],[Pisteet 7]]/Ohj.lask.[[#Totals],[Pisteet 7]],0)</f>
        <v>4.8312154990712754E-3</v>
      </c>
      <c r="AD12" s="16">
        <f>ROUND(IFERROR('1.1 Jakotaulu'!M$21*Ohj.lask.[[#This Row],[%-osuus 7]],0),0)</f>
        <v>38925</v>
      </c>
      <c r="AE12" s="12">
        <f>IFERROR(Ohj.lask.[[#This Row],[Jaettava € 8]]/Ohj.lask.[[#Totals],[Jaettava € 8]],"")</f>
        <v>9.1742105132531556E-3</v>
      </c>
      <c r="AF1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19482858</v>
      </c>
      <c r="AG12" s="102">
        <v>0</v>
      </c>
      <c r="AH12" s="102">
        <v>0</v>
      </c>
      <c r="AI12" s="102">
        <v>0</v>
      </c>
      <c r="AJ12" s="102">
        <v>0</v>
      </c>
      <c r="AK12" s="102">
        <v>21000</v>
      </c>
      <c r="AL12" s="107">
        <v>0</v>
      </c>
      <c r="AM12" s="107">
        <v>49114</v>
      </c>
      <c r="AN1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70114</v>
      </c>
      <c r="AO12" s="10">
        <f>Ohj.lask.[[#This Row],[Jaettava € 1]]+Ohj.lask.[[#This Row],[Harkinnanvarainen korotus 8, €]]</f>
        <v>13513414</v>
      </c>
      <c r="AP12" s="102">
        <f>Ohj.lask.[[#This Row],[Jaettava € 2]]</f>
        <v>4020485</v>
      </c>
      <c r="AQ12" s="10">
        <f>Ohj.lask.[[#This Row],[Jaettava € 3]]+Ohj.lask.[[#This Row],[Jaettava € 4]]+Ohj.lask.[[#This Row],[Jaettava € 5]]+Ohj.lask.[[#This Row],[Jaettava € 6]]+Ohj.lask.[[#This Row],[Jaettava € 7]]</f>
        <v>2019073</v>
      </c>
      <c r="AR12" s="33">
        <f>Ohj.lask.[[#This Row],[Jaettava € 8]]+Ohj.lask.[[#This Row],[Harkinnanvarainen korotus 8, €]]</f>
        <v>19552972</v>
      </c>
      <c r="AS12" s="33">
        <v>1356794</v>
      </c>
      <c r="AT12" s="16">
        <f>Ohj.lask.[[#This Row],[Perus-, suoritus- ja vaikuttavuusrahoitus yhteensä, €]]+Ohj.lask.[[#This Row],[Alv-korvaus, €]]</f>
        <v>20909766</v>
      </c>
    </row>
    <row r="13" spans="1:46" ht="12.75" x14ac:dyDescent="0.2">
      <c r="A13" s="3" t="s">
        <v>174</v>
      </c>
      <c r="B13" s="7" t="s">
        <v>148</v>
      </c>
      <c r="C13" s="7" t="s">
        <v>173</v>
      </c>
      <c r="D13" s="7" t="s">
        <v>325</v>
      </c>
      <c r="E13" s="7" t="s">
        <v>375</v>
      </c>
      <c r="F13" s="105">
        <v>2494</v>
      </c>
      <c r="G13" s="106">
        <f>Ohj.lask.[[#This Row],[Tavoitteelliset opiskelija-vuodet]]-Ohj.lask.[[#This Row],[Järjestämisluvan opisk.vuosien vähimmäismäärä]]</f>
        <v>601</v>
      </c>
      <c r="H13" s="32">
        <v>3095</v>
      </c>
      <c r="I13" s="8">
        <f>IFERROR(VLOOKUP($A13,'2.1 Toteut. op.vuodet'!$A:$T,COLUMN('2.1 Toteut. op.vuodet'!S:S),FALSE),0)</f>
        <v>0.97987834544302499</v>
      </c>
      <c r="J13" s="74">
        <f t="shared" si="0"/>
        <v>3032.7</v>
      </c>
      <c r="K13" s="9">
        <f>IFERROR(Ohj.lask.[[#This Row],[Painotetut opiskelija-vuodet]]/Ohj.lask.[[#Totals],[Painotetut opiskelija-vuodet]],0)</f>
        <v>1.3992483083246207E-2</v>
      </c>
      <c r="L13" s="10">
        <f>ROUND(IFERROR('1.1 Jakotaulu'!L$12*Ohj.lask.[[#This Row],[%-osuus 1]],0),0)</f>
        <v>20696226</v>
      </c>
      <c r="M13" s="132">
        <f>IFERROR(ROUND(VLOOKUP($A13,'2.2 Tutk. ja osien pain. pist.'!$A:$Q,COLUMN('2.2 Tutk. ja osien pain. pist.'!O:O),FALSE),1),0)</f>
        <v>279662.09999999998</v>
      </c>
      <c r="N13" s="9">
        <f>IFERROR(Ohj.lask.[[#This Row],[Painotetut pisteet 2]]/Ohj.lask.[[#Totals],[Painotetut pisteet 2]],0)</f>
        <v>1.8256153650406254E-2</v>
      </c>
      <c r="O13" s="16">
        <f>ROUND(IFERROR('1.1 Jakotaulu'!K$13*Ohj.lask.[[#This Row],[%-osuus 2]],0),0)</f>
        <v>7844779</v>
      </c>
      <c r="P13" s="133">
        <f>IFERROR(ROUND(VLOOKUP($A13,'2.3 Työll. ja jatko-opisk.'!$A:$Z,COLUMN('2.3 Työll. ja jatko-opisk.'!L:L),FALSE),1),0)</f>
        <v>5563.3</v>
      </c>
      <c r="Q13" s="9">
        <f>IFERROR(Ohj.lask.[[#This Row],[Painotetut pisteet 3]]/Ohj.lask.[[#Totals],[Painotetut pisteet 3]],0)</f>
        <v>1.7800509381319267E-2</v>
      </c>
      <c r="R13" s="10">
        <f>ROUND(IFERROR('1.1 Jakotaulu'!L$15*Ohj.lask.[[#This Row],[%-osuus 3]],0),0)</f>
        <v>2677145</v>
      </c>
      <c r="S13" s="132">
        <f>IFERROR(ROUND(VLOOKUP($A13,'2.4 Aloittaneet palaute'!$A:$I,COLUMN('2.4 Aloittaneet palaute'!H:H),FALSE),1),0)</f>
        <v>38280.6</v>
      </c>
      <c r="T13" s="13">
        <f>IFERROR(Ohj.lask.[[#This Row],[Painotetut pisteet 4]]/Ohj.lask.[[#Totals],[Painotetut pisteet 4]],0)</f>
        <v>2.2965212387990101E-2</v>
      </c>
      <c r="U13" s="16">
        <f>ROUND(IFERROR('1.1 Jakotaulu'!M$17*Ohj.lask.[[#This Row],[%-osuus 4]],0),0)</f>
        <v>185030</v>
      </c>
      <c r="V13" s="132">
        <f>IFERROR(ROUND(VLOOKUP($A13,'2.5 Päättäneet palaute'!$A:$Z,COLUMN('2.5 Päättäneet palaute'!X:X),FALSE),1),0)</f>
        <v>241967.8</v>
      </c>
      <c r="W13" s="13">
        <f>IFERROR(Ohj.lask.[[#This Row],[Painotetut pisteet 5]]/Ohj.lask.[[#Totals],[Painotetut pisteet 5]],0)</f>
        <v>2.3658706026851294E-2</v>
      </c>
      <c r="X13" s="16">
        <f>ROUND(IFERROR('1.1 Jakotaulu'!M$18*Ohj.lask.[[#This Row],[%-osuus 5]],0),0)</f>
        <v>571854</v>
      </c>
      <c r="Y13" s="132">
        <f>IFERROR(ROUND(VLOOKUP($A13,'2.6 Työpaikkaohjaajakysely'!B:J,COLUMN('2.6 Työpaikkaohjaajakysely'!H:H),FALSE),1),0)</f>
        <v>5339301.4000000004</v>
      </c>
      <c r="Z13" s="9">
        <f>IFERROR(Ohj.lask.[[#This Row],[Painotetut pisteet 6]]/Ohj.lask.[[#Totals],[Painotetut pisteet 6]],0)</f>
        <v>1.5731265991649864E-2</v>
      </c>
      <c r="AA13" s="16">
        <f>ROUND(IFERROR('1.1 Jakotaulu'!M$20*Ohj.lask.[[#This Row],[%-osuus 6]],0),0)</f>
        <v>380240</v>
      </c>
      <c r="AB13" s="132">
        <f>IFERROR(ROUND(VLOOKUP($A13,'2.7 Työpaikkakysely'!B:H,COLUMN('2.7 Työpaikkakysely'!F:F),FALSE),1),0)</f>
        <v>2522914.5</v>
      </c>
      <c r="AC13" s="9">
        <f>IFERROR(Ohj.lask.[[#This Row],[Pisteet 7]]/Ohj.lask.[[#Totals],[Pisteet 7]],0)</f>
        <v>1.3672327940001186E-2</v>
      </c>
      <c r="AD13" s="16">
        <f>ROUND(IFERROR('1.1 Jakotaulu'!M$21*Ohj.lask.[[#This Row],[%-osuus 7]],0),0)</f>
        <v>110158</v>
      </c>
      <c r="AE13" s="12">
        <f>IFERROR(Ohj.lask.[[#This Row],[Jaettava € 8]]/Ohj.lask.[[#Totals],[Jaettava € 8]],"")</f>
        <v>1.5287526479518839E-2</v>
      </c>
      <c r="AF1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32465432</v>
      </c>
      <c r="AG13" s="102">
        <v>0</v>
      </c>
      <c r="AH13" s="102">
        <v>0</v>
      </c>
      <c r="AI13" s="102">
        <v>0</v>
      </c>
      <c r="AJ13" s="102">
        <v>0</v>
      </c>
      <c r="AK13" s="102">
        <v>54000</v>
      </c>
      <c r="AL13" s="107">
        <v>0</v>
      </c>
      <c r="AM13" s="107">
        <v>42755</v>
      </c>
      <c r="AN1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96755</v>
      </c>
      <c r="AO13" s="10">
        <f>Ohj.lask.[[#This Row],[Jaettava € 1]]+Ohj.lask.[[#This Row],[Harkinnanvarainen korotus 8, €]]</f>
        <v>20792981</v>
      </c>
      <c r="AP13" s="102">
        <f>Ohj.lask.[[#This Row],[Jaettava € 2]]</f>
        <v>7844779</v>
      </c>
      <c r="AQ13" s="10">
        <f>Ohj.lask.[[#This Row],[Jaettava € 3]]+Ohj.lask.[[#This Row],[Jaettava € 4]]+Ohj.lask.[[#This Row],[Jaettava € 5]]+Ohj.lask.[[#This Row],[Jaettava € 6]]+Ohj.lask.[[#This Row],[Jaettava € 7]]</f>
        <v>3924427</v>
      </c>
      <c r="AR13" s="33">
        <f>Ohj.lask.[[#This Row],[Jaettava € 8]]+Ohj.lask.[[#This Row],[Harkinnanvarainen korotus 8, €]]</f>
        <v>32562187</v>
      </c>
      <c r="AS13" s="33">
        <v>1973663</v>
      </c>
      <c r="AT13" s="16">
        <f>Ohj.lask.[[#This Row],[Perus-, suoritus- ja vaikuttavuusrahoitus yhteensä, €]]+Ohj.lask.[[#This Row],[Alv-korvaus, €]]</f>
        <v>34535850</v>
      </c>
    </row>
    <row r="14" spans="1:46" ht="12.75" x14ac:dyDescent="0.2">
      <c r="A14" s="3" t="s">
        <v>314</v>
      </c>
      <c r="B14" s="7" t="s">
        <v>20</v>
      </c>
      <c r="C14" s="7" t="s">
        <v>173</v>
      </c>
      <c r="D14" s="7" t="s">
        <v>325</v>
      </c>
      <c r="E14" s="7" t="s">
        <v>373</v>
      </c>
      <c r="F14" s="105">
        <v>0</v>
      </c>
      <c r="G14" s="106">
        <f>Ohj.lask.[[#This Row],[Tavoitteelliset opiskelija-vuodet]]-Ohj.lask.[[#This Row],[Järjestämisluvan opisk.vuosien vähimmäismäärä]]</f>
        <v>2</v>
      </c>
      <c r="H14" s="32">
        <v>2</v>
      </c>
      <c r="I14" s="8">
        <f>IFERROR(VLOOKUP($A14,'2.1 Toteut. op.vuodet'!$A:$T,COLUMN('2.1 Toteut. op.vuodet'!S:S),FALSE),0)</f>
        <v>0.790686</v>
      </c>
      <c r="J14" s="74">
        <f t="shared" si="0"/>
        <v>1.6</v>
      </c>
      <c r="K14" s="9">
        <f>IFERROR(Ohj.lask.[[#This Row],[Painotetut opiskelija-vuodet]]/Ohj.lask.[[#Totals],[Painotetut opiskelija-vuodet]],0)</f>
        <v>7.3821917542763654E-6</v>
      </c>
      <c r="L14" s="10">
        <f>ROUND(IFERROR('1.1 Jakotaulu'!L$12*Ohj.lask.[[#This Row],[%-osuus 1]],0),0)</f>
        <v>10919</v>
      </c>
      <c r="M14" s="132">
        <f>IFERROR(ROUND(VLOOKUP($A14,'2.2 Tutk. ja osien pain. pist.'!$A:$Q,COLUMN('2.2 Tutk. ja osien pain. pist.'!O:O),FALSE),1),0)</f>
        <v>0</v>
      </c>
      <c r="N14" s="9">
        <f>IFERROR(Ohj.lask.[[#This Row],[Painotetut pisteet 2]]/Ohj.lask.[[#Totals],[Painotetut pisteet 2]],0)</f>
        <v>0</v>
      </c>
      <c r="O14" s="16">
        <f>ROUND(IFERROR('1.1 Jakotaulu'!K$13*Ohj.lask.[[#This Row],[%-osuus 2]],0),0)</f>
        <v>0</v>
      </c>
      <c r="P14" s="133">
        <f>IFERROR(ROUND(VLOOKUP($A14,'2.3 Työll. ja jatko-opisk.'!$A:$Z,COLUMN('2.3 Työll. ja jatko-opisk.'!L:L),FALSE),1),0)</f>
        <v>12</v>
      </c>
      <c r="Q14" s="9">
        <f>IFERROR(Ohj.lask.[[#This Row],[Painotetut pisteet 3]]/Ohj.lask.[[#Totals],[Painotetut pisteet 3]],0)</f>
        <v>3.8395576829549221E-5</v>
      </c>
      <c r="R14" s="10">
        <f>ROUND(IFERROR('1.1 Jakotaulu'!L$15*Ohj.lask.[[#This Row],[%-osuus 3]],0),0)</f>
        <v>5775</v>
      </c>
      <c r="S14" s="132">
        <f>IFERROR(ROUND(VLOOKUP($A14,'2.4 Aloittaneet palaute'!$A:$I,COLUMN('2.4 Aloittaneet palaute'!H:H),FALSE),1),0)</f>
        <v>143</v>
      </c>
      <c r="T14" s="13">
        <f>IFERROR(Ohj.lask.[[#This Row],[Painotetut pisteet 4]]/Ohj.lask.[[#Totals],[Painotetut pisteet 4]],0)</f>
        <v>8.5788241863570173E-5</v>
      </c>
      <c r="U14" s="16">
        <f>ROUND(IFERROR('1.1 Jakotaulu'!M$17*Ohj.lask.[[#This Row],[%-osuus 4]],0),0)</f>
        <v>691</v>
      </c>
      <c r="V14" s="132">
        <f>IFERROR(ROUND(VLOOKUP($A14,'2.5 Päättäneet palaute'!$A:$Z,COLUMN('2.5 Päättäneet palaute'!X:X),FALSE),1),0)</f>
        <v>909</v>
      </c>
      <c r="W14" s="13">
        <f>IFERROR(Ohj.lask.[[#This Row],[Painotetut pisteet 5]]/Ohj.lask.[[#Totals],[Painotetut pisteet 5]],0)</f>
        <v>8.887861847075448E-5</v>
      </c>
      <c r="X14" s="16">
        <f>ROUND(IFERROR('1.1 Jakotaulu'!M$18*Ohj.lask.[[#This Row],[%-osuus 5]],0),0)</f>
        <v>2148</v>
      </c>
      <c r="Y14" s="132">
        <f>IFERROR(ROUND(VLOOKUP($A14,'2.6 Työpaikkaohjaajakysely'!B:J,COLUMN('2.6 Työpaikkaohjaajakysely'!H:H),FALSE),1),0)</f>
        <v>12101.6</v>
      </c>
      <c r="Z14" s="9">
        <f>IFERROR(Ohj.lask.[[#This Row],[Painotetut pisteet 6]]/Ohj.lask.[[#Totals],[Painotetut pisteet 6]],0)</f>
        <v>3.5655130561565597E-5</v>
      </c>
      <c r="AA14" s="16">
        <f>ROUND(IFERROR('1.1 Jakotaulu'!M$20*Ohj.lask.[[#This Row],[%-osuus 6]],0),0)</f>
        <v>862</v>
      </c>
      <c r="AB14" s="132">
        <f>IFERROR(ROUND(VLOOKUP($A14,'2.7 Työpaikkakysely'!B:H,COLUMN('2.7 Työpaikkakysely'!F:F),FALSE),1),0)</f>
        <v>7175</v>
      </c>
      <c r="AC14" s="9">
        <f>IFERROR(Ohj.lask.[[#This Row],[Pisteet 7]]/Ohj.lask.[[#Totals],[Pisteet 7]],0)</f>
        <v>3.8883185684456811E-5</v>
      </c>
      <c r="AD14" s="16">
        <f>ROUND(IFERROR('1.1 Jakotaulu'!M$21*Ohj.lask.[[#This Row],[%-osuus 7]],0),0)</f>
        <v>313</v>
      </c>
      <c r="AE14" s="12">
        <f>IFERROR(Ohj.lask.[[#This Row],[Jaettava € 8]]/Ohj.lask.[[#Totals],[Jaettava € 8]],"")</f>
        <v>9.751113071216058E-6</v>
      </c>
      <c r="AF1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20708</v>
      </c>
      <c r="AG14" s="102">
        <v>0</v>
      </c>
      <c r="AH14" s="102">
        <v>0</v>
      </c>
      <c r="AI14" s="102">
        <v>0</v>
      </c>
      <c r="AJ14" s="102">
        <v>0</v>
      </c>
      <c r="AK14" s="102">
        <v>0</v>
      </c>
      <c r="AL14" s="107">
        <v>0</v>
      </c>
      <c r="AM14" s="107">
        <v>0</v>
      </c>
      <c r="AN1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4" s="10">
        <f>Ohj.lask.[[#This Row],[Jaettava € 1]]+Ohj.lask.[[#This Row],[Harkinnanvarainen korotus 8, €]]</f>
        <v>10919</v>
      </c>
      <c r="AP14" s="102">
        <f>Ohj.lask.[[#This Row],[Jaettava € 2]]</f>
        <v>0</v>
      </c>
      <c r="AQ14" s="10">
        <f>Ohj.lask.[[#This Row],[Jaettava € 3]]+Ohj.lask.[[#This Row],[Jaettava € 4]]+Ohj.lask.[[#This Row],[Jaettava € 5]]+Ohj.lask.[[#This Row],[Jaettava € 6]]+Ohj.lask.[[#This Row],[Jaettava € 7]]</f>
        <v>9789</v>
      </c>
      <c r="AR14" s="33">
        <f>Ohj.lask.[[#This Row],[Jaettava € 8]]+Ohj.lask.[[#This Row],[Harkinnanvarainen korotus 8, €]]</f>
        <v>20708</v>
      </c>
      <c r="AS14" s="33">
        <v>0</v>
      </c>
      <c r="AT14" s="16">
        <f>Ohj.lask.[[#This Row],[Perus-, suoritus- ja vaikuttavuusrahoitus yhteensä, €]]+Ohj.lask.[[#This Row],[Alv-korvaus, €]]</f>
        <v>20708</v>
      </c>
    </row>
    <row r="15" spans="1:46" ht="12.75" x14ac:dyDescent="0.2">
      <c r="A15" s="3" t="s">
        <v>313</v>
      </c>
      <c r="B15" s="7" t="s">
        <v>21</v>
      </c>
      <c r="C15" s="96" t="s">
        <v>173</v>
      </c>
      <c r="D15" s="96" t="s">
        <v>324</v>
      </c>
      <c r="E15" s="96" t="s">
        <v>373</v>
      </c>
      <c r="F15" s="104">
        <v>5838</v>
      </c>
      <c r="G15" s="106">
        <f>Ohj.lask.[[#This Row],[Tavoitteelliset opiskelija-vuodet]]-Ohj.lask.[[#This Row],[Järjestämisluvan opisk.vuosien vähimmäismäärä]]</f>
        <v>1358</v>
      </c>
      <c r="H15" s="32">
        <v>7196</v>
      </c>
      <c r="I15" s="8">
        <f>IFERROR(VLOOKUP($A15,'2.1 Toteut. op.vuodet'!$A:$T,COLUMN('2.1 Toteut. op.vuodet'!S:S),FALSE),0)</f>
        <v>1.0069060917680845</v>
      </c>
      <c r="J15" s="74">
        <f t="shared" si="0"/>
        <v>7245.7</v>
      </c>
      <c r="K15" s="9">
        <f>IFERROR(Ohj.lask.[[#This Row],[Painotetut opiskelija-vuodet]]/Ohj.lask.[[#Totals],[Painotetut opiskelija-vuodet]],0)</f>
        <v>3.3430716746225157E-2</v>
      </c>
      <c r="L15" s="10">
        <f>ROUND(IFERROR('1.1 Jakotaulu'!L$12*Ohj.lask.[[#This Row],[%-osuus 1]],0),0)</f>
        <v>49447239</v>
      </c>
      <c r="M15" s="132">
        <f>IFERROR(ROUND(VLOOKUP($A15,'2.2 Tutk. ja osien pain. pist.'!$A:$Q,COLUMN('2.2 Tutk. ja osien pain. pist.'!O:O),FALSE),1),0)</f>
        <v>521005.5</v>
      </c>
      <c r="N15" s="9">
        <f>IFERROR(Ohj.lask.[[#This Row],[Painotetut pisteet 2]]/Ohj.lask.[[#Totals],[Painotetut pisteet 2]],0)</f>
        <v>3.4010888356723119E-2</v>
      </c>
      <c r="O15" s="16">
        <f>ROUND(IFERROR('1.1 Jakotaulu'!K$13*Ohj.lask.[[#This Row],[%-osuus 2]],0),0)</f>
        <v>14614683</v>
      </c>
      <c r="P15" s="133">
        <f>IFERROR(ROUND(VLOOKUP($A15,'2.3 Työll. ja jatko-opisk.'!$A:$Z,COLUMN('2.3 Työll. ja jatko-opisk.'!L:L),FALSE),1),0)</f>
        <v>11340.6</v>
      </c>
      <c r="Q15" s="13">
        <f>IFERROR(Ohj.lask.[[#This Row],[Painotetut pisteet 3]]/Ohj.lask.[[#Totals],[Painotetut pisteet 3]],0)</f>
        <v>3.628573988276549E-2</v>
      </c>
      <c r="R15" s="10">
        <f>ROUND(IFERROR('1.1 Jakotaulu'!L$15*Ohj.lask.[[#This Row],[%-osuus 3]],0),0)</f>
        <v>5457270</v>
      </c>
      <c r="S15" s="132">
        <f>IFERROR(ROUND(VLOOKUP($A15,'2.4 Aloittaneet palaute'!$A:$I,COLUMN('2.4 Aloittaneet palaute'!H:H),FALSE),1),0)</f>
        <v>47553.7</v>
      </c>
      <c r="T15" s="13">
        <f>IFERROR(Ohj.lask.[[#This Row],[Painotetut pisteet 4]]/Ohj.lask.[[#Totals],[Painotetut pisteet 4]],0)</f>
        <v>2.8528309909843754E-2</v>
      </c>
      <c r="U15" s="16">
        <f>ROUND(IFERROR('1.1 Jakotaulu'!M$17*Ohj.lask.[[#This Row],[%-osuus 4]],0),0)</f>
        <v>229852</v>
      </c>
      <c r="V15" s="132">
        <f>IFERROR(ROUND(VLOOKUP($A15,'2.5 Päättäneet palaute'!$A:$Z,COLUMN('2.5 Päättäneet palaute'!X:X),FALSE),1),0)</f>
        <v>369868.1</v>
      </c>
      <c r="W15" s="13">
        <f>IFERROR(Ohj.lask.[[#This Row],[Painotetut pisteet 5]]/Ohj.lask.[[#Totals],[Painotetut pisteet 5]],0)</f>
        <v>3.6164318750718225E-2</v>
      </c>
      <c r="X15" s="16">
        <f>ROUND(IFERROR('1.1 Jakotaulu'!M$18*Ohj.lask.[[#This Row],[%-osuus 5]],0),0)</f>
        <v>874126</v>
      </c>
      <c r="Y15" s="132">
        <f>IFERROR(ROUND(VLOOKUP($A15,'2.6 Työpaikkaohjaajakysely'!B:J,COLUMN('2.6 Työpaikkaohjaajakysely'!H:H),FALSE),1),0)</f>
        <v>7129627.5</v>
      </c>
      <c r="Z15" s="9">
        <f>IFERROR(Ohj.lask.[[#This Row],[Painotetut pisteet 6]]/Ohj.lask.[[#Totals],[Painotetut pisteet 6]],0)</f>
        <v>2.1006131368399922E-2</v>
      </c>
      <c r="AA15" s="16">
        <f>ROUND(IFERROR('1.1 Jakotaulu'!M$20*Ohj.lask.[[#This Row],[%-osuus 6]],0),0)</f>
        <v>507738</v>
      </c>
      <c r="AB15" s="132">
        <f>IFERROR(ROUND(VLOOKUP($A15,'2.7 Työpaikkakysely'!B:H,COLUMN('2.7 Työpaikkakysely'!F:F),FALSE),1),0)</f>
        <v>3080936.8</v>
      </c>
      <c r="AC15" s="9">
        <f>IFERROR(Ohj.lask.[[#This Row],[Pisteet 7]]/Ohj.lask.[[#Totals],[Pisteet 7]],0)</f>
        <v>1.6696395494979258E-2</v>
      </c>
      <c r="AD15" s="16">
        <f>ROUND(IFERROR('1.1 Jakotaulu'!M$21*Ohj.lask.[[#This Row],[%-osuus 7]],0),0)</f>
        <v>134523</v>
      </c>
      <c r="AE15" s="12">
        <f>IFERROR(Ohj.lask.[[#This Row],[Jaettava € 8]]/Ohj.lask.[[#Totals],[Jaettava € 8]],"")</f>
        <v>3.3557913644482622E-2</v>
      </c>
      <c r="AF1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71265431</v>
      </c>
      <c r="AG15" s="102">
        <v>0</v>
      </c>
      <c r="AH15" s="102">
        <v>0</v>
      </c>
      <c r="AI15" s="102">
        <v>0</v>
      </c>
      <c r="AJ15" s="102">
        <v>0</v>
      </c>
      <c r="AK15" s="102">
        <v>93000</v>
      </c>
      <c r="AL15" s="107">
        <v>42000</v>
      </c>
      <c r="AM15" s="107">
        <v>82753</v>
      </c>
      <c r="AN1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217753</v>
      </c>
      <c r="AO15" s="10">
        <f>Ohj.lask.[[#This Row],[Jaettava € 1]]+Ohj.lask.[[#This Row],[Harkinnanvarainen korotus 8, €]]</f>
        <v>49664992</v>
      </c>
      <c r="AP15" s="102">
        <f>Ohj.lask.[[#This Row],[Jaettava € 2]]</f>
        <v>14614683</v>
      </c>
      <c r="AQ15" s="10">
        <f>Ohj.lask.[[#This Row],[Jaettava € 3]]+Ohj.lask.[[#This Row],[Jaettava € 4]]+Ohj.lask.[[#This Row],[Jaettava € 5]]+Ohj.lask.[[#This Row],[Jaettava € 6]]+Ohj.lask.[[#This Row],[Jaettava € 7]]</f>
        <v>7203509</v>
      </c>
      <c r="AR15" s="33">
        <f>Ohj.lask.[[#This Row],[Jaettava € 8]]+Ohj.lask.[[#This Row],[Harkinnanvarainen korotus 8, €]]</f>
        <v>71483184</v>
      </c>
      <c r="AS15" s="33">
        <v>0</v>
      </c>
      <c r="AT15" s="16">
        <f>Ohj.lask.[[#This Row],[Perus-, suoritus- ja vaikuttavuusrahoitus yhteensä, €]]+Ohj.lask.[[#This Row],[Alv-korvaus, €]]</f>
        <v>71483184</v>
      </c>
    </row>
    <row r="16" spans="1:46" ht="12.75" x14ac:dyDescent="0.2">
      <c r="A16" s="3" t="s">
        <v>312</v>
      </c>
      <c r="B16" s="7" t="s">
        <v>22</v>
      </c>
      <c r="C16" s="96" t="s">
        <v>311</v>
      </c>
      <c r="D16" s="96" t="s">
        <v>324</v>
      </c>
      <c r="E16" s="96" t="s">
        <v>373</v>
      </c>
      <c r="F16" s="104">
        <v>2885</v>
      </c>
      <c r="G16" s="106">
        <f>Ohj.lask.[[#This Row],[Tavoitteelliset opiskelija-vuodet]]-Ohj.lask.[[#This Row],[Järjestämisluvan opisk.vuosien vähimmäismäärä]]</f>
        <v>138</v>
      </c>
      <c r="H16" s="32">
        <v>3023</v>
      </c>
      <c r="I16" s="8">
        <f>IFERROR(VLOOKUP($A16,'2.1 Toteut. op.vuodet'!$A:$T,COLUMN('2.1 Toteut. op.vuodet'!S:S),FALSE),0)</f>
        <v>1.1065535581045247</v>
      </c>
      <c r="J16" s="74">
        <f t="shared" si="0"/>
        <v>3345.1</v>
      </c>
      <c r="K16" s="9">
        <f>IFERROR(Ohj.lask.[[#This Row],[Painotetut opiskelija-vuodet]]/Ohj.lask.[[#Totals],[Painotetut opiskelija-vuodet]],0)</f>
        <v>1.5433856023268668E-2</v>
      </c>
      <c r="L16" s="10">
        <f>ROUND(IFERROR('1.1 Jakotaulu'!L$12*Ohj.lask.[[#This Row],[%-osuus 1]],0),0)</f>
        <v>22828155</v>
      </c>
      <c r="M16" s="132">
        <f>IFERROR(ROUND(VLOOKUP($A16,'2.2 Tutk. ja osien pain. pist.'!$A:$Q,COLUMN('2.2 Tutk. ja osien pain. pist.'!O:O),FALSE),1),0)</f>
        <v>258988.9</v>
      </c>
      <c r="N16" s="9">
        <f>IFERROR(Ohj.lask.[[#This Row],[Painotetut pisteet 2]]/Ohj.lask.[[#Totals],[Painotetut pisteet 2]],0)</f>
        <v>1.690662106931794E-2</v>
      </c>
      <c r="O16" s="16">
        <f>ROUND(IFERROR('1.1 Jakotaulu'!K$13*Ohj.lask.[[#This Row],[%-osuus 2]],0),0)</f>
        <v>7264877</v>
      </c>
      <c r="P16" s="133">
        <f>IFERROR(ROUND(VLOOKUP($A16,'2.3 Työll. ja jatko-opisk.'!$A:$Z,COLUMN('2.3 Työll. ja jatko-opisk.'!L:L),FALSE),1),0)</f>
        <v>5375.8</v>
      </c>
      <c r="Q16" s="13">
        <f>IFERROR(Ohj.lask.[[#This Row],[Painotetut pisteet 3]]/Ohj.lask.[[#Totals],[Painotetut pisteet 3]],0)</f>
        <v>1.7200578493357561E-2</v>
      </c>
      <c r="R16" s="10">
        <f>ROUND(IFERROR('1.1 Jakotaulu'!L$15*Ohj.lask.[[#This Row],[%-osuus 3]],0),0)</f>
        <v>2586917</v>
      </c>
      <c r="S16" s="132">
        <f>IFERROR(ROUND(VLOOKUP($A16,'2.4 Aloittaneet palaute'!$A:$I,COLUMN('2.4 Aloittaneet palaute'!H:H),FALSE),1),0)</f>
        <v>25533.5</v>
      </c>
      <c r="T16" s="13">
        <f>IFERROR(Ohj.lask.[[#This Row],[Painotetut pisteet 4]]/Ohj.lask.[[#Totals],[Painotetut pisteet 4]],0)</f>
        <v>1.5318000514849434E-2</v>
      </c>
      <c r="U16" s="16">
        <f>ROUND(IFERROR('1.1 Jakotaulu'!M$17*Ohj.lask.[[#This Row],[%-osuus 4]],0),0)</f>
        <v>123417</v>
      </c>
      <c r="V16" s="132">
        <f>IFERROR(ROUND(VLOOKUP($A16,'2.5 Päättäneet palaute'!$A:$Z,COLUMN('2.5 Päättäneet palaute'!X:X),FALSE),1),0)</f>
        <v>172021.6</v>
      </c>
      <c r="W16" s="13">
        <f>IFERROR(Ohj.lask.[[#This Row],[Painotetut pisteet 5]]/Ohj.lask.[[#Totals],[Painotetut pisteet 5]],0)</f>
        <v>1.6819628333474963E-2</v>
      </c>
      <c r="X16" s="16">
        <f>ROUND(IFERROR('1.1 Jakotaulu'!M$18*Ohj.lask.[[#This Row],[%-osuus 5]],0),0)</f>
        <v>406547</v>
      </c>
      <c r="Y16" s="132">
        <f>IFERROR(ROUND(VLOOKUP($A16,'2.6 Työpaikkaohjaajakysely'!B:J,COLUMN('2.6 Työpaikkaohjaajakysely'!H:H),FALSE),1),0)</f>
        <v>5038014.0999999996</v>
      </c>
      <c r="Z16" s="9">
        <f>IFERROR(Ohj.lask.[[#This Row],[Painotetut pisteet 6]]/Ohj.lask.[[#Totals],[Painotetut pisteet 6]],0)</f>
        <v>1.4843578576924404E-2</v>
      </c>
      <c r="AA16" s="16">
        <f>ROUND(IFERROR('1.1 Jakotaulu'!M$20*Ohj.lask.[[#This Row],[%-osuus 6]],0),0)</f>
        <v>358784</v>
      </c>
      <c r="AB16" s="132">
        <f>IFERROR(ROUND(VLOOKUP($A16,'2.7 Työpaikkakysely'!B:H,COLUMN('2.7 Työpaikkakysely'!F:F),FALSE),1),0)</f>
        <v>4889225.5</v>
      </c>
      <c r="AC16" s="9">
        <f>IFERROR(Ohj.lask.[[#This Row],[Pisteet 7]]/Ohj.lask.[[#Totals],[Pisteet 7]],0)</f>
        <v>2.6495980901697729E-2</v>
      </c>
      <c r="AD16" s="16">
        <f>ROUND(IFERROR('1.1 Jakotaulu'!M$21*Ohj.lask.[[#This Row],[%-osuus 7]],0),0)</f>
        <v>213478</v>
      </c>
      <c r="AE16" s="12">
        <f>IFERROR(Ohj.lask.[[#This Row],[Jaettava € 8]]/Ohj.lask.[[#Totals],[Jaettava € 8]],"")</f>
        <v>1.5907562691549564E-2</v>
      </c>
      <c r="AF1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33782175</v>
      </c>
      <c r="AG16" s="102">
        <v>0</v>
      </c>
      <c r="AH16" s="102">
        <v>0</v>
      </c>
      <c r="AI16" s="102">
        <v>0</v>
      </c>
      <c r="AJ16" s="102">
        <v>0</v>
      </c>
      <c r="AK16" s="102">
        <v>46000</v>
      </c>
      <c r="AL16" s="107">
        <v>0</v>
      </c>
      <c r="AM16" s="107">
        <v>62629</v>
      </c>
      <c r="AN1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108629</v>
      </c>
      <c r="AO16" s="10">
        <f>Ohj.lask.[[#This Row],[Jaettava € 1]]+Ohj.lask.[[#This Row],[Harkinnanvarainen korotus 8, €]]</f>
        <v>22936784</v>
      </c>
      <c r="AP16" s="102">
        <f>Ohj.lask.[[#This Row],[Jaettava € 2]]</f>
        <v>7264877</v>
      </c>
      <c r="AQ16" s="10">
        <f>Ohj.lask.[[#This Row],[Jaettava € 3]]+Ohj.lask.[[#This Row],[Jaettava € 4]]+Ohj.lask.[[#This Row],[Jaettava € 5]]+Ohj.lask.[[#This Row],[Jaettava € 6]]+Ohj.lask.[[#This Row],[Jaettava € 7]]</f>
        <v>3689143</v>
      </c>
      <c r="AR16" s="33">
        <f>Ohj.lask.[[#This Row],[Jaettava € 8]]+Ohj.lask.[[#This Row],[Harkinnanvarainen korotus 8, €]]</f>
        <v>33890804</v>
      </c>
      <c r="AS16" s="33">
        <v>0</v>
      </c>
      <c r="AT16" s="16">
        <f>Ohj.lask.[[#This Row],[Perus-, suoritus- ja vaikuttavuusrahoitus yhteensä, €]]+Ohj.lask.[[#This Row],[Alv-korvaus, €]]</f>
        <v>33890804</v>
      </c>
    </row>
    <row r="17" spans="1:46" ht="12.75" x14ac:dyDescent="0.2">
      <c r="A17" s="3" t="s">
        <v>310</v>
      </c>
      <c r="B17" s="7" t="s">
        <v>23</v>
      </c>
      <c r="C17" s="7" t="s">
        <v>200</v>
      </c>
      <c r="D17" s="7" t="s">
        <v>325</v>
      </c>
      <c r="E17" s="7" t="s">
        <v>373</v>
      </c>
      <c r="F17" s="105">
        <v>2485</v>
      </c>
      <c r="G17" s="106">
        <f>Ohj.lask.[[#This Row],[Tavoitteelliset opiskelija-vuodet]]-Ohj.lask.[[#This Row],[Järjestämisluvan opisk.vuosien vähimmäismäärä]]</f>
        <v>61</v>
      </c>
      <c r="H17" s="32">
        <v>2546</v>
      </c>
      <c r="I17" s="8">
        <f>IFERROR(VLOOKUP($A17,'2.1 Toteut. op.vuodet'!$A:$T,COLUMN('2.1 Toteut. op.vuodet'!S:S),FALSE),0)</f>
        <v>1.2285448279651416</v>
      </c>
      <c r="J17" s="74">
        <f t="shared" si="0"/>
        <v>3127.9</v>
      </c>
      <c r="K17" s="9">
        <f>IFERROR(Ohj.lask.[[#This Row],[Painotetut opiskelija-vuodet]]/Ohj.lask.[[#Totals],[Painotetut opiskelija-vuodet]],0)</f>
        <v>1.4431723492625651E-2</v>
      </c>
      <c r="L17" s="10">
        <f>ROUND(IFERROR('1.1 Jakotaulu'!L$12*Ohj.lask.[[#This Row],[%-osuus 1]],0),0)</f>
        <v>21345904</v>
      </c>
      <c r="M17" s="132">
        <f>IFERROR(ROUND(VLOOKUP($A17,'2.2 Tutk. ja osien pain. pist.'!$A:$Q,COLUMN('2.2 Tutk. ja osien pain. pist.'!O:O),FALSE),1),0)</f>
        <v>228527.7</v>
      </c>
      <c r="N17" s="9">
        <f>IFERROR(Ohj.lask.[[#This Row],[Painotetut pisteet 2]]/Ohj.lask.[[#Totals],[Painotetut pisteet 2]],0)</f>
        <v>1.4918134436428625E-2</v>
      </c>
      <c r="O17" s="16">
        <f>ROUND(IFERROR('1.1 Jakotaulu'!K$13*Ohj.lask.[[#This Row],[%-osuus 2]],0),0)</f>
        <v>6410412</v>
      </c>
      <c r="P17" s="133">
        <f>IFERROR(ROUND(VLOOKUP($A17,'2.3 Työll. ja jatko-opisk.'!$A:$Z,COLUMN('2.3 Työll. ja jatko-opisk.'!L:L),FALSE),1),0)</f>
        <v>4308.2</v>
      </c>
      <c r="Q17" s="9">
        <f>IFERROR(Ohj.lask.[[#This Row],[Painotetut pisteet 3]]/Ohj.lask.[[#Totals],[Painotetut pisteet 3]],0)</f>
        <v>1.3784652008088663E-2</v>
      </c>
      <c r="R17" s="10">
        <f>ROUND(IFERROR('1.1 Jakotaulu'!L$15*Ohj.lask.[[#This Row],[%-osuus 3]],0),0)</f>
        <v>2073172</v>
      </c>
      <c r="S17" s="132">
        <f>IFERROR(ROUND(VLOOKUP($A17,'2.4 Aloittaneet palaute'!$A:$I,COLUMN('2.4 Aloittaneet palaute'!H:H),FALSE),1),0)</f>
        <v>31104.400000000001</v>
      </c>
      <c r="T17" s="13">
        <f>IFERROR(Ohj.lask.[[#This Row],[Painotetut pisteet 4]]/Ohj.lask.[[#Totals],[Painotetut pisteet 4]],0)</f>
        <v>1.8660082449099526E-2</v>
      </c>
      <c r="U17" s="16">
        <f>ROUND(IFERROR('1.1 Jakotaulu'!M$17*Ohj.lask.[[#This Row],[%-osuus 4]],0),0)</f>
        <v>150344</v>
      </c>
      <c r="V17" s="132">
        <f>IFERROR(ROUND(VLOOKUP($A17,'2.5 Päättäneet palaute'!$A:$Z,COLUMN('2.5 Päättäneet palaute'!X:X),FALSE),1),0)</f>
        <v>124800.5</v>
      </c>
      <c r="W17" s="13">
        <f>IFERROR(Ohj.lask.[[#This Row],[Painotetut pisteet 5]]/Ohj.lask.[[#Totals],[Painotetut pisteet 5]],0)</f>
        <v>1.2202525879493283E-2</v>
      </c>
      <c r="X17" s="16">
        <f>ROUND(IFERROR('1.1 Jakotaulu'!M$18*Ohj.lask.[[#This Row],[%-osuus 5]],0),0)</f>
        <v>294947</v>
      </c>
      <c r="Y17" s="132">
        <f>IFERROR(ROUND(VLOOKUP($A17,'2.6 Työpaikkaohjaajakysely'!B:J,COLUMN('2.6 Työpaikkaohjaajakysely'!H:H),FALSE),1),0)</f>
        <v>4553011.9000000004</v>
      </c>
      <c r="Z17" s="9">
        <f>IFERROR(Ohj.lask.[[#This Row],[Painotetut pisteet 6]]/Ohj.lask.[[#Totals],[Painotetut pisteet 6]],0)</f>
        <v>1.3414609121344437E-2</v>
      </c>
      <c r="AA17" s="16">
        <f>ROUND(IFERROR('1.1 Jakotaulu'!M$20*Ohj.lask.[[#This Row],[%-osuus 6]],0),0)</f>
        <v>324244</v>
      </c>
      <c r="AB17" s="132">
        <f>IFERROR(ROUND(VLOOKUP($A17,'2.7 Työpaikkakysely'!B:H,COLUMN('2.7 Työpaikkakysely'!F:F),FALSE),1),0)</f>
        <v>2777597</v>
      </c>
      <c r="AC17" s="9">
        <f>IFERROR(Ohj.lask.[[#This Row],[Pisteet 7]]/Ohj.lask.[[#Totals],[Pisteet 7]],0)</f>
        <v>1.5052518454019538E-2</v>
      </c>
      <c r="AD17" s="16">
        <f>ROUND(IFERROR('1.1 Jakotaulu'!M$21*Ohj.lask.[[#This Row],[%-osuus 7]],0),0)</f>
        <v>121278</v>
      </c>
      <c r="AE17" s="12">
        <f>IFERROR(Ohj.lask.[[#This Row],[Jaettava € 8]]/Ohj.lask.[[#Totals],[Jaettava € 8]],"")</f>
        <v>1.4465768236082276E-2</v>
      </c>
      <c r="AF1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30720301</v>
      </c>
      <c r="AG17" s="102">
        <v>0</v>
      </c>
      <c r="AH17" s="102">
        <v>0</v>
      </c>
      <c r="AI17" s="102">
        <v>0</v>
      </c>
      <c r="AJ17" s="102">
        <v>0</v>
      </c>
      <c r="AK17" s="102">
        <v>40000</v>
      </c>
      <c r="AL17" s="107">
        <v>0</v>
      </c>
      <c r="AM17" s="107">
        <v>85056</v>
      </c>
      <c r="AN1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125056</v>
      </c>
      <c r="AO17" s="10">
        <f>Ohj.lask.[[#This Row],[Jaettava € 1]]+Ohj.lask.[[#This Row],[Harkinnanvarainen korotus 8, €]]</f>
        <v>21470960</v>
      </c>
      <c r="AP17" s="102">
        <f>Ohj.lask.[[#This Row],[Jaettava € 2]]</f>
        <v>6410412</v>
      </c>
      <c r="AQ17" s="10">
        <f>Ohj.lask.[[#This Row],[Jaettava € 3]]+Ohj.lask.[[#This Row],[Jaettava € 4]]+Ohj.lask.[[#This Row],[Jaettava € 5]]+Ohj.lask.[[#This Row],[Jaettava € 6]]+Ohj.lask.[[#This Row],[Jaettava € 7]]</f>
        <v>2963985</v>
      </c>
      <c r="AR17" s="33">
        <f>Ohj.lask.[[#This Row],[Jaettava € 8]]+Ohj.lask.[[#This Row],[Harkinnanvarainen korotus 8, €]]</f>
        <v>30845357</v>
      </c>
      <c r="AS17" s="33">
        <v>1748831</v>
      </c>
      <c r="AT17" s="16">
        <f>Ohj.lask.[[#This Row],[Perus-, suoritus- ja vaikuttavuusrahoitus yhteensä, €]]+Ohj.lask.[[#This Row],[Alv-korvaus, €]]</f>
        <v>32594188</v>
      </c>
    </row>
    <row r="18" spans="1:46" ht="12.75" x14ac:dyDescent="0.2">
      <c r="A18" s="3" t="s">
        <v>309</v>
      </c>
      <c r="B18" s="7" t="s">
        <v>24</v>
      </c>
      <c r="C18" s="7" t="s">
        <v>214</v>
      </c>
      <c r="D18" s="7" t="s">
        <v>325</v>
      </c>
      <c r="E18" s="7" t="s">
        <v>373</v>
      </c>
      <c r="F18" s="105">
        <v>25</v>
      </c>
      <c r="G18" s="106">
        <f>Ohj.lask.[[#This Row],[Tavoitteelliset opiskelija-vuodet]]-Ohj.lask.[[#This Row],[Järjestämisluvan opisk.vuosien vähimmäismäärä]]</f>
        <v>0</v>
      </c>
      <c r="H18" s="32">
        <v>25</v>
      </c>
      <c r="I18" s="8">
        <f>IFERROR(VLOOKUP($A18,'2.1 Toteut. op.vuodet'!$A:$T,COLUMN('2.1 Toteut. op.vuodet'!S:S),FALSE),0)</f>
        <v>0.75057772043010607</v>
      </c>
      <c r="J18" s="74">
        <f t="shared" si="0"/>
        <v>18.8</v>
      </c>
      <c r="K18" s="9">
        <f>IFERROR(Ohj.lask.[[#This Row],[Painotetut opiskelija-vuodet]]/Ohj.lask.[[#Totals],[Painotetut opiskelija-vuodet]],0)</f>
        <v>8.6740753112747295E-5</v>
      </c>
      <c r="L18" s="10">
        <f>ROUND(IFERROR('1.1 Jakotaulu'!L$12*Ohj.lask.[[#This Row],[%-osuus 1]],0),0)</f>
        <v>128298</v>
      </c>
      <c r="M18" s="132">
        <f>IFERROR(ROUND(VLOOKUP($A18,'2.2 Tutk. ja osien pain. pist.'!$A:$Q,COLUMN('2.2 Tutk. ja osien pain. pist.'!O:O),FALSE),1),0)</f>
        <v>1363.8</v>
      </c>
      <c r="N18" s="9">
        <f>IFERROR(Ohj.lask.[[#This Row],[Painotetut pisteet 2]]/Ohj.lask.[[#Totals],[Painotetut pisteet 2]],0)</f>
        <v>8.9027946040682844E-5</v>
      </c>
      <c r="O18" s="16">
        <f>ROUND(IFERROR('1.1 Jakotaulu'!K$13*Ohj.lask.[[#This Row],[%-osuus 2]],0),0)</f>
        <v>38256</v>
      </c>
      <c r="P18" s="133">
        <f>IFERROR(ROUND(VLOOKUP($A18,'2.3 Työll. ja jatko-opisk.'!$A:$Z,COLUMN('2.3 Työll. ja jatko-opisk.'!L:L),FALSE),1),0)</f>
        <v>66.5</v>
      </c>
      <c r="Q18" s="9">
        <f>IFERROR(Ohj.lask.[[#This Row],[Painotetut pisteet 3]]/Ohj.lask.[[#Totals],[Painotetut pisteet 3]],0)</f>
        <v>2.1277548826375195E-4</v>
      </c>
      <c r="R18" s="10">
        <f>ROUND(IFERROR('1.1 Jakotaulu'!L$15*Ohj.lask.[[#This Row],[%-osuus 3]],0),0)</f>
        <v>32001</v>
      </c>
      <c r="S18" s="132">
        <f>IFERROR(ROUND(VLOOKUP($A18,'2.4 Aloittaneet palaute'!$A:$I,COLUMN('2.4 Aloittaneet palaute'!H:H),FALSE),1),0)</f>
        <v>225.8</v>
      </c>
      <c r="T18" s="13">
        <f>IFERROR(Ohj.lask.[[#This Row],[Painotetut pisteet 4]]/Ohj.lask.[[#Totals],[Painotetut pisteet 4]],0)</f>
        <v>1.3546143365590312E-4</v>
      </c>
      <c r="U18" s="16">
        <f>ROUND(IFERROR('1.1 Jakotaulu'!M$17*Ohj.lask.[[#This Row],[%-osuus 4]],0),0)</f>
        <v>1091</v>
      </c>
      <c r="V18" s="132">
        <f>IFERROR(ROUND(VLOOKUP($A18,'2.5 Päättäneet palaute'!$A:$Z,COLUMN('2.5 Päättäneet palaute'!X:X),FALSE),1),0)</f>
        <v>1917.8</v>
      </c>
      <c r="W18" s="13">
        <f>IFERROR(Ohj.lask.[[#This Row],[Painotetut pisteet 5]]/Ohj.lask.[[#Totals],[Painotetut pisteet 5]],0)</f>
        <v>1.8751530748428266E-4</v>
      </c>
      <c r="X18" s="16">
        <f>ROUND(IFERROR('1.1 Jakotaulu'!M$18*Ohj.lask.[[#This Row],[%-osuus 5]],0),0)</f>
        <v>4532</v>
      </c>
      <c r="Y18" s="132">
        <f>IFERROR(ROUND(VLOOKUP($A18,'2.6 Työpaikkaohjaajakysely'!B:J,COLUMN('2.6 Työpaikkaohjaajakysely'!H:H),FALSE),1),0)</f>
        <v>33296</v>
      </c>
      <c r="Z18" s="9">
        <f>IFERROR(Ohj.lask.[[#This Row],[Painotetut pisteet 6]]/Ohj.lask.[[#Totals],[Painotetut pisteet 6]],0)</f>
        <v>9.8100517880105783E-5</v>
      </c>
      <c r="AA18" s="16">
        <f>ROUND(IFERROR('1.1 Jakotaulu'!M$20*Ohj.lask.[[#This Row],[%-osuus 6]],0),0)</f>
        <v>2371</v>
      </c>
      <c r="AB18" s="132">
        <f>IFERROR(ROUND(VLOOKUP($A18,'2.7 Työpaikkakysely'!B:H,COLUMN('2.7 Työpaikkakysely'!F:F),FALSE),1),0)</f>
        <v>22176</v>
      </c>
      <c r="AC18" s="9">
        <f>IFERROR(Ohj.lask.[[#This Row],[Pisteet 7]]/Ohj.lask.[[#Totals],[Pisteet 7]],0)</f>
        <v>1.2017749487644798E-4</v>
      </c>
      <c r="AD18" s="16">
        <f>ROUND(IFERROR('1.1 Jakotaulu'!M$21*Ohj.lask.[[#This Row],[%-osuus 7]],0),0)</f>
        <v>968</v>
      </c>
      <c r="AE18" s="12">
        <f>IFERROR(Ohj.lask.[[#This Row],[Jaettava € 8]]/Ohj.lask.[[#Totals],[Jaettava € 8]],"")</f>
        <v>9.7716908016203538E-5</v>
      </c>
      <c r="AF1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207517</v>
      </c>
      <c r="AG18" s="102">
        <v>0</v>
      </c>
      <c r="AH18" s="102">
        <v>0</v>
      </c>
      <c r="AI18" s="102">
        <v>0</v>
      </c>
      <c r="AJ18" s="102">
        <v>0</v>
      </c>
      <c r="AK18" s="102">
        <v>0</v>
      </c>
      <c r="AL18" s="107">
        <v>0</v>
      </c>
      <c r="AM18" s="107">
        <v>0</v>
      </c>
      <c r="AN1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8" s="10">
        <f>Ohj.lask.[[#This Row],[Jaettava € 1]]+Ohj.lask.[[#This Row],[Harkinnanvarainen korotus 8, €]]</f>
        <v>128298</v>
      </c>
      <c r="AP18" s="102">
        <f>Ohj.lask.[[#This Row],[Jaettava € 2]]</f>
        <v>38256</v>
      </c>
      <c r="AQ18" s="10">
        <f>Ohj.lask.[[#This Row],[Jaettava € 3]]+Ohj.lask.[[#This Row],[Jaettava € 4]]+Ohj.lask.[[#This Row],[Jaettava € 5]]+Ohj.lask.[[#This Row],[Jaettava € 6]]+Ohj.lask.[[#This Row],[Jaettava € 7]]</f>
        <v>40963</v>
      </c>
      <c r="AR18" s="33">
        <f>Ohj.lask.[[#This Row],[Jaettava € 8]]+Ohj.lask.[[#This Row],[Harkinnanvarainen korotus 8, €]]</f>
        <v>207517</v>
      </c>
      <c r="AS18" s="33">
        <v>0</v>
      </c>
      <c r="AT18" s="16">
        <f>Ohj.lask.[[#This Row],[Perus-, suoritus- ja vaikuttavuusrahoitus yhteensä, €]]+Ohj.lask.[[#This Row],[Alv-korvaus, €]]</f>
        <v>207517</v>
      </c>
    </row>
    <row r="19" spans="1:46" ht="12.75" x14ac:dyDescent="0.2">
      <c r="A19" s="3" t="s">
        <v>317</v>
      </c>
      <c r="B19" s="7" t="s">
        <v>471</v>
      </c>
      <c r="C19" s="96" t="s">
        <v>173</v>
      </c>
      <c r="D19" s="96" t="s">
        <v>325</v>
      </c>
      <c r="E19" s="96" t="s">
        <v>373</v>
      </c>
      <c r="F19" s="104">
        <v>20</v>
      </c>
      <c r="G19" s="106">
        <f>Ohj.lask.[[#This Row],[Tavoitteelliset opiskelija-vuodet]]-Ohj.lask.[[#This Row],[Järjestämisluvan opisk.vuosien vähimmäismäärä]]</f>
        <v>0</v>
      </c>
      <c r="H19" s="32">
        <v>20</v>
      </c>
      <c r="I19" s="8">
        <f>IFERROR(VLOOKUP($A19,'2.1 Toteut. op.vuodet'!$A:$T,COLUMN('2.1 Toteut. op.vuodet'!S:S),FALSE),0)</f>
        <v>0.95000000000000207</v>
      </c>
      <c r="J19" s="74">
        <f t="shared" si="0"/>
        <v>19</v>
      </c>
      <c r="K19" s="9">
        <f>IFERROR(Ohj.lask.[[#This Row],[Painotetut opiskelija-vuodet]]/Ohj.lask.[[#Totals],[Painotetut opiskelija-vuodet]],0)</f>
        <v>8.7663527082031833E-5</v>
      </c>
      <c r="L19" s="10">
        <f>ROUND(IFERROR('1.1 Jakotaulu'!L$12*Ohj.lask.[[#This Row],[%-osuus 1]],0),0)</f>
        <v>129663</v>
      </c>
      <c r="M19" s="132">
        <f>IFERROR(ROUND(VLOOKUP($A19,'2.2 Tutk. ja osien pain. pist.'!$A:$Q,COLUMN('2.2 Tutk. ja osien pain. pist.'!O:O),FALSE),1),0)</f>
        <v>0</v>
      </c>
      <c r="N19" s="9">
        <f>IFERROR(Ohj.lask.[[#This Row],[Painotetut pisteet 2]]/Ohj.lask.[[#Totals],[Painotetut pisteet 2]],0)</f>
        <v>0</v>
      </c>
      <c r="O19" s="16">
        <f>ROUND(IFERROR('1.1 Jakotaulu'!K$13*Ohj.lask.[[#This Row],[%-osuus 2]],0),0)</f>
        <v>0</v>
      </c>
      <c r="P19" s="133">
        <f>IFERROR(ROUND(VLOOKUP($A19,'2.3 Työll. ja jatko-opisk.'!$A:$Z,COLUMN('2.3 Työll. ja jatko-opisk.'!L:L),FALSE),1),0)</f>
        <v>0</v>
      </c>
      <c r="Q19" s="13">
        <f>IFERROR(Ohj.lask.[[#This Row],[Painotetut pisteet 3]]/Ohj.lask.[[#Totals],[Painotetut pisteet 3]],0)</f>
        <v>0</v>
      </c>
      <c r="R19" s="10">
        <f>ROUND(IFERROR('1.1 Jakotaulu'!L$15*Ohj.lask.[[#This Row],[%-osuus 3]],0),0)</f>
        <v>0</v>
      </c>
      <c r="S19" s="132">
        <f>IFERROR(ROUND(VLOOKUP($A19,'2.4 Aloittaneet palaute'!$A:$I,COLUMN('2.4 Aloittaneet palaute'!H:H),FALSE),1),0)</f>
        <v>0</v>
      </c>
      <c r="T19" s="13">
        <f>IFERROR(Ohj.lask.[[#This Row],[Painotetut pisteet 4]]/Ohj.lask.[[#Totals],[Painotetut pisteet 4]],0)</f>
        <v>0</v>
      </c>
      <c r="U19" s="16">
        <f>ROUND(IFERROR('1.1 Jakotaulu'!M$17*Ohj.lask.[[#This Row],[%-osuus 4]],0),0)</f>
        <v>0</v>
      </c>
      <c r="V19" s="132">
        <f>IFERROR(ROUND(VLOOKUP($A19,'2.5 Päättäneet palaute'!$A:$Z,COLUMN('2.5 Päättäneet palaute'!X:X),FALSE),1),0)</f>
        <v>0</v>
      </c>
      <c r="W19" s="13">
        <f>IFERROR(Ohj.lask.[[#This Row],[Painotetut pisteet 5]]/Ohj.lask.[[#Totals],[Painotetut pisteet 5]],0)</f>
        <v>0</v>
      </c>
      <c r="X19" s="16">
        <f>ROUND(IFERROR('1.1 Jakotaulu'!M$18*Ohj.lask.[[#This Row],[%-osuus 5]],0),0)</f>
        <v>0</v>
      </c>
      <c r="Y19" s="132">
        <f>IFERROR(ROUND(VLOOKUP($A19,'2.6 Työpaikkaohjaajakysely'!B:J,COLUMN('2.6 Työpaikkaohjaajakysely'!H:H),FALSE),1),0)</f>
        <v>0</v>
      </c>
      <c r="Z19" s="9">
        <f>IFERROR(Ohj.lask.[[#This Row],[Painotetut pisteet 6]]/Ohj.lask.[[#Totals],[Painotetut pisteet 6]],0)</f>
        <v>0</v>
      </c>
      <c r="AA19" s="16">
        <f>ROUND(IFERROR('1.1 Jakotaulu'!M$20*Ohj.lask.[[#This Row],[%-osuus 6]],0),0)</f>
        <v>0</v>
      </c>
      <c r="AB19" s="132">
        <f>IFERROR(ROUND(VLOOKUP($A19,'2.7 Työpaikkakysely'!B:H,COLUMN('2.7 Työpaikkakysely'!F:F),FALSE),1),0)</f>
        <v>0</v>
      </c>
      <c r="AC19" s="9">
        <f>IFERROR(Ohj.lask.[[#This Row],[Pisteet 7]]/Ohj.lask.[[#Totals],[Pisteet 7]],0)</f>
        <v>0</v>
      </c>
      <c r="AD19" s="16">
        <f>ROUND(IFERROR('1.1 Jakotaulu'!M$21*Ohj.lask.[[#This Row],[%-osuus 7]],0),0)</f>
        <v>0</v>
      </c>
      <c r="AE19" s="12">
        <f>IFERROR(Ohj.lask.[[#This Row],[Jaettava € 8]]/Ohj.lask.[[#Totals],[Jaettava € 8]],"")</f>
        <v>6.1056527629567688E-5</v>
      </c>
      <c r="AF1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129663</v>
      </c>
      <c r="AG19" s="102">
        <v>1325000</v>
      </c>
      <c r="AH19" s="102">
        <v>0</v>
      </c>
      <c r="AI19" s="102">
        <v>0</v>
      </c>
      <c r="AJ19" s="102">
        <v>0</v>
      </c>
      <c r="AK19" s="102">
        <v>0</v>
      </c>
      <c r="AL19" s="107">
        <v>0</v>
      </c>
      <c r="AM19" s="107">
        <v>0</v>
      </c>
      <c r="AN1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1325000</v>
      </c>
      <c r="AO19" s="10">
        <f>Ohj.lask.[[#This Row],[Jaettava € 1]]+Ohj.lask.[[#This Row],[Harkinnanvarainen korotus 8, €]]</f>
        <v>1454663</v>
      </c>
      <c r="AP19" s="102">
        <f>Ohj.lask.[[#This Row],[Jaettava € 2]]</f>
        <v>0</v>
      </c>
      <c r="AQ19" s="10">
        <f>Ohj.lask.[[#This Row],[Jaettava € 3]]+Ohj.lask.[[#This Row],[Jaettava € 4]]+Ohj.lask.[[#This Row],[Jaettava € 5]]+Ohj.lask.[[#This Row],[Jaettava € 6]]+Ohj.lask.[[#This Row],[Jaettava € 7]]</f>
        <v>0</v>
      </c>
      <c r="AR19" s="33">
        <f>Ohj.lask.[[#This Row],[Jaettava € 8]]+Ohj.lask.[[#This Row],[Harkinnanvarainen korotus 8, €]]</f>
        <v>1454663</v>
      </c>
      <c r="AS19" s="33">
        <v>42884</v>
      </c>
      <c r="AT19" s="16">
        <f>Ohj.lask.[[#This Row],[Perus-, suoritus- ja vaikuttavuusrahoitus yhteensä, €]]+Ohj.lask.[[#This Row],[Alv-korvaus, €]]</f>
        <v>1497547</v>
      </c>
    </row>
    <row r="20" spans="1:46" ht="12.75" x14ac:dyDescent="0.2">
      <c r="A20" s="3" t="s">
        <v>308</v>
      </c>
      <c r="B20" s="7" t="s">
        <v>25</v>
      </c>
      <c r="C20" s="7" t="s">
        <v>173</v>
      </c>
      <c r="D20" s="7" t="s">
        <v>325</v>
      </c>
      <c r="E20" s="7" t="s">
        <v>374</v>
      </c>
      <c r="F20" s="105">
        <v>106</v>
      </c>
      <c r="G20" s="106">
        <f>Ohj.lask.[[#This Row],[Tavoitteelliset opiskelija-vuodet]]-Ohj.lask.[[#This Row],[Järjestämisluvan opisk.vuosien vähimmäismäärä]]</f>
        <v>1</v>
      </c>
      <c r="H20" s="32">
        <v>107</v>
      </c>
      <c r="I20" s="8">
        <f>IFERROR(VLOOKUP($A20,'2.1 Toteut. op.vuodet'!$A:$T,COLUMN('2.1 Toteut. op.vuodet'!S:S),FALSE),0)</f>
        <v>1.6481001221586118</v>
      </c>
      <c r="J20" s="74">
        <f t="shared" si="0"/>
        <v>176.3</v>
      </c>
      <c r="K20" s="9">
        <f>IFERROR(Ohj.lask.[[#This Row],[Painotetut opiskelija-vuodet]]/Ohj.lask.[[#Totals],[Painotetut opiskelija-vuodet]],0)</f>
        <v>8.1342525392432698E-4</v>
      </c>
      <c r="L20" s="10">
        <f>ROUND(IFERROR('1.1 Jakotaulu'!L$12*Ohj.lask.[[#This Row],[%-osuus 1]],0),0)</f>
        <v>1203134</v>
      </c>
      <c r="M20" s="132">
        <f>IFERROR(ROUND(VLOOKUP($A20,'2.2 Tutk. ja osien pain. pist.'!$A:$Q,COLUMN('2.2 Tutk. ja osien pain. pist.'!O:O),FALSE),1),0)</f>
        <v>13402.5</v>
      </c>
      <c r="N20" s="9">
        <f>IFERROR(Ohj.lask.[[#This Row],[Painotetut pisteet 2]]/Ohj.lask.[[#Totals],[Painotetut pisteet 2]],0)</f>
        <v>8.749061789193811E-4</v>
      </c>
      <c r="O20" s="16">
        <f>ROUND(IFERROR('1.1 Jakotaulu'!K$13*Ohj.lask.[[#This Row],[%-osuus 2]],0),0)</f>
        <v>375952</v>
      </c>
      <c r="P20" s="133">
        <f>IFERROR(ROUND(VLOOKUP($A20,'2.3 Työll. ja jatko-opisk.'!$A:$Z,COLUMN('2.3 Työll. ja jatko-opisk.'!L:L),FALSE),1),0)</f>
        <v>213</v>
      </c>
      <c r="Q20" s="9">
        <f>IFERROR(Ohj.lask.[[#This Row],[Painotetut pisteet 3]]/Ohj.lask.[[#Totals],[Painotetut pisteet 3]],0)</f>
        <v>6.8152148872449873E-4</v>
      </c>
      <c r="R20" s="10">
        <f>ROUND(IFERROR('1.1 Jakotaulu'!L$15*Ohj.lask.[[#This Row],[%-osuus 3]],0),0)</f>
        <v>102499</v>
      </c>
      <c r="S20" s="132">
        <f>IFERROR(ROUND(VLOOKUP($A20,'2.4 Aloittaneet palaute'!$A:$I,COLUMN('2.4 Aloittaneet palaute'!H:H),FALSE),1),0)</f>
        <v>957.6</v>
      </c>
      <c r="T20" s="13">
        <f>IFERROR(Ohj.lask.[[#This Row],[Painotetut pisteet 4]]/Ohj.lask.[[#Totals],[Painotetut pisteet 4]],0)</f>
        <v>5.744812615982853E-4</v>
      </c>
      <c r="U20" s="16">
        <f>ROUND(IFERROR('1.1 Jakotaulu'!M$17*Ohj.lask.[[#This Row],[%-osuus 4]],0),0)</f>
        <v>4629</v>
      </c>
      <c r="V20" s="132">
        <f>IFERROR(ROUND(VLOOKUP($A20,'2.5 Päättäneet palaute'!$A:$Z,COLUMN('2.5 Päättäneet palaute'!X:X),FALSE),1),0)</f>
        <v>7023.8</v>
      </c>
      <c r="W20" s="13">
        <f>IFERROR(Ohj.lask.[[#This Row],[Painotetut pisteet 5]]/Ohj.lask.[[#Totals],[Painotetut pisteet 5]],0)</f>
        <v>6.867608805444283E-4</v>
      </c>
      <c r="X20" s="16">
        <f>ROUND(IFERROR('1.1 Jakotaulu'!M$18*Ohj.lask.[[#This Row],[%-osuus 5]],0),0)</f>
        <v>16600</v>
      </c>
      <c r="Y20" s="132">
        <f>IFERROR(ROUND(VLOOKUP($A20,'2.6 Työpaikkaohjaajakysely'!B:J,COLUMN('2.6 Työpaikkaohjaajakysely'!H:H),FALSE),1),0)</f>
        <v>69706.399999999994</v>
      </c>
      <c r="Z20" s="9">
        <f>IFERROR(Ohj.lask.[[#This Row],[Painotetut pisteet 6]]/Ohj.lask.[[#Totals],[Painotetut pisteet 6]],0)</f>
        <v>2.0537704047206284E-4</v>
      </c>
      <c r="AA20" s="16">
        <f>ROUND(IFERROR('1.1 Jakotaulu'!M$20*Ohj.lask.[[#This Row],[%-osuus 6]],0),0)</f>
        <v>4964</v>
      </c>
      <c r="AB20" s="132">
        <f>IFERROR(ROUND(VLOOKUP($A20,'2.7 Työpaikkakysely'!B:H,COLUMN('2.7 Työpaikkakysely'!F:F),FALSE),1),0)</f>
        <v>20181</v>
      </c>
      <c r="AC20" s="9">
        <f>IFERROR(Ohj.lask.[[#This Row],[Pisteet 7]]/Ohj.lask.[[#Totals],[Pisteet 7]],0)</f>
        <v>1.0936607251540389E-4</v>
      </c>
      <c r="AD20" s="16">
        <f>ROUND(IFERROR('1.1 Jakotaulu'!M$21*Ohj.lask.[[#This Row],[%-osuus 7]],0),0)</f>
        <v>881</v>
      </c>
      <c r="AE20" s="12">
        <f>IFERROR(Ohj.lask.[[#This Row],[Jaettava € 8]]/Ohj.lask.[[#Totals],[Jaettava € 8]],"")</f>
        <v>8.0458407905886417E-4</v>
      </c>
      <c r="AF2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1708659</v>
      </c>
      <c r="AG20" s="102">
        <v>0</v>
      </c>
      <c r="AH20" s="102">
        <v>0</v>
      </c>
      <c r="AI20" s="102">
        <v>0</v>
      </c>
      <c r="AJ20" s="102">
        <v>0</v>
      </c>
      <c r="AK20" s="102">
        <v>0</v>
      </c>
      <c r="AL20" s="107">
        <v>0</v>
      </c>
      <c r="AM20" s="107">
        <v>0</v>
      </c>
      <c r="AN2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20" s="10">
        <f>Ohj.lask.[[#This Row],[Jaettava € 1]]+Ohj.lask.[[#This Row],[Harkinnanvarainen korotus 8, €]]</f>
        <v>1203134</v>
      </c>
      <c r="AP20" s="102">
        <f>Ohj.lask.[[#This Row],[Jaettava € 2]]</f>
        <v>375952</v>
      </c>
      <c r="AQ20" s="10">
        <f>Ohj.lask.[[#This Row],[Jaettava € 3]]+Ohj.lask.[[#This Row],[Jaettava € 4]]+Ohj.lask.[[#This Row],[Jaettava € 5]]+Ohj.lask.[[#This Row],[Jaettava € 6]]+Ohj.lask.[[#This Row],[Jaettava € 7]]</f>
        <v>129573</v>
      </c>
      <c r="AR20" s="33">
        <f>Ohj.lask.[[#This Row],[Jaettava € 8]]+Ohj.lask.[[#This Row],[Harkinnanvarainen korotus 8, €]]</f>
        <v>1708659</v>
      </c>
      <c r="AS20" s="33">
        <v>304080</v>
      </c>
      <c r="AT20" s="16">
        <f>Ohj.lask.[[#This Row],[Perus-, suoritus- ja vaikuttavuusrahoitus yhteensä, €]]+Ohj.lask.[[#This Row],[Alv-korvaus, €]]</f>
        <v>2012739</v>
      </c>
    </row>
    <row r="21" spans="1:46" ht="12.75" x14ac:dyDescent="0.2">
      <c r="A21" s="3" t="s">
        <v>307</v>
      </c>
      <c r="B21" s="7" t="s">
        <v>381</v>
      </c>
      <c r="C21" s="7" t="s">
        <v>179</v>
      </c>
      <c r="D21" s="7" t="s">
        <v>325</v>
      </c>
      <c r="E21" s="7" t="s">
        <v>374</v>
      </c>
      <c r="F21" s="105">
        <v>19</v>
      </c>
      <c r="G21" s="106">
        <f>Ohj.lask.[[#This Row],[Tavoitteelliset opiskelija-vuodet]]-Ohj.lask.[[#This Row],[Järjestämisluvan opisk.vuosien vähimmäismäärä]]</f>
        <v>1</v>
      </c>
      <c r="H21" s="32">
        <v>20</v>
      </c>
      <c r="I21" s="8">
        <f>IFERROR(VLOOKUP($A21,'2.1 Toteut. op.vuodet'!$A:$T,COLUMN('2.1 Toteut. op.vuodet'!S:S),FALSE),0)</f>
        <v>1.715204177354392</v>
      </c>
      <c r="J21" s="74">
        <f t="shared" si="0"/>
        <v>34.299999999999997</v>
      </c>
      <c r="K21" s="9">
        <f>IFERROR(Ohj.lask.[[#This Row],[Painotetut opiskelija-vuodet]]/Ohj.lask.[[#Totals],[Painotetut opiskelija-vuodet]],0)</f>
        <v>1.5825573573229954E-4</v>
      </c>
      <c r="L21" s="10">
        <f>ROUND(IFERROR('1.1 Jakotaulu'!L$12*Ohj.lask.[[#This Row],[%-osuus 1]],0),0)</f>
        <v>234075</v>
      </c>
      <c r="M21" s="132">
        <f>IFERROR(ROUND(VLOOKUP($A21,'2.2 Tutk. ja osien pain. pist.'!$A:$Q,COLUMN('2.2 Tutk. ja osien pain. pist.'!O:O),FALSE),1),0)</f>
        <v>713.4</v>
      </c>
      <c r="N21" s="9">
        <f>IFERROR(Ohj.lask.[[#This Row],[Painotetut pisteet 2]]/Ohj.lask.[[#Totals],[Painotetut pisteet 2]],0)</f>
        <v>4.6570271818025475E-5</v>
      </c>
      <c r="O21" s="16">
        <f>ROUND(IFERROR('1.1 Jakotaulu'!K$13*Ohj.lask.[[#This Row],[%-osuus 2]],0),0)</f>
        <v>20012</v>
      </c>
      <c r="P21" s="133">
        <f>IFERROR(ROUND(VLOOKUP($A21,'2.3 Työll. ja jatko-opisk.'!$A:$Z,COLUMN('2.3 Työll. ja jatko-opisk.'!L:L),FALSE),1),0)</f>
        <v>15.3</v>
      </c>
      <c r="Q21" s="9">
        <f>IFERROR(Ohj.lask.[[#This Row],[Painotetut pisteet 3]]/Ohj.lask.[[#Totals],[Painotetut pisteet 3]],0)</f>
        <v>4.8954360457675263E-5</v>
      </c>
      <c r="R21" s="10">
        <f>ROUND(IFERROR('1.1 Jakotaulu'!L$15*Ohj.lask.[[#This Row],[%-osuus 3]],0),0)</f>
        <v>7363</v>
      </c>
      <c r="S21" s="132">
        <f>IFERROR(ROUND(VLOOKUP($A21,'2.4 Aloittaneet palaute'!$A:$I,COLUMN('2.4 Aloittaneet palaute'!H:H),FALSE),1),0)</f>
        <v>0</v>
      </c>
      <c r="T21" s="13">
        <f>IFERROR(Ohj.lask.[[#This Row],[Painotetut pisteet 4]]/Ohj.lask.[[#Totals],[Painotetut pisteet 4]],0)</f>
        <v>0</v>
      </c>
      <c r="U21" s="16">
        <f>ROUND(IFERROR('1.1 Jakotaulu'!M$17*Ohj.lask.[[#This Row],[%-osuus 4]],0),0)</f>
        <v>0</v>
      </c>
      <c r="V21" s="132">
        <f>IFERROR(ROUND(VLOOKUP($A21,'2.5 Päättäneet palaute'!$A:$Z,COLUMN('2.5 Päättäneet palaute'!X:X),FALSE),1),0)</f>
        <v>0</v>
      </c>
      <c r="W21" s="13">
        <f>IFERROR(Ohj.lask.[[#This Row],[Painotetut pisteet 5]]/Ohj.lask.[[#Totals],[Painotetut pisteet 5]],0)</f>
        <v>0</v>
      </c>
      <c r="X21" s="16">
        <f>ROUND(IFERROR('1.1 Jakotaulu'!M$18*Ohj.lask.[[#This Row],[%-osuus 5]],0),0)</f>
        <v>0</v>
      </c>
      <c r="Y21" s="132">
        <f>IFERROR(ROUND(VLOOKUP($A21,'2.6 Työpaikkaohjaajakysely'!B:J,COLUMN('2.6 Työpaikkaohjaajakysely'!H:H),FALSE),1),0)</f>
        <v>0</v>
      </c>
      <c r="Z21" s="9">
        <f>IFERROR(Ohj.lask.[[#This Row],[Painotetut pisteet 6]]/Ohj.lask.[[#Totals],[Painotetut pisteet 6]],0)</f>
        <v>0</v>
      </c>
      <c r="AA21" s="16">
        <f>ROUND(IFERROR('1.1 Jakotaulu'!M$20*Ohj.lask.[[#This Row],[%-osuus 6]],0),0)</f>
        <v>0</v>
      </c>
      <c r="AB21" s="132">
        <f>IFERROR(ROUND(VLOOKUP($A21,'2.7 Työpaikkakysely'!B:H,COLUMN('2.7 Työpaikkakysely'!F:F),FALSE),1),0)</f>
        <v>0</v>
      </c>
      <c r="AC21" s="9">
        <f>IFERROR(Ohj.lask.[[#This Row],[Pisteet 7]]/Ohj.lask.[[#Totals],[Pisteet 7]],0)</f>
        <v>0</v>
      </c>
      <c r="AD21" s="16">
        <f>ROUND(IFERROR('1.1 Jakotaulu'!M$21*Ohj.lask.[[#This Row],[%-osuus 7]],0),0)</f>
        <v>0</v>
      </c>
      <c r="AE21" s="12">
        <f>IFERROR(Ohj.lask.[[#This Row],[Jaettava € 8]]/Ohj.lask.[[#Totals],[Jaettava € 8]],"")</f>
        <v>1.231132177163144E-4</v>
      </c>
      <c r="AF2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261450</v>
      </c>
      <c r="AG21" s="102">
        <v>0</v>
      </c>
      <c r="AH21" s="102">
        <v>0</v>
      </c>
      <c r="AI21" s="102">
        <v>0</v>
      </c>
      <c r="AJ21" s="102">
        <v>0</v>
      </c>
      <c r="AK21" s="102">
        <v>0</v>
      </c>
      <c r="AL21" s="107">
        <v>0</v>
      </c>
      <c r="AM21" s="107">
        <v>0</v>
      </c>
      <c r="AN2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21" s="10">
        <f>Ohj.lask.[[#This Row],[Jaettava € 1]]+Ohj.lask.[[#This Row],[Harkinnanvarainen korotus 8, €]]</f>
        <v>234075</v>
      </c>
      <c r="AP21" s="102">
        <f>Ohj.lask.[[#This Row],[Jaettava € 2]]</f>
        <v>20012</v>
      </c>
      <c r="AQ21" s="10">
        <f>Ohj.lask.[[#This Row],[Jaettava € 3]]+Ohj.lask.[[#This Row],[Jaettava € 4]]+Ohj.lask.[[#This Row],[Jaettava € 5]]+Ohj.lask.[[#This Row],[Jaettava € 6]]+Ohj.lask.[[#This Row],[Jaettava € 7]]</f>
        <v>7363</v>
      </c>
      <c r="AR21" s="33">
        <f>Ohj.lask.[[#This Row],[Jaettava € 8]]+Ohj.lask.[[#This Row],[Harkinnanvarainen korotus 8, €]]</f>
        <v>261450</v>
      </c>
      <c r="AS21" s="33">
        <v>0</v>
      </c>
      <c r="AT21" s="16">
        <f>Ohj.lask.[[#This Row],[Perus-, suoritus- ja vaikuttavuusrahoitus yhteensä, €]]+Ohj.lask.[[#This Row],[Alv-korvaus, €]]</f>
        <v>261450</v>
      </c>
    </row>
    <row r="22" spans="1:46" ht="12.75" x14ac:dyDescent="0.2">
      <c r="A22" s="3" t="s">
        <v>306</v>
      </c>
      <c r="B22" s="7" t="s">
        <v>128</v>
      </c>
      <c r="C22" s="7" t="s">
        <v>182</v>
      </c>
      <c r="D22" s="7" t="s">
        <v>325</v>
      </c>
      <c r="E22" s="7" t="s">
        <v>373</v>
      </c>
      <c r="F22" s="105">
        <v>29</v>
      </c>
      <c r="G22" s="106">
        <f>Ohj.lask.[[#This Row],[Tavoitteelliset opiskelija-vuodet]]-Ohj.lask.[[#This Row],[Järjestämisluvan opisk.vuosien vähimmäismäärä]]</f>
        <v>0</v>
      </c>
      <c r="H22" s="32">
        <v>29</v>
      </c>
      <c r="I22" s="8">
        <f>IFERROR(VLOOKUP($A22,'2.1 Toteut. op.vuodet'!$A:$T,COLUMN('2.1 Toteut. op.vuodet'!S:S),FALSE),0)</f>
        <v>0.74527666193464259</v>
      </c>
      <c r="J22" s="74">
        <f t="shared" si="0"/>
        <v>21.6</v>
      </c>
      <c r="K22" s="9">
        <f>IFERROR(Ohj.lask.[[#This Row],[Painotetut opiskelija-vuodet]]/Ohj.lask.[[#Totals],[Painotetut opiskelija-vuodet]],0)</f>
        <v>9.9659588682730928E-5</v>
      </c>
      <c r="L22" s="10">
        <f>ROUND(IFERROR('1.1 Jakotaulu'!L$12*Ohj.lask.[[#This Row],[%-osuus 1]],0),0)</f>
        <v>147406</v>
      </c>
      <c r="M22" s="132">
        <f>IFERROR(ROUND(VLOOKUP($A22,'2.2 Tutk. ja osien pain. pist.'!$A:$Q,COLUMN('2.2 Tutk. ja osien pain. pist.'!O:O),FALSE),1),0)</f>
        <v>3935.5</v>
      </c>
      <c r="N22" s="9">
        <f>IFERROR(Ohj.lask.[[#This Row],[Painotetut pisteet 2]]/Ohj.lask.[[#Totals],[Painotetut pisteet 2]],0)</f>
        <v>2.5690679105668527E-4</v>
      </c>
      <c r="O22" s="16">
        <f>ROUND(IFERROR('1.1 Jakotaulu'!K$13*Ohj.lask.[[#This Row],[%-osuus 2]],0),0)</f>
        <v>110394</v>
      </c>
      <c r="P22" s="133">
        <f>IFERROR(ROUND(VLOOKUP($A22,'2.3 Työll. ja jatko-opisk.'!$A:$Z,COLUMN('2.3 Työll. ja jatko-opisk.'!L:L),FALSE),1),0)</f>
        <v>195.5</v>
      </c>
      <c r="Q22" s="9">
        <f>IFERROR(Ohj.lask.[[#This Row],[Painotetut pisteet 3]]/Ohj.lask.[[#Totals],[Painotetut pisteet 3]],0)</f>
        <v>6.2552793918140611E-4</v>
      </c>
      <c r="R22" s="10">
        <f>ROUND(IFERROR('1.1 Jakotaulu'!L$15*Ohj.lask.[[#This Row],[%-osuus 3]],0),0)</f>
        <v>94078</v>
      </c>
      <c r="S22" s="132">
        <f>IFERROR(ROUND(VLOOKUP($A22,'2.4 Aloittaneet palaute'!$A:$I,COLUMN('2.4 Aloittaneet palaute'!H:H),FALSE),1),0)</f>
        <v>751.5</v>
      </c>
      <c r="T22" s="13">
        <f>IFERROR(Ohj.lask.[[#This Row],[Painotetut pisteet 4]]/Ohj.lask.[[#Totals],[Painotetut pisteet 4]],0)</f>
        <v>4.5083820811519571E-4</v>
      </c>
      <c r="U22" s="16">
        <f>ROUND(IFERROR('1.1 Jakotaulu'!M$17*Ohj.lask.[[#This Row],[%-osuus 4]],0),0)</f>
        <v>3632</v>
      </c>
      <c r="V22" s="132">
        <f>IFERROR(ROUND(VLOOKUP($A22,'2.5 Päättäneet palaute'!$A:$Z,COLUMN('2.5 Päättäneet palaute'!X:X),FALSE),1),0)</f>
        <v>10039.6</v>
      </c>
      <c r="W22" s="13">
        <f>IFERROR(Ohj.lask.[[#This Row],[Painotetut pisteet 5]]/Ohj.lask.[[#Totals],[Painotetut pisteet 5]],0)</f>
        <v>9.8163451925081043E-4</v>
      </c>
      <c r="X22" s="16">
        <f>ROUND(IFERROR('1.1 Jakotaulu'!M$18*Ohj.lask.[[#This Row],[%-osuus 5]],0),0)</f>
        <v>23727</v>
      </c>
      <c r="Y22" s="132">
        <f>IFERROR(ROUND(VLOOKUP($A22,'2.6 Työpaikkaohjaajakysely'!B:J,COLUMN('2.6 Työpaikkaohjaajakysely'!H:H),FALSE),1),0)</f>
        <v>9240</v>
      </c>
      <c r="Z22" s="9">
        <f>IFERROR(Ohj.lask.[[#This Row],[Painotetut pisteet 6]]/Ohj.lask.[[#Totals],[Painotetut pisteet 6]],0)</f>
        <v>2.7223954385276832E-5</v>
      </c>
      <c r="AA22" s="16">
        <f>ROUND(IFERROR('1.1 Jakotaulu'!M$20*Ohj.lask.[[#This Row],[%-osuus 6]],0),0)</f>
        <v>658</v>
      </c>
      <c r="AB22" s="132">
        <f>IFERROR(ROUND(VLOOKUP($A22,'2.7 Työpaikkakysely'!B:H,COLUMN('2.7 Työpaikkakysely'!F:F),FALSE),1),0)</f>
        <v>10395</v>
      </c>
      <c r="AC22" s="9">
        <f>IFERROR(Ohj.lask.[[#This Row],[Pisteet 7]]/Ohj.lask.[[#Totals],[Pisteet 7]],0)</f>
        <v>5.6333200723334991E-5</v>
      </c>
      <c r="AD22" s="16">
        <f>ROUND(IFERROR('1.1 Jakotaulu'!M$21*Ohj.lask.[[#This Row],[%-osuus 7]],0),0)</f>
        <v>454</v>
      </c>
      <c r="AE22" s="12">
        <f>IFERROR(Ohj.lask.[[#This Row],[Jaettava € 8]]/Ohj.lask.[[#Totals],[Jaettava € 8]],"")</f>
        <v>1.7910112543577153E-4</v>
      </c>
      <c r="AF2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380349</v>
      </c>
      <c r="AG22" s="102">
        <v>0</v>
      </c>
      <c r="AH22" s="102">
        <v>0</v>
      </c>
      <c r="AI22" s="102">
        <v>0</v>
      </c>
      <c r="AJ22" s="102">
        <v>0</v>
      </c>
      <c r="AK22" s="102">
        <v>0</v>
      </c>
      <c r="AL22" s="107">
        <v>0</v>
      </c>
      <c r="AM22" s="107">
        <v>0</v>
      </c>
      <c r="AN2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22" s="10">
        <f>Ohj.lask.[[#This Row],[Jaettava € 1]]+Ohj.lask.[[#This Row],[Harkinnanvarainen korotus 8, €]]</f>
        <v>147406</v>
      </c>
      <c r="AP22" s="102">
        <f>Ohj.lask.[[#This Row],[Jaettava € 2]]</f>
        <v>110394</v>
      </c>
      <c r="AQ22" s="10">
        <f>Ohj.lask.[[#This Row],[Jaettava € 3]]+Ohj.lask.[[#This Row],[Jaettava € 4]]+Ohj.lask.[[#This Row],[Jaettava € 5]]+Ohj.lask.[[#This Row],[Jaettava € 6]]+Ohj.lask.[[#This Row],[Jaettava € 7]]</f>
        <v>122549</v>
      </c>
      <c r="AR22" s="33">
        <f>Ohj.lask.[[#This Row],[Jaettava € 8]]+Ohj.lask.[[#This Row],[Harkinnanvarainen korotus 8, €]]</f>
        <v>380349</v>
      </c>
      <c r="AS22" s="33">
        <v>12166</v>
      </c>
      <c r="AT22" s="16">
        <f>Ohj.lask.[[#This Row],[Perus-, suoritus- ja vaikuttavuusrahoitus yhteensä, €]]+Ohj.lask.[[#This Row],[Alv-korvaus, €]]</f>
        <v>392515</v>
      </c>
    </row>
    <row r="23" spans="1:46" ht="12.75" x14ac:dyDescent="0.2">
      <c r="A23" s="3" t="s">
        <v>305</v>
      </c>
      <c r="B23" s="7" t="s">
        <v>26</v>
      </c>
      <c r="C23" s="7" t="s">
        <v>180</v>
      </c>
      <c r="D23" s="7" t="s">
        <v>325</v>
      </c>
      <c r="E23" s="7" t="s">
        <v>373</v>
      </c>
      <c r="F23" s="105">
        <v>120</v>
      </c>
      <c r="G23" s="106">
        <f>Ohj.lask.[[#This Row],[Tavoitteelliset opiskelija-vuodet]]-Ohj.lask.[[#This Row],[Järjestämisluvan opisk.vuosien vähimmäismäärä]]</f>
        <v>16</v>
      </c>
      <c r="H23" s="32">
        <v>136</v>
      </c>
      <c r="I23" s="8">
        <f>IFERROR(VLOOKUP($A23,'2.1 Toteut. op.vuodet'!$A:$T,COLUMN('2.1 Toteut. op.vuodet'!S:S),FALSE),0)</f>
        <v>1.0235978753973971</v>
      </c>
      <c r="J23" s="74">
        <f t="shared" si="0"/>
        <v>139.19999999999999</v>
      </c>
      <c r="K23" s="9">
        <f>IFERROR(Ohj.lask.[[#This Row],[Painotetut opiskelija-vuodet]]/Ohj.lask.[[#Totals],[Painotetut opiskelija-vuodet]],0)</f>
        <v>6.4225068262204366E-4</v>
      </c>
      <c r="L23" s="10">
        <f>ROUND(IFERROR('1.1 Jakotaulu'!L$12*Ohj.lask.[[#This Row],[%-osuus 1]],0),0)</f>
        <v>949950</v>
      </c>
      <c r="M23" s="132">
        <f>IFERROR(ROUND(VLOOKUP($A23,'2.2 Tutk. ja osien pain. pist.'!$A:$Q,COLUMN('2.2 Tutk. ja osien pain. pist.'!O:O),FALSE),1),0)</f>
        <v>11928.7</v>
      </c>
      <c r="N23" s="9">
        <f>IFERROR(Ohj.lask.[[#This Row],[Painotetut pisteet 2]]/Ohj.lask.[[#Totals],[Painotetut pisteet 2]],0)</f>
        <v>7.7869750691853174E-4</v>
      </c>
      <c r="O23" s="16">
        <f>ROUND(IFERROR('1.1 Jakotaulu'!K$13*Ohj.lask.[[#This Row],[%-osuus 2]],0),0)</f>
        <v>334611</v>
      </c>
      <c r="P23" s="133">
        <f>IFERROR(ROUND(VLOOKUP($A23,'2.3 Työll. ja jatko-opisk.'!$A:$Z,COLUMN('2.3 Työll. ja jatko-opisk.'!L:L),FALSE),1),0)</f>
        <v>221</v>
      </c>
      <c r="Q23" s="9">
        <f>IFERROR(Ohj.lask.[[#This Row],[Painotetut pisteet 3]]/Ohj.lask.[[#Totals],[Painotetut pisteet 3]],0)</f>
        <v>7.0711853994419815E-4</v>
      </c>
      <c r="R23" s="10">
        <f>ROUND(IFERROR('1.1 Jakotaulu'!L$15*Ohj.lask.[[#This Row],[%-osuus 3]],0),0)</f>
        <v>106349</v>
      </c>
      <c r="S23" s="132">
        <f>IFERROR(ROUND(VLOOKUP($A23,'2.4 Aloittaneet palaute'!$A:$I,COLUMN('2.4 Aloittaneet palaute'!H:H),FALSE),1),0)</f>
        <v>1516.7</v>
      </c>
      <c r="T23" s="13">
        <f>IFERROR(Ohj.lask.[[#This Row],[Painotetut pisteet 4]]/Ohj.lask.[[#Totals],[Painotetut pisteet 4]],0)</f>
        <v>9.0989528975158663E-4</v>
      </c>
      <c r="U23" s="16">
        <f>ROUND(IFERROR('1.1 Jakotaulu'!M$17*Ohj.lask.[[#This Row],[%-osuus 4]],0),0)</f>
        <v>7331</v>
      </c>
      <c r="V23" s="132">
        <f>IFERROR(ROUND(VLOOKUP($A23,'2.5 Päättäneet palaute'!$A:$Z,COLUMN('2.5 Päättäneet palaute'!X:X),FALSE),1),0)</f>
        <v>10876.4</v>
      </c>
      <c r="W23" s="13">
        <f>IFERROR(Ohj.lask.[[#This Row],[Painotetut pisteet 5]]/Ohj.lask.[[#Totals],[Painotetut pisteet 5]],0)</f>
        <v>1.0634536918980352E-3</v>
      </c>
      <c r="X23" s="16">
        <f>ROUND(IFERROR('1.1 Jakotaulu'!M$18*Ohj.lask.[[#This Row],[%-osuus 5]],0),0)</f>
        <v>25705</v>
      </c>
      <c r="Y23" s="132">
        <f>IFERROR(ROUND(VLOOKUP($A23,'2.6 Työpaikkaohjaajakysely'!B:J,COLUMN('2.6 Työpaikkaohjaajakysely'!H:H),FALSE),1),0)</f>
        <v>560929.69999999995</v>
      </c>
      <c r="Z23" s="9">
        <f>IFERROR(Ohj.lask.[[#This Row],[Painotetut pisteet 6]]/Ohj.lask.[[#Totals],[Painotetut pisteet 6]],0)</f>
        <v>1.6526758188470797E-3</v>
      </c>
      <c r="AA23" s="16">
        <f>ROUND(IFERROR('1.1 Jakotaulu'!M$20*Ohj.lask.[[#This Row],[%-osuus 6]],0),0)</f>
        <v>39947</v>
      </c>
      <c r="AB23" s="132">
        <f>IFERROR(ROUND(VLOOKUP($A23,'2.7 Työpaikkakysely'!B:H,COLUMN('2.7 Työpaikkakysely'!F:F),FALSE),1),0)</f>
        <v>263799</v>
      </c>
      <c r="AC23" s="9">
        <f>IFERROR(Ohj.lask.[[#This Row],[Pisteet 7]]/Ohj.lask.[[#Totals],[Pisteet 7]],0)</f>
        <v>1.4295951916897592E-3</v>
      </c>
      <c r="AD23" s="16">
        <f>ROUND(IFERROR('1.1 Jakotaulu'!M$21*Ohj.lask.[[#This Row],[%-osuus 7]],0),0)</f>
        <v>11518</v>
      </c>
      <c r="AE23" s="12">
        <f>IFERROR(Ohj.lask.[[#This Row],[Jaettava € 8]]/Ohj.lask.[[#Totals],[Jaettava € 8]],"")</f>
        <v>6.9475079619064884E-4</v>
      </c>
      <c r="AF2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1475411</v>
      </c>
      <c r="AG23" s="102">
        <v>0</v>
      </c>
      <c r="AH23" s="102">
        <v>0</v>
      </c>
      <c r="AI23" s="102">
        <v>0</v>
      </c>
      <c r="AJ23" s="102">
        <v>0</v>
      </c>
      <c r="AK23" s="102">
        <v>5000</v>
      </c>
      <c r="AL23" s="107">
        <v>0</v>
      </c>
      <c r="AM23" s="107">
        <v>0</v>
      </c>
      <c r="AN2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5000</v>
      </c>
      <c r="AO23" s="10">
        <f>Ohj.lask.[[#This Row],[Jaettava € 1]]+Ohj.lask.[[#This Row],[Harkinnanvarainen korotus 8, €]]</f>
        <v>954950</v>
      </c>
      <c r="AP23" s="102">
        <f>Ohj.lask.[[#This Row],[Jaettava € 2]]</f>
        <v>334611</v>
      </c>
      <c r="AQ23" s="10">
        <f>Ohj.lask.[[#This Row],[Jaettava € 3]]+Ohj.lask.[[#This Row],[Jaettava € 4]]+Ohj.lask.[[#This Row],[Jaettava € 5]]+Ohj.lask.[[#This Row],[Jaettava € 6]]+Ohj.lask.[[#This Row],[Jaettava € 7]]</f>
        <v>190850</v>
      </c>
      <c r="AR23" s="33">
        <f>Ohj.lask.[[#This Row],[Jaettava € 8]]+Ohj.lask.[[#This Row],[Harkinnanvarainen korotus 8, €]]</f>
        <v>1480411</v>
      </c>
      <c r="AS23" s="33">
        <v>67439</v>
      </c>
      <c r="AT23" s="16">
        <f>Ohj.lask.[[#This Row],[Perus-, suoritus- ja vaikuttavuusrahoitus yhteensä, €]]+Ohj.lask.[[#This Row],[Alv-korvaus, €]]</f>
        <v>1547850</v>
      </c>
    </row>
    <row r="24" spans="1:46" ht="12.75" x14ac:dyDescent="0.2">
      <c r="A24" s="3" t="s">
        <v>304</v>
      </c>
      <c r="B24" s="7" t="s">
        <v>27</v>
      </c>
      <c r="C24" s="96" t="s">
        <v>187</v>
      </c>
      <c r="D24" s="96" t="s">
        <v>325</v>
      </c>
      <c r="E24" s="96" t="s">
        <v>373</v>
      </c>
      <c r="F24" s="104">
        <v>183</v>
      </c>
      <c r="G24" s="106">
        <f>Ohj.lask.[[#This Row],[Tavoitteelliset opiskelija-vuodet]]-Ohj.lask.[[#This Row],[Järjestämisluvan opisk.vuosien vähimmäismäärä]]</f>
        <v>9</v>
      </c>
      <c r="H24" s="32">
        <v>192</v>
      </c>
      <c r="I24" s="8">
        <f>IFERROR(VLOOKUP($A24,'2.1 Toteut. op.vuodet'!$A:$T,COLUMN('2.1 Toteut. op.vuodet'!S:S),FALSE),0)</f>
        <v>1.63805913163491</v>
      </c>
      <c r="J24" s="74">
        <f t="shared" si="0"/>
        <v>314.5</v>
      </c>
      <c r="K24" s="9">
        <f>IFERROR(Ohj.lask.[[#This Row],[Painotetut opiskelija-vuodet]]/Ohj.lask.[[#Totals],[Painotetut opiskelija-vuodet]],0)</f>
        <v>1.451062066699948E-3</v>
      </c>
      <c r="L24" s="10">
        <f>ROUND(IFERROR('1.1 Jakotaulu'!L$12*Ohj.lask.[[#This Row],[%-osuus 1]],0),0)</f>
        <v>2146260</v>
      </c>
      <c r="M24" s="132">
        <f>IFERROR(ROUND(VLOOKUP($A24,'2.2 Tutk. ja osien pain. pist.'!$A:$Q,COLUMN('2.2 Tutk. ja osien pain. pist.'!O:O),FALSE),1),0)</f>
        <v>27732.3</v>
      </c>
      <c r="N24" s="9">
        <f>IFERROR(Ohj.lask.[[#This Row],[Painotetut pisteet 2]]/Ohj.lask.[[#Totals],[Painotetut pisteet 2]],0)</f>
        <v>1.8103458776829659E-3</v>
      </c>
      <c r="O24" s="16">
        <f>ROUND(IFERROR('1.1 Jakotaulu'!K$13*Ohj.lask.[[#This Row],[%-osuus 2]],0),0)</f>
        <v>777916</v>
      </c>
      <c r="P24" s="133">
        <f>IFERROR(ROUND(VLOOKUP($A24,'2.3 Työll. ja jatko-opisk.'!$A:$Z,COLUMN('2.3 Työll. ja jatko-opisk.'!L:L),FALSE),1),0)</f>
        <v>323.8</v>
      </c>
      <c r="Q24" s="13">
        <f>IFERROR(Ohj.lask.[[#This Row],[Painotetut pisteet 3]]/Ohj.lask.[[#Totals],[Painotetut pisteet 3]],0)</f>
        <v>1.0360406481173365E-3</v>
      </c>
      <c r="R24" s="10">
        <f>ROUND(IFERROR('1.1 Jakotaulu'!L$15*Ohj.lask.[[#This Row],[%-osuus 3]],0),0)</f>
        <v>155818</v>
      </c>
      <c r="S24" s="132">
        <f>IFERROR(ROUND(VLOOKUP($A24,'2.4 Aloittaneet palaute'!$A:$I,COLUMN('2.4 Aloittaneet palaute'!H:H),FALSE),1),0)</f>
        <v>1373.7</v>
      </c>
      <c r="T24" s="13">
        <f>IFERROR(Ohj.lask.[[#This Row],[Painotetut pisteet 4]]/Ohj.lask.[[#Totals],[Painotetut pisteet 4]],0)</f>
        <v>8.241070478880165E-4</v>
      </c>
      <c r="U24" s="16">
        <f>ROUND(IFERROR('1.1 Jakotaulu'!M$17*Ohj.lask.[[#This Row],[%-osuus 4]],0),0)</f>
        <v>6640</v>
      </c>
      <c r="V24" s="132">
        <f>IFERROR(ROUND(VLOOKUP($A24,'2.5 Päättäneet palaute'!$A:$Z,COLUMN('2.5 Päättäneet palaute'!X:X),FALSE),1),0)</f>
        <v>11921.5</v>
      </c>
      <c r="W24" s="13">
        <f>IFERROR(Ohj.lask.[[#This Row],[Painotetut pisteet 5]]/Ohj.lask.[[#Totals],[Painotetut pisteet 5]],0)</f>
        <v>1.165639659074917E-3</v>
      </c>
      <c r="X24" s="16">
        <f>ROUND(IFERROR('1.1 Jakotaulu'!M$18*Ohj.lask.[[#This Row],[%-osuus 5]],0),0)</f>
        <v>28175</v>
      </c>
      <c r="Y24" s="132">
        <f>IFERROR(ROUND(VLOOKUP($A24,'2.6 Työpaikkaohjaajakysely'!B:J,COLUMN('2.6 Työpaikkaohjaajakysely'!H:H),FALSE),1),0)</f>
        <v>707326</v>
      </c>
      <c r="Z24" s="9">
        <f>IFERROR(Ohj.lask.[[#This Row],[Painotetut pisteet 6]]/Ohj.lask.[[#Totals],[Painotetut pisteet 6]],0)</f>
        <v>2.08400549345458E-3</v>
      </c>
      <c r="AA24" s="16">
        <f>ROUND(IFERROR('1.1 Jakotaulu'!M$20*Ohj.lask.[[#This Row],[%-osuus 6]],0),0)</f>
        <v>50372</v>
      </c>
      <c r="AB24" s="132">
        <f>IFERROR(ROUND(VLOOKUP($A24,'2.7 Työpaikkakysely'!B:H,COLUMN('2.7 Työpaikkakysely'!F:F),FALSE),1),0)</f>
        <v>169521</v>
      </c>
      <c r="AC24" s="9">
        <f>IFERROR(Ohj.lask.[[#This Row],[Pisteet 7]]/Ohj.lask.[[#Totals],[Pisteet 7]],0)</f>
        <v>9.1867826068499001E-4</v>
      </c>
      <c r="AD24" s="16">
        <f>ROUND(IFERROR('1.1 Jakotaulu'!M$21*Ohj.lask.[[#This Row],[%-osuus 7]],0),0)</f>
        <v>7402</v>
      </c>
      <c r="AE24" s="12">
        <f>IFERROR(Ohj.lask.[[#This Row],[Jaettava € 8]]/Ohj.lask.[[#Totals],[Jaettava € 8]],"")</f>
        <v>1.4939258045594871E-3</v>
      </c>
      <c r="AF2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3172583</v>
      </c>
      <c r="AG24" s="102">
        <v>0</v>
      </c>
      <c r="AH24" s="102">
        <v>0</v>
      </c>
      <c r="AI24" s="102">
        <v>0</v>
      </c>
      <c r="AJ24" s="102">
        <v>0</v>
      </c>
      <c r="AK24" s="102">
        <v>5000</v>
      </c>
      <c r="AL24" s="107">
        <v>0</v>
      </c>
      <c r="AM24" s="107">
        <v>11705</v>
      </c>
      <c r="AN2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16705</v>
      </c>
      <c r="AO24" s="10">
        <f>Ohj.lask.[[#This Row],[Jaettava € 1]]+Ohj.lask.[[#This Row],[Harkinnanvarainen korotus 8, €]]</f>
        <v>2162965</v>
      </c>
      <c r="AP24" s="102">
        <f>Ohj.lask.[[#This Row],[Jaettava € 2]]</f>
        <v>777916</v>
      </c>
      <c r="AQ24" s="10">
        <f>Ohj.lask.[[#This Row],[Jaettava € 3]]+Ohj.lask.[[#This Row],[Jaettava € 4]]+Ohj.lask.[[#This Row],[Jaettava € 5]]+Ohj.lask.[[#This Row],[Jaettava € 6]]+Ohj.lask.[[#This Row],[Jaettava € 7]]</f>
        <v>248407</v>
      </c>
      <c r="AR24" s="33">
        <f>Ohj.lask.[[#This Row],[Jaettava € 8]]+Ohj.lask.[[#This Row],[Harkinnanvarainen korotus 8, €]]</f>
        <v>3189288</v>
      </c>
      <c r="AS24" s="33">
        <v>311689</v>
      </c>
      <c r="AT24" s="16">
        <f>Ohj.lask.[[#This Row],[Perus-, suoritus- ja vaikuttavuusrahoitus yhteensä, €]]+Ohj.lask.[[#This Row],[Alv-korvaus, €]]</f>
        <v>3500977</v>
      </c>
    </row>
    <row r="25" spans="1:46" ht="12.75" x14ac:dyDescent="0.2">
      <c r="A25" s="3" t="s">
        <v>303</v>
      </c>
      <c r="B25" s="7" t="s">
        <v>143</v>
      </c>
      <c r="C25" s="7" t="s">
        <v>173</v>
      </c>
      <c r="D25" s="7" t="s">
        <v>325</v>
      </c>
      <c r="E25" s="7" t="s">
        <v>373</v>
      </c>
      <c r="F25" s="105">
        <v>11</v>
      </c>
      <c r="G25" s="106">
        <f>Ohj.lask.[[#This Row],[Tavoitteelliset opiskelija-vuodet]]-Ohj.lask.[[#This Row],[Järjestämisluvan opisk.vuosien vähimmäismäärä]]</f>
        <v>19</v>
      </c>
      <c r="H25" s="32">
        <v>30</v>
      </c>
      <c r="I25" s="8">
        <f>IFERROR(VLOOKUP($A25,'2.1 Toteut. op.vuodet'!$A:$T,COLUMN('2.1 Toteut. op.vuodet'!S:S),FALSE),0)</f>
        <v>0.72540000000000249</v>
      </c>
      <c r="J25" s="74">
        <f t="shared" si="0"/>
        <v>21.8</v>
      </c>
      <c r="K25" s="9">
        <f>IFERROR(Ohj.lask.[[#This Row],[Painotetut opiskelija-vuodet]]/Ohj.lask.[[#Totals],[Painotetut opiskelija-vuodet]],0)</f>
        <v>1.0058236265201547E-4</v>
      </c>
      <c r="L25" s="10">
        <f>ROUND(IFERROR('1.1 Jakotaulu'!L$12*Ohj.lask.[[#This Row],[%-osuus 1]],0),0)</f>
        <v>148771</v>
      </c>
      <c r="M25" s="132">
        <f>IFERROR(ROUND(VLOOKUP($A25,'2.2 Tutk. ja osien pain. pist.'!$A:$Q,COLUMN('2.2 Tutk. ja osien pain. pist.'!O:O),FALSE),1),0)</f>
        <v>1968.2</v>
      </c>
      <c r="N25" s="9">
        <f>IFERROR(Ohj.lask.[[#This Row],[Painotetut pisteet 2]]/Ohj.lask.[[#Totals],[Painotetut pisteet 2]],0)</f>
        <v>1.2848277122545242E-4</v>
      </c>
      <c r="O25" s="16">
        <f>ROUND(IFERROR('1.1 Jakotaulu'!K$13*Ohj.lask.[[#This Row],[%-osuus 2]],0),0)</f>
        <v>55210</v>
      </c>
      <c r="P25" s="133">
        <f>IFERROR(ROUND(VLOOKUP($A25,'2.3 Työll. ja jatko-opisk.'!$A:$Z,COLUMN('2.3 Työll. ja jatko-opisk.'!L:L),FALSE),1),0)</f>
        <v>41.9</v>
      </c>
      <c r="Q25" s="9">
        <f>IFERROR(Ohj.lask.[[#This Row],[Painotetut pisteet 3]]/Ohj.lask.[[#Totals],[Painotetut pisteet 3]],0)</f>
        <v>1.3406455576317602E-4</v>
      </c>
      <c r="R25" s="10">
        <f>ROUND(IFERROR('1.1 Jakotaulu'!L$15*Ohj.lask.[[#This Row],[%-osuus 3]],0),0)</f>
        <v>20163</v>
      </c>
      <c r="S25" s="132">
        <f>IFERROR(ROUND(VLOOKUP($A25,'2.4 Aloittaneet palaute'!$A:$I,COLUMN('2.4 Aloittaneet palaute'!H:H),FALSE),1),0)</f>
        <v>466.3</v>
      </c>
      <c r="T25" s="13">
        <f>IFERROR(Ohj.lask.[[#This Row],[Painotetut pisteet 4]]/Ohj.lask.[[#Totals],[Painotetut pisteet 4]],0)</f>
        <v>2.7974165860827113E-4</v>
      </c>
      <c r="U25" s="16">
        <f>ROUND(IFERROR('1.1 Jakotaulu'!M$17*Ohj.lask.[[#This Row],[%-osuus 4]],0),0)</f>
        <v>2254</v>
      </c>
      <c r="V25" s="132">
        <f>IFERROR(ROUND(VLOOKUP($A25,'2.5 Päättäneet palaute'!$A:$Z,COLUMN('2.5 Päättäneet palaute'!X:X),FALSE),1),0)</f>
        <v>3086.5</v>
      </c>
      <c r="W25" s="13">
        <f>IFERROR(Ohj.lask.[[#This Row],[Painotetut pisteet 5]]/Ohj.lask.[[#Totals],[Painotetut pisteet 5]],0)</f>
        <v>3.0178642014299636E-4</v>
      </c>
      <c r="X25" s="16">
        <f>ROUND(IFERROR('1.1 Jakotaulu'!M$18*Ohj.lask.[[#This Row],[%-osuus 5]],0),0)</f>
        <v>7294</v>
      </c>
      <c r="Y25" s="132">
        <f>IFERROR(ROUND(VLOOKUP($A25,'2.6 Työpaikkaohjaajakysely'!B:J,COLUMN('2.6 Työpaikkaohjaajakysely'!H:H),FALSE),1),0)</f>
        <v>71602.8</v>
      </c>
      <c r="Z25" s="9">
        <f>IFERROR(Ohj.lask.[[#This Row],[Painotetut pisteet 6]]/Ohj.lask.[[#Totals],[Painotetut pisteet 6]],0)</f>
        <v>2.1096443301494588E-4</v>
      </c>
      <c r="AA25" s="16">
        <f>ROUND(IFERROR('1.1 Jakotaulu'!M$20*Ohj.lask.[[#This Row],[%-osuus 6]],0),0)</f>
        <v>5099</v>
      </c>
      <c r="AB25" s="132">
        <f>IFERROR(ROUND(VLOOKUP($A25,'2.7 Työpaikkakysely'!B:H,COLUMN('2.7 Työpaikkakysely'!F:F),FALSE),1),0)</f>
        <v>115618</v>
      </c>
      <c r="AC25" s="9">
        <f>IFERROR(Ohj.lask.[[#This Row],[Pisteet 7]]/Ohj.lask.[[#Totals],[Pisteet 7]],0)</f>
        <v>6.2656392508230352E-4</v>
      </c>
      <c r="AD25" s="16">
        <f>ROUND(IFERROR('1.1 Jakotaulu'!M$21*Ohj.lask.[[#This Row],[%-osuus 7]],0),0)</f>
        <v>5048</v>
      </c>
      <c r="AE25" s="12">
        <f>IFERROR(Ohj.lask.[[#This Row],[Jaettava € 8]]/Ohj.lask.[[#Totals],[Jaettava € 8]],"")</f>
        <v>1.1482043945201142E-4</v>
      </c>
      <c r="AF2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243839</v>
      </c>
      <c r="AG25" s="102">
        <v>0</v>
      </c>
      <c r="AH25" s="102">
        <v>0</v>
      </c>
      <c r="AI25" s="102">
        <v>0</v>
      </c>
      <c r="AJ25" s="102">
        <v>0</v>
      </c>
      <c r="AK25" s="102">
        <v>0</v>
      </c>
      <c r="AL25" s="107">
        <v>0</v>
      </c>
      <c r="AM25" s="107">
        <v>0</v>
      </c>
      <c r="AN2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25" s="10">
        <f>Ohj.lask.[[#This Row],[Jaettava € 1]]+Ohj.lask.[[#This Row],[Harkinnanvarainen korotus 8, €]]</f>
        <v>148771</v>
      </c>
      <c r="AP25" s="102">
        <f>Ohj.lask.[[#This Row],[Jaettava € 2]]</f>
        <v>55210</v>
      </c>
      <c r="AQ25" s="10">
        <f>Ohj.lask.[[#This Row],[Jaettava € 3]]+Ohj.lask.[[#This Row],[Jaettava € 4]]+Ohj.lask.[[#This Row],[Jaettava € 5]]+Ohj.lask.[[#This Row],[Jaettava € 6]]+Ohj.lask.[[#This Row],[Jaettava € 7]]</f>
        <v>39858</v>
      </c>
      <c r="AR25" s="33">
        <f>Ohj.lask.[[#This Row],[Jaettava € 8]]+Ohj.lask.[[#This Row],[Harkinnanvarainen korotus 8, €]]</f>
        <v>243839</v>
      </c>
      <c r="AS25" s="33">
        <v>4450</v>
      </c>
      <c r="AT25" s="16">
        <f>Ohj.lask.[[#This Row],[Perus-, suoritus- ja vaikuttavuusrahoitus yhteensä, €]]+Ohj.lask.[[#This Row],[Alv-korvaus, €]]</f>
        <v>248289</v>
      </c>
    </row>
    <row r="26" spans="1:46" ht="12.75" x14ac:dyDescent="0.2">
      <c r="A26" s="3" t="s">
        <v>302</v>
      </c>
      <c r="B26" s="7" t="s">
        <v>28</v>
      </c>
      <c r="C26" s="7" t="s">
        <v>173</v>
      </c>
      <c r="D26" s="7" t="s">
        <v>326</v>
      </c>
      <c r="E26" s="7" t="s">
        <v>373</v>
      </c>
      <c r="F26" s="105">
        <v>8947</v>
      </c>
      <c r="G26" s="106">
        <f>Ohj.lask.[[#This Row],[Tavoitteelliset opiskelija-vuodet]]-Ohj.lask.[[#This Row],[Järjestämisluvan opisk.vuosien vähimmäismäärä]]</f>
        <v>542</v>
      </c>
      <c r="H26" s="32">
        <v>9489</v>
      </c>
      <c r="I26" s="8">
        <f>IFERROR(VLOOKUP($A26,'2.1 Toteut. op.vuodet'!$A:$T,COLUMN('2.1 Toteut. op.vuodet'!S:S),FALSE),0)</f>
        <v>1.156871095076428</v>
      </c>
      <c r="J26" s="74">
        <f t="shared" si="0"/>
        <v>10977.5</v>
      </c>
      <c r="K26" s="9">
        <f>IFERROR(Ohj.lask.[[#This Row],[Painotetut opiskelija-vuodet]]/Ohj.lask.[[#Totals],[Painotetut opiskelija-vuodet]],0)</f>
        <v>5.0648756239105495E-2</v>
      </c>
      <c r="L26" s="10">
        <f>ROUND(IFERROR('1.1 Jakotaulu'!L$12*Ohj.lask.[[#This Row],[%-osuus 1]],0),0)</f>
        <v>74914373</v>
      </c>
      <c r="M26" s="132">
        <f>IFERROR(ROUND(VLOOKUP($A26,'2.2 Tutk. ja osien pain. pist.'!$A:$Q,COLUMN('2.2 Tutk. ja osien pain. pist.'!O:O),FALSE),1),0)</f>
        <v>643084.30000000005</v>
      </c>
      <c r="N26" s="9">
        <f>IFERROR(Ohj.lask.[[#This Row],[Painotetut pisteet 2]]/Ohj.lask.[[#Totals],[Painotetut pisteet 2]],0)</f>
        <v>4.1980110250777469E-2</v>
      </c>
      <c r="O26" s="16">
        <f>ROUND(IFERROR('1.1 Jakotaulu'!K$13*Ohj.lask.[[#This Row],[%-osuus 2]],0),0)</f>
        <v>18039105</v>
      </c>
      <c r="P26" s="133">
        <f>IFERROR(ROUND(VLOOKUP($A26,'2.3 Työll. ja jatko-opisk.'!$A:$Z,COLUMN('2.3 Työll. ja jatko-opisk.'!L:L),FALSE),1),0)</f>
        <v>14892.4</v>
      </c>
      <c r="Q26" s="9">
        <f>IFERROR(Ohj.lask.[[#This Row],[Painotetut pisteet 3]]/Ohj.lask.[[#Totals],[Painotetut pisteet 3]],0)</f>
        <v>4.7650190698031565E-2</v>
      </c>
      <c r="R26" s="10">
        <f>ROUND(IFERROR('1.1 Jakotaulu'!L$15*Ohj.lask.[[#This Row],[%-osuus 3]],0),0)</f>
        <v>7166450</v>
      </c>
      <c r="S26" s="132">
        <f>IFERROR(ROUND(VLOOKUP($A26,'2.4 Aloittaneet palaute'!$A:$I,COLUMN('2.4 Aloittaneet palaute'!H:H),FALSE),1),0)</f>
        <v>57906.6</v>
      </c>
      <c r="T26" s="13">
        <f>IFERROR(Ohj.lask.[[#This Row],[Painotetut pisteet 4]]/Ohj.lask.[[#Totals],[Painotetut pisteet 4]],0)</f>
        <v>3.4739198645433657E-2</v>
      </c>
      <c r="U26" s="16">
        <f>ROUND(IFERROR('1.1 Jakotaulu'!M$17*Ohj.lask.[[#This Row],[%-osuus 4]],0),0)</f>
        <v>279893</v>
      </c>
      <c r="V26" s="132">
        <f>IFERROR(ROUND(VLOOKUP($A26,'2.5 Päättäneet palaute'!$A:$Z,COLUMN('2.5 Päättäneet palaute'!X:X),FALSE),1),0)</f>
        <v>324432.40000000002</v>
      </c>
      <c r="W26" s="13">
        <f>IFERROR(Ohj.lask.[[#This Row],[Painotetut pisteet 5]]/Ohj.lask.[[#Totals],[Painotetut pisteet 5]],0)</f>
        <v>3.1721786027669098E-2</v>
      </c>
      <c r="X26" s="16">
        <f>ROUND(IFERROR('1.1 Jakotaulu'!M$18*Ohj.lask.[[#This Row],[%-osuus 5]],0),0)</f>
        <v>766746</v>
      </c>
      <c r="Y26" s="132">
        <f>IFERROR(ROUND(VLOOKUP($A26,'2.6 Työpaikkaohjaajakysely'!B:J,COLUMN('2.6 Työpaikkaohjaajakysely'!H:H),FALSE),1),0)</f>
        <v>11217317.9</v>
      </c>
      <c r="Z26" s="9">
        <f>IFERROR(Ohj.lask.[[#This Row],[Painotetut pisteet 6]]/Ohj.lask.[[#Totals],[Painotetut pisteet 6]],0)</f>
        <v>3.3049756583847324E-2</v>
      </c>
      <c r="AA26" s="16">
        <f>ROUND(IFERROR('1.1 Jakotaulu'!M$20*Ohj.lask.[[#This Row],[%-osuus 6]],0),0)</f>
        <v>798844</v>
      </c>
      <c r="AB26" s="132">
        <f>IFERROR(ROUND(VLOOKUP($A26,'2.7 Työpaikkakysely'!B:H,COLUMN('2.7 Työpaikkakysely'!F:F),FALSE),1),0)</f>
        <v>3726075.4</v>
      </c>
      <c r="AC26" s="9">
        <f>IFERROR(Ohj.lask.[[#This Row],[Pisteet 7]]/Ohj.lask.[[#Totals],[Pisteet 7]],0)</f>
        <v>2.0192568871426717E-2</v>
      </c>
      <c r="AD26" s="16">
        <f>ROUND(IFERROR('1.1 Jakotaulu'!M$21*Ohj.lask.[[#This Row],[%-osuus 7]],0),0)</f>
        <v>162691</v>
      </c>
      <c r="AE26" s="12">
        <f>IFERROR(Ohj.lask.[[#This Row],[Jaettava € 8]]/Ohj.lask.[[#Totals],[Jaettava € 8]],"")</f>
        <v>4.8090721960145202E-2</v>
      </c>
      <c r="AF2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102128102</v>
      </c>
      <c r="AG26" s="102">
        <v>0</v>
      </c>
      <c r="AH26" s="102">
        <v>15000</v>
      </c>
      <c r="AI26" s="102">
        <v>0</v>
      </c>
      <c r="AJ26" s="102">
        <v>0</v>
      </c>
      <c r="AK26" s="102">
        <v>117000</v>
      </c>
      <c r="AL26" s="107">
        <v>15000</v>
      </c>
      <c r="AM26" s="107">
        <v>81824</v>
      </c>
      <c r="AN2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228824</v>
      </c>
      <c r="AO26" s="10">
        <f>Ohj.lask.[[#This Row],[Jaettava € 1]]+Ohj.lask.[[#This Row],[Harkinnanvarainen korotus 8, €]]</f>
        <v>75143197</v>
      </c>
      <c r="AP26" s="102">
        <f>Ohj.lask.[[#This Row],[Jaettava € 2]]</f>
        <v>18039105</v>
      </c>
      <c r="AQ26" s="10">
        <f>Ohj.lask.[[#This Row],[Jaettava € 3]]+Ohj.lask.[[#This Row],[Jaettava € 4]]+Ohj.lask.[[#This Row],[Jaettava € 5]]+Ohj.lask.[[#This Row],[Jaettava € 6]]+Ohj.lask.[[#This Row],[Jaettava € 7]]</f>
        <v>9174624</v>
      </c>
      <c r="AR26" s="33">
        <f>Ohj.lask.[[#This Row],[Jaettava € 8]]+Ohj.lask.[[#This Row],[Harkinnanvarainen korotus 8, €]]</f>
        <v>102356926</v>
      </c>
      <c r="AS26" s="33">
        <v>0</v>
      </c>
      <c r="AT26" s="16">
        <f>Ohj.lask.[[#This Row],[Perus-, suoritus- ja vaikuttavuusrahoitus yhteensä, €]]+Ohj.lask.[[#This Row],[Alv-korvaus, €]]</f>
        <v>102356926</v>
      </c>
    </row>
    <row r="27" spans="1:46" ht="12.75" x14ac:dyDescent="0.2">
      <c r="A27" s="3" t="s">
        <v>299</v>
      </c>
      <c r="B27" s="7" t="s">
        <v>29</v>
      </c>
      <c r="C27" s="7" t="s">
        <v>173</v>
      </c>
      <c r="D27" s="7" t="s">
        <v>325</v>
      </c>
      <c r="E27" s="7" t="s">
        <v>373</v>
      </c>
      <c r="F27" s="105">
        <v>59</v>
      </c>
      <c r="G27" s="106">
        <f>Ohj.lask.[[#This Row],[Tavoitteelliset opiskelija-vuodet]]-Ohj.lask.[[#This Row],[Järjestämisluvan opisk.vuosien vähimmäismäärä]]</f>
        <v>2</v>
      </c>
      <c r="H27" s="32">
        <v>61</v>
      </c>
      <c r="I27" s="8">
        <f>IFERROR(VLOOKUP($A27,'2.1 Toteut. op.vuodet'!$A:$T,COLUMN('2.1 Toteut. op.vuodet'!S:S),FALSE),0)</f>
        <v>1.4774553535207851</v>
      </c>
      <c r="J27" s="74">
        <f t="shared" si="0"/>
        <v>90.1</v>
      </c>
      <c r="K27" s="9">
        <f>IFERROR(Ohj.lask.[[#This Row],[Painotetut opiskelija-vuodet]]/Ohj.lask.[[#Totals],[Painotetut opiskelija-vuodet]],0)</f>
        <v>4.1570967316268776E-4</v>
      </c>
      <c r="L27" s="10">
        <f>ROUND(IFERROR('1.1 Jakotaulu'!L$12*Ohj.lask.[[#This Row],[%-osuus 1]],0),0)</f>
        <v>614875</v>
      </c>
      <c r="M27" s="132">
        <f>IFERROR(ROUND(VLOOKUP($A27,'2.2 Tutk. ja osien pain. pist.'!$A:$Q,COLUMN('2.2 Tutk. ja osien pain. pist.'!O:O),FALSE),1),0)</f>
        <v>10038.200000000001</v>
      </c>
      <c r="N27" s="9">
        <f>IFERROR(Ohj.lask.[[#This Row],[Painotetut pisteet 2]]/Ohj.lask.[[#Totals],[Painotetut pisteet 2]],0)</f>
        <v>6.5528693939403331E-4</v>
      </c>
      <c r="O27" s="16">
        <f>ROUND(IFERROR('1.1 Jakotaulu'!K$13*Ohj.lask.[[#This Row],[%-osuus 2]],0),0)</f>
        <v>281581</v>
      </c>
      <c r="P27" s="133">
        <f>IFERROR(ROUND(VLOOKUP($A27,'2.3 Työll. ja jatko-opisk.'!$A:$Z,COLUMN('2.3 Työll. ja jatko-opisk.'!L:L),FALSE),1),0)</f>
        <v>187.2</v>
      </c>
      <c r="Q27" s="9">
        <f>IFERROR(Ohj.lask.[[#This Row],[Painotetut pisteet 3]]/Ohj.lask.[[#Totals],[Painotetut pisteet 3]],0)</f>
        <v>5.9897099854096779E-4</v>
      </c>
      <c r="R27" s="10">
        <f>ROUND(IFERROR('1.1 Jakotaulu'!L$15*Ohj.lask.[[#This Row],[%-osuus 3]],0),0)</f>
        <v>90084</v>
      </c>
      <c r="S27" s="132">
        <f>IFERROR(ROUND(VLOOKUP($A27,'2.4 Aloittaneet palaute'!$A:$I,COLUMN('2.4 Aloittaneet palaute'!H:H),FALSE),1),0)</f>
        <v>865</v>
      </c>
      <c r="T27" s="13">
        <f>IFERROR(Ohj.lask.[[#This Row],[Painotetut pisteet 4]]/Ohj.lask.[[#Totals],[Painotetut pisteet 4]],0)</f>
        <v>5.1892887560830905E-4</v>
      </c>
      <c r="U27" s="16">
        <f>ROUND(IFERROR('1.1 Jakotaulu'!M$17*Ohj.lask.[[#This Row],[%-osuus 4]],0),0)</f>
        <v>4181</v>
      </c>
      <c r="V27" s="132">
        <f>IFERROR(ROUND(VLOOKUP($A27,'2.5 Päättäneet palaute'!$A:$Z,COLUMN('2.5 Päättäneet palaute'!X:X),FALSE),1),0)</f>
        <v>3579.8</v>
      </c>
      <c r="W27" s="13">
        <f>IFERROR(Ohj.lask.[[#This Row],[Painotetut pisteet 5]]/Ohj.lask.[[#Totals],[Painotetut pisteet 5]],0)</f>
        <v>3.5001944818658623E-4</v>
      </c>
      <c r="X27" s="16">
        <f>ROUND(IFERROR('1.1 Jakotaulu'!M$18*Ohj.lask.[[#This Row],[%-osuus 5]],0),0)</f>
        <v>8460</v>
      </c>
      <c r="Y27" s="132">
        <f>IFERROR(ROUND(VLOOKUP($A27,'2.6 Työpaikkaohjaajakysely'!B:J,COLUMN('2.6 Työpaikkaohjaajakysely'!H:H),FALSE),1),0)</f>
        <v>46670.7</v>
      </c>
      <c r="Z27" s="9">
        <f>IFERROR(Ohj.lask.[[#This Row],[Painotetut pisteet 6]]/Ohj.lask.[[#Totals],[Painotetut pisteet 6]],0)</f>
        <v>1.3750660258971204E-4</v>
      </c>
      <c r="AA27" s="16">
        <f>ROUND(IFERROR('1.1 Jakotaulu'!M$20*Ohj.lask.[[#This Row],[%-osuus 6]],0),0)</f>
        <v>3324</v>
      </c>
      <c r="AB27" s="132">
        <f>IFERROR(ROUND(VLOOKUP($A27,'2.7 Työpaikkakysely'!B:H,COLUMN('2.7 Työpaikkakysely'!F:F),FALSE),1),0)</f>
        <v>74150</v>
      </c>
      <c r="AC27" s="9">
        <f>IFERROR(Ohj.lask.[[#This Row],[Pisteet 7]]/Ohj.lask.[[#Totals],[Pisteet 7]],0)</f>
        <v>4.0183807923379407E-4</v>
      </c>
      <c r="AD27" s="16">
        <f>ROUND(IFERROR('1.1 Jakotaulu'!M$21*Ohj.lask.[[#This Row],[%-osuus 7]],0),0)</f>
        <v>3238</v>
      </c>
      <c r="AE27" s="12">
        <f>IFERROR(Ohj.lask.[[#This Row],[Jaettava € 8]]/Ohj.lask.[[#Totals],[Jaettava € 8]],"")</f>
        <v>4.7359057917635951E-4</v>
      </c>
      <c r="AF2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1005743</v>
      </c>
      <c r="AG27" s="102">
        <v>120000</v>
      </c>
      <c r="AH27" s="102">
        <v>0</v>
      </c>
      <c r="AI27" s="102">
        <v>0</v>
      </c>
      <c r="AJ27" s="102">
        <v>0</v>
      </c>
      <c r="AK27" s="102">
        <v>0</v>
      </c>
      <c r="AL27" s="107">
        <v>0</v>
      </c>
      <c r="AM27" s="107">
        <v>0</v>
      </c>
      <c r="AN2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120000</v>
      </c>
      <c r="AO27" s="10">
        <f>Ohj.lask.[[#This Row],[Jaettava € 1]]+Ohj.lask.[[#This Row],[Harkinnanvarainen korotus 8, €]]</f>
        <v>734875</v>
      </c>
      <c r="AP27" s="102">
        <f>Ohj.lask.[[#This Row],[Jaettava € 2]]</f>
        <v>281581</v>
      </c>
      <c r="AQ27" s="10">
        <f>Ohj.lask.[[#This Row],[Jaettava € 3]]+Ohj.lask.[[#This Row],[Jaettava € 4]]+Ohj.lask.[[#This Row],[Jaettava € 5]]+Ohj.lask.[[#This Row],[Jaettava € 6]]+Ohj.lask.[[#This Row],[Jaettava € 7]]</f>
        <v>109287</v>
      </c>
      <c r="AR27" s="33">
        <f>Ohj.lask.[[#This Row],[Jaettava € 8]]+Ohj.lask.[[#This Row],[Harkinnanvarainen korotus 8, €]]</f>
        <v>1125743</v>
      </c>
      <c r="AS27" s="33">
        <v>27564</v>
      </c>
      <c r="AT27" s="16">
        <f>Ohj.lask.[[#This Row],[Perus-, suoritus- ja vaikuttavuusrahoitus yhteensä, €]]+Ohj.lask.[[#This Row],[Alv-korvaus, €]]</f>
        <v>1153307</v>
      </c>
    </row>
    <row r="28" spans="1:46" ht="12.75" x14ac:dyDescent="0.2">
      <c r="A28" s="3" t="s">
        <v>301</v>
      </c>
      <c r="B28" s="7" t="s">
        <v>30</v>
      </c>
      <c r="C28" s="7" t="s">
        <v>173</v>
      </c>
      <c r="D28" s="7" t="s">
        <v>325</v>
      </c>
      <c r="E28" s="7" t="s">
        <v>373</v>
      </c>
      <c r="F28" s="105">
        <v>1890</v>
      </c>
      <c r="G28" s="106">
        <f>Ohj.lask.[[#This Row],[Tavoitteelliset opiskelija-vuodet]]-Ohj.lask.[[#This Row],[Järjestämisluvan opisk.vuosien vähimmäismäärä]]</f>
        <v>179</v>
      </c>
      <c r="H28" s="32">
        <v>2069</v>
      </c>
      <c r="I28" s="8">
        <f>IFERROR(VLOOKUP($A28,'2.1 Toteut. op.vuodet'!$A:$T,COLUMN('2.1 Toteut. op.vuodet'!S:S),FALSE),0)</f>
        <v>0.92177846068495983</v>
      </c>
      <c r="J28" s="74">
        <f t="shared" si="0"/>
        <v>1907.2</v>
      </c>
      <c r="K28" s="9">
        <f>IFERROR(Ohj.lask.[[#This Row],[Painotetut opiskelija-vuodet]]/Ohj.lask.[[#Totals],[Painotetut opiskelija-vuodet]],0)</f>
        <v>8.7995725710974266E-3</v>
      </c>
      <c r="L28" s="10">
        <f>ROUND(IFERROR('1.1 Jakotaulu'!L$12*Ohj.lask.[[#This Row],[%-osuus 1]],0),0)</f>
        <v>13015413</v>
      </c>
      <c r="M28" s="132">
        <f>IFERROR(ROUND(VLOOKUP($A28,'2.2 Tutk. ja osien pain. pist.'!$A:$Q,COLUMN('2.2 Tutk. ja osien pain. pist.'!O:O),FALSE),1),0)</f>
        <v>137679.29999999999</v>
      </c>
      <c r="N28" s="9">
        <f>IFERROR(Ohj.lask.[[#This Row],[Painotetut pisteet 2]]/Ohj.lask.[[#Totals],[Painotetut pisteet 2]],0)</f>
        <v>8.9876120335232335E-3</v>
      </c>
      <c r="O28" s="16">
        <f>ROUND(IFERROR('1.1 Jakotaulu'!K$13*Ohj.lask.[[#This Row],[%-osuus 2]],0),0)</f>
        <v>3862031</v>
      </c>
      <c r="P28" s="133">
        <f>IFERROR(ROUND(VLOOKUP($A28,'2.3 Työll. ja jatko-opisk.'!$A:$Z,COLUMN('2.3 Työll. ja jatko-opisk.'!L:L),FALSE),1),0)</f>
        <v>3168.1</v>
      </c>
      <c r="Q28" s="9">
        <f>IFERROR(Ohj.lask.[[#This Row],[Painotetut pisteet 3]]/Ohj.lask.[[#Totals],[Painotetut pisteet 3]],0)</f>
        <v>1.013675224614124E-2</v>
      </c>
      <c r="R28" s="10">
        <f>ROUND(IFERROR('1.1 Jakotaulu'!L$15*Ohj.lask.[[#This Row],[%-osuus 3]],0),0)</f>
        <v>1524538</v>
      </c>
      <c r="S28" s="132">
        <f>IFERROR(ROUND(VLOOKUP($A28,'2.4 Aloittaneet palaute'!$A:$I,COLUMN('2.4 Aloittaneet palaute'!H:H),FALSE),1),0)</f>
        <v>17609.599999999999</v>
      </c>
      <c r="T28" s="13">
        <f>IFERROR(Ohj.lask.[[#This Row],[Painotetut pisteet 4]]/Ohj.lask.[[#Totals],[Painotetut pisteet 4]],0)</f>
        <v>1.0564312055389687E-2</v>
      </c>
      <c r="U28" s="16">
        <f>ROUND(IFERROR('1.1 Jakotaulu'!M$17*Ohj.lask.[[#This Row],[%-osuus 4]],0),0)</f>
        <v>85117</v>
      </c>
      <c r="V28" s="132">
        <f>IFERROR(ROUND(VLOOKUP($A28,'2.5 Päättäneet palaute'!$A:$Z,COLUMN('2.5 Päättäneet palaute'!X:X),FALSE),1),0)</f>
        <v>92341.8</v>
      </c>
      <c r="W28" s="13">
        <f>IFERROR(Ohj.lask.[[#This Row],[Painotetut pisteet 5]]/Ohj.lask.[[#Totals],[Painotetut pisteet 5]],0)</f>
        <v>9.0288356557785658E-3</v>
      </c>
      <c r="X28" s="16">
        <f>ROUND(IFERROR('1.1 Jakotaulu'!M$18*Ohj.lask.[[#This Row],[%-osuus 5]],0),0)</f>
        <v>218236</v>
      </c>
      <c r="Y28" s="132">
        <f>IFERROR(ROUND(VLOOKUP($A28,'2.6 Työpaikkaohjaajakysely'!B:J,COLUMN('2.6 Työpaikkaohjaajakysely'!H:H),FALSE),1),0)</f>
        <v>3180472.2</v>
      </c>
      <c r="Z28" s="9">
        <f>IFERROR(Ohj.lask.[[#This Row],[Painotetut pisteet 6]]/Ohj.lask.[[#Totals],[Painotetut pisteet 6]],0)</f>
        <v>9.3706742528615865E-3</v>
      </c>
      <c r="AA28" s="16">
        <f>ROUND(IFERROR('1.1 Jakotaulu'!M$20*Ohj.lask.[[#This Row],[%-osuus 6]],0),0)</f>
        <v>226498</v>
      </c>
      <c r="AB28" s="132">
        <f>IFERROR(ROUND(VLOOKUP($A28,'2.7 Työpaikkakysely'!B:H,COLUMN('2.7 Työpaikkakysely'!F:F),FALSE),1),0)</f>
        <v>1000867.5</v>
      </c>
      <c r="AC28" s="9">
        <f>IFERROR(Ohj.lask.[[#This Row],[Pisteet 7]]/Ohj.lask.[[#Totals],[Pisteet 7]],0)</f>
        <v>5.4239605363119274E-3</v>
      </c>
      <c r="AD28" s="16">
        <f>ROUND(IFERROR('1.1 Jakotaulu'!M$21*Ohj.lask.[[#This Row],[%-osuus 7]],0),0)</f>
        <v>43701</v>
      </c>
      <c r="AE28" s="12">
        <f>IFERROR(Ohj.lask.[[#This Row],[Jaettava € 8]]/Ohj.lask.[[#Totals],[Jaettava € 8]],"")</f>
        <v>8.9353186025065076E-3</v>
      </c>
      <c r="AF2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18975534</v>
      </c>
      <c r="AG28" s="102">
        <v>0</v>
      </c>
      <c r="AH28" s="102">
        <v>0</v>
      </c>
      <c r="AI28" s="102">
        <v>0</v>
      </c>
      <c r="AJ28" s="102">
        <v>0</v>
      </c>
      <c r="AK28" s="102">
        <v>0</v>
      </c>
      <c r="AL28" s="107">
        <v>0</v>
      </c>
      <c r="AM28" s="107">
        <v>0</v>
      </c>
      <c r="AN2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28" s="10">
        <f>Ohj.lask.[[#This Row],[Jaettava € 1]]+Ohj.lask.[[#This Row],[Harkinnanvarainen korotus 8, €]]</f>
        <v>13015413</v>
      </c>
      <c r="AP28" s="102">
        <f>Ohj.lask.[[#This Row],[Jaettava € 2]]</f>
        <v>3862031</v>
      </c>
      <c r="AQ28" s="10">
        <f>Ohj.lask.[[#This Row],[Jaettava € 3]]+Ohj.lask.[[#This Row],[Jaettava € 4]]+Ohj.lask.[[#This Row],[Jaettava € 5]]+Ohj.lask.[[#This Row],[Jaettava € 6]]+Ohj.lask.[[#This Row],[Jaettava € 7]]</f>
        <v>2098090</v>
      </c>
      <c r="AR28" s="33">
        <f>Ohj.lask.[[#This Row],[Jaettava € 8]]+Ohj.lask.[[#This Row],[Harkinnanvarainen korotus 8, €]]</f>
        <v>18975534</v>
      </c>
      <c r="AS28" s="33">
        <v>1405181</v>
      </c>
      <c r="AT28" s="16">
        <f>Ohj.lask.[[#This Row],[Perus-, suoritus- ja vaikuttavuusrahoitus yhteensä, €]]+Ohj.lask.[[#This Row],[Alv-korvaus, €]]</f>
        <v>20380715</v>
      </c>
    </row>
    <row r="29" spans="1:46" ht="12.75" x14ac:dyDescent="0.2">
      <c r="A29" s="3" t="s">
        <v>300</v>
      </c>
      <c r="B29" s="7" t="s">
        <v>31</v>
      </c>
      <c r="C29" s="7" t="s">
        <v>255</v>
      </c>
      <c r="D29" s="7" t="s">
        <v>325</v>
      </c>
      <c r="E29" s="7" t="s">
        <v>373</v>
      </c>
      <c r="F29" s="105">
        <v>310</v>
      </c>
      <c r="G29" s="106">
        <f>Ohj.lask.[[#This Row],[Tavoitteelliset opiskelija-vuodet]]-Ohj.lask.[[#This Row],[Järjestämisluvan opisk.vuosien vähimmäismäärä]]</f>
        <v>0</v>
      </c>
      <c r="H29" s="32">
        <v>310</v>
      </c>
      <c r="I29" s="8">
        <f>IFERROR(VLOOKUP($A29,'2.1 Toteut. op.vuodet'!$A:$T,COLUMN('2.1 Toteut. op.vuodet'!S:S),FALSE),0)</f>
        <v>1.5114262936099914</v>
      </c>
      <c r="J29" s="74">
        <f t="shared" si="0"/>
        <v>468.5</v>
      </c>
      <c r="K29" s="9">
        <f>IFERROR(Ohj.lask.[[#This Row],[Painotetut opiskelija-vuodet]]/Ohj.lask.[[#Totals],[Painotetut opiskelija-vuodet]],0)</f>
        <v>2.1615980230490482E-3</v>
      </c>
      <c r="L29" s="10">
        <f>ROUND(IFERROR('1.1 Jakotaulu'!L$12*Ohj.lask.[[#This Row],[%-osuus 1]],0),0)</f>
        <v>3197211</v>
      </c>
      <c r="M29" s="132">
        <f>IFERROR(ROUND(VLOOKUP($A29,'2.2 Tutk. ja osien pain. pist.'!$A:$Q,COLUMN('2.2 Tutk. ja osien pain. pist.'!O:O),FALSE),1),0)</f>
        <v>34543.599999999999</v>
      </c>
      <c r="N29" s="9">
        <f>IFERROR(Ohj.lask.[[#This Row],[Painotetut pisteet 2]]/Ohj.lask.[[#Totals],[Painotetut pisteet 2]],0)</f>
        <v>2.2549829570691687E-3</v>
      </c>
      <c r="O29" s="16">
        <f>ROUND(IFERROR('1.1 Jakotaulu'!K$13*Ohj.lask.[[#This Row],[%-osuus 2]],0),0)</f>
        <v>968980</v>
      </c>
      <c r="P29" s="133">
        <f>IFERROR(ROUND(VLOOKUP($A29,'2.3 Työll. ja jatko-opisk.'!$A:$Z,COLUMN('2.3 Työll. ja jatko-opisk.'!L:L),FALSE),1),0)</f>
        <v>731.9</v>
      </c>
      <c r="Q29" s="9">
        <f>IFERROR(Ohj.lask.[[#This Row],[Painotetut pisteet 3]]/Ohj.lask.[[#Totals],[Painotetut pisteet 3]],0)</f>
        <v>2.3418102234622562E-3</v>
      </c>
      <c r="R29" s="10">
        <f>ROUND(IFERROR('1.1 Jakotaulu'!L$15*Ohj.lask.[[#This Row],[%-osuus 3]],0),0)</f>
        <v>352201</v>
      </c>
      <c r="S29" s="132">
        <f>IFERROR(ROUND(VLOOKUP($A29,'2.4 Aloittaneet palaute'!$A:$I,COLUMN('2.4 Aloittaneet palaute'!H:H),FALSE),1),0)</f>
        <v>1968.3</v>
      </c>
      <c r="T29" s="13">
        <f>IFERROR(Ohj.lask.[[#This Row],[Painotetut pisteet 4]]/Ohj.lask.[[#Totals],[Painotetut pisteet 4]],0)</f>
        <v>1.1808181570633928E-3</v>
      </c>
      <c r="U29" s="16">
        <f>ROUND(IFERROR('1.1 Jakotaulu'!M$17*Ohj.lask.[[#This Row],[%-osuus 4]],0),0)</f>
        <v>9514</v>
      </c>
      <c r="V29" s="132">
        <f>IFERROR(ROUND(VLOOKUP($A29,'2.5 Päättäneet palaute'!$A:$Z,COLUMN('2.5 Päättäneet palaute'!X:X),FALSE),1),0)</f>
        <v>11644.5</v>
      </c>
      <c r="W29" s="13">
        <f>IFERROR(Ohj.lask.[[#This Row],[Painotetut pisteet 5]]/Ohj.lask.[[#Totals],[Painotetut pisteet 5]],0)</f>
        <v>1.1385556356245331E-3</v>
      </c>
      <c r="X29" s="16">
        <f>ROUND(IFERROR('1.1 Jakotaulu'!M$18*Ohj.lask.[[#This Row],[%-osuus 5]],0),0)</f>
        <v>27520</v>
      </c>
      <c r="Y29" s="132">
        <f>IFERROR(ROUND(VLOOKUP($A29,'2.6 Työpaikkaohjaajakysely'!B:J,COLUMN('2.6 Työpaikkaohjaajakysely'!H:H),FALSE),1),0)</f>
        <v>1064430.1000000001</v>
      </c>
      <c r="Z29" s="9">
        <f>IFERROR(Ohj.lask.[[#This Row],[Painotetut pisteet 6]]/Ohj.lask.[[#Totals],[Painotetut pisteet 6]],0)</f>
        <v>3.1361468061380585E-3</v>
      </c>
      <c r="AA29" s="16">
        <f>ROUND(IFERROR('1.1 Jakotaulu'!M$20*Ohj.lask.[[#This Row],[%-osuus 6]],0),0)</f>
        <v>75804</v>
      </c>
      <c r="AB29" s="132">
        <f>IFERROR(ROUND(VLOOKUP($A29,'2.7 Työpaikkakysely'!B:H,COLUMN('2.7 Työpaikkakysely'!F:F),FALSE),1),0)</f>
        <v>197567.3</v>
      </c>
      <c r="AC29" s="9">
        <f>IFERROR(Ohj.lask.[[#This Row],[Pisteet 7]]/Ohj.lask.[[#Totals],[Pisteet 7]],0)</f>
        <v>1.0706684335995518E-3</v>
      </c>
      <c r="AD29" s="16">
        <f>ROUND(IFERROR('1.1 Jakotaulu'!M$21*Ohj.lask.[[#This Row],[%-osuus 7]],0),0)</f>
        <v>8626</v>
      </c>
      <c r="AE29" s="12">
        <f>IFERROR(Ohj.lask.[[#This Row],[Jaettava € 8]]/Ohj.lask.[[#Totals],[Jaettava € 8]],"")</f>
        <v>2.1848445282094003E-3</v>
      </c>
      <c r="AF2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4639856</v>
      </c>
      <c r="AG29" s="102">
        <v>0</v>
      </c>
      <c r="AH29" s="102">
        <v>0</v>
      </c>
      <c r="AI29" s="102">
        <v>0</v>
      </c>
      <c r="AJ29" s="102">
        <v>0</v>
      </c>
      <c r="AK29" s="102">
        <v>5000</v>
      </c>
      <c r="AL29" s="107">
        <v>0</v>
      </c>
      <c r="AM29" s="107">
        <v>7171</v>
      </c>
      <c r="AN2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12171</v>
      </c>
      <c r="AO29" s="10">
        <f>Ohj.lask.[[#This Row],[Jaettava € 1]]+Ohj.lask.[[#This Row],[Harkinnanvarainen korotus 8, €]]</f>
        <v>3209382</v>
      </c>
      <c r="AP29" s="102">
        <f>Ohj.lask.[[#This Row],[Jaettava € 2]]</f>
        <v>968980</v>
      </c>
      <c r="AQ29" s="10">
        <f>Ohj.lask.[[#This Row],[Jaettava € 3]]+Ohj.lask.[[#This Row],[Jaettava € 4]]+Ohj.lask.[[#This Row],[Jaettava € 5]]+Ohj.lask.[[#This Row],[Jaettava € 6]]+Ohj.lask.[[#This Row],[Jaettava € 7]]</f>
        <v>473665</v>
      </c>
      <c r="AR29" s="33">
        <f>Ohj.lask.[[#This Row],[Jaettava € 8]]+Ohj.lask.[[#This Row],[Harkinnanvarainen korotus 8, €]]</f>
        <v>4652027</v>
      </c>
      <c r="AS29" s="33">
        <v>369337</v>
      </c>
      <c r="AT29" s="16">
        <f>Ohj.lask.[[#This Row],[Perus-, suoritus- ja vaikuttavuusrahoitus yhteensä, €]]+Ohj.lask.[[#This Row],[Alv-korvaus, €]]</f>
        <v>5021364</v>
      </c>
    </row>
    <row r="30" spans="1:46" ht="12.75" x14ac:dyDescent="0.2">
      <c r="A30" s="3" t="s">
        <v>297</v>
      </c>
      <c r="B30" s="7" t="s">
        <v>32</v>
      </c>
      <c r="C30" s="7" t="s">
        <v>173</v>
      </c>
      <c r="D30" s="7" t="s">
        <v>325</v>
      </c>
      <c r="E30" s="7" t="s">
        <v>373</v>
      </c>
      <c r="F30" s="105">
        <v>3141</v>
      </c>
      <c r="G30" s="106">
        <f>Ohj.lask.[[#This Row],[Tavoitteelliset opiskelija-vuodet]]-Ohj.lask.[[#This Row],[Järjestämisluvan opisk.vuosien vähimmäismäärä]]</f>
        <v>584</v>
      </c>
      <c r="H30" s="32">
        <v>3725</v>
      </c>
      <c r="I30" s="8">
        <f>IFERROR(VLOOKUP($A30,'2.1 Toteut. op.vuodet'!$A:$T,COLUMN('2.1 Toteut. op.vuodet'!S:S),FALSE),0)</f>
        <v>1.0968055267594172</v>
      </c>
      <c r="J30" s="74">
        <f t="shared" si="0"/>
        <v>4085.6</v>
      </c>
      <c r="K30" s="9">
        <f>IFERROR(Ohj.lask.[[#This Row],[Painotetut opiskelija-vuodet]]/Ohj.lask.[[#Totals],[Painotetut opiskelija-vuodet]],0)</f>
        <v>1.8850426644544695E-2</v>
      </c>
      <c r="L30" s="10">
        <f>ROUND(IFERROR('1.1 Jakotaulu'!L$12*Ohj.lask.[[#This Row],[%-osuus 1]],0),0)</f>
        <v>27881591</v>
      </c>
      <c r="M30" s="132">
        <f>IFERROR(ROUND(VLOOKUP($A30,'2.2 Tutk. ja osien pain. pist.'!$A:$Q,COLUMN('2.2 Tutk. ja osien pain. pist.'!O:O),FALSE),1),0)</f>
        <v>280514.2</v>
      </c>
      <c r="N30" s="9">
        <f>IFERROR(Ohj.lask.[[#This Row],[Painotetut pisteet 2]]/Ohj.lask.[[#Totals],[Painotetut pisteet 2]],0)</f>
        <v>1.8311778164866784E-2</v>
      </c>
      <c r="O30" s="16">
        <f>ROUND(IFERROR('1.1 Jakotaulu'!K$13*Ohj.lask.[[#This Row],[%-osuus 2]],0),0)</f>
        <v>7868681</v>
      </c>
      <c r="P30" s="133">
        <f>IFERROR(ROUND(VLOOKUP($A30,'2.3 Työll. ja jatko-opisk.'!$A:$Z,COLUMN('2.3 Työll. ja jatko-opisk.'!L:L),FALSE),1),0)</f>
        <v>6242.2</v>
      </c>
      <c r="Q30" s="9">
        <f>IFERROR(Ohj.lask.[[#This Row],[Painotetut pisteet 3]]/Ohj.lask.[[#Totals],[Painotetut pisteet 3]],0)</f>
        <v>1.9972739140451012E-2</v>
      </c>
      <c r="R30" s="10">
        <f>ROUND(IFERROR('1.1 Jakotaulu'!L$15*Ohj.lask.[[#This Row],[%-osuus 3]],0),0)</f>
        <v>3003842</v>
      </c>
      <c r="S30" s="132">
        <f>IFERROR(ROUND(VLOOKUP($A30,'2.4 Aloittaneet palaute'!$A:$I,COLUMN('2.4 Aloittaneet palaute'!H:H),FALSE),1),0)</f>
        <v>26076.5</v>
      </c>
      <c r="T30" s="13">
        <f>IFERROR(Ohj.lask.[[#This Row],[Painotetut pisteet 4]]/Ohj.lask.[[#Totals],[Painotetut pisteet 4]],0)</f>
        <v>1.5643755866820892E-2</v>
      </c>
      <c r="U30" s="16">
        <f>ROUND(IFERROR('1.1 Jakotaulu'!M$17*Ohj.lask.[[#This Row],[%-osuus 4]],0),0)</f>
        <v>126042</v>
      </c>
      <c r="V30" s="132">
        <f>IFERROR(ROUND(VLOOKUP($A30,'2.5 Päättäneet palaute'!$A:$Z,COLUMN('2.5 Päättäneet palaute'!X:X),FALSE),1),0)</f>
        <v>178495.5</v>
      </c>
      <c r="W30" s="13">
        <f>IFERROR(Ohj.lask.[[#This Row],[Painotetut pisteet 5]]/Ohj.lask.[[#Totals],[Painotetut pisteet 5]],0)</f>
        <v>1.7452622049776191E-2</v>
      </c>
      <c r="X30" s="16">
        <f>ROUND(IFERROR('1.1 Jakotaulu'!M$18*Ohj.lask.[[#This Row],[%-osuus 5]],0),0)</f>
        <v>421847</v>
      </c>
      <c r="Y30" s="132">
        <f>IFERROR(ROUND(VLOOKUP($A30,'2.6 Työpaikkaohjaajakysely'!B:J,COLUMN('2.6 Työpaikkaohjaajakysely'!H:H),FALSE),1),0)</f>
        <v>3179755.6</v>
      </c>
      <c r="Z30" s="9">
        <f>IFERROR(Ohj.lask.[[#This Row],[Painotetut pisteet 6]]/Ohj.lask.[[#Totals],[Painotetut pisteet 6]],0)</f>
        <v>9.3685629232390221E-3</v>
      </c>
      <c r="AA30" s="16">
        <f>ROUND(IFERROR('1.1 Jakotaulu'!M$20*Ohj.lask.[[#This Row],[%-osuus 6]],0),0)</f>
        <v>226447</v>
      </c>
      <c r="AB30" s="132">
        <f>IFERROR(ROUND(VLOOKUP($A30,'2.7 Työpaikkakysely'!B:H,COLUMN('2.7 Työpaikkakysely'!F:F),FALSE),1),0)</f>
        <v>1528381.1</v>
      </c>
      <c r="AC30" s="9">
        <f>IFERROR(Ohj.lask.[[#This Row],[Pisteet 7]]/Ohj.lask.[[#Totals],[Pisteet 7]],0)</f>
        <v>8.2826935342040914E-3</v>
      </c>
      <c r="AD30" s="16">
        <f>ROUND(IFERROR('1.1 Jakotaulu'!M$21*Ohj.lask.[[#This Row],[%-osuus 7]],0),0)</f>
        <v>66734</v>
      </c>
      <c r="AE30" s="12">
        <f>IFERROR(Ohj.lask.[[#This Row],[Jaettava € 8]]/Ohj.lask.[[#Totals],[Jaettava € 8]],"")</f>
        <v>1.8644828870948666E-2</v>
      </c>
      <c r="AF3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39595184</v>
      </c>
      <c r="AG30" s="102">
        <v>0</v>
      </c>
      <c r="AH30" s="102">
        <v>0</v>
      </c>
      <c r="AI30" s="102">
        <v>0</v>
      </c>
      <c r="AJ30" s="102">
        <v>0</v>
      </c>
      <c r="AK30" s="102">
        <v>58000</v>
      </c>
      <c r="AL30" s="107">
        <v>0</v>
      </c>
      <c r="AM30" s="107">
        <v>137239</v>
      </c>
      <c r="AN3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195239</v>
      </c>
      <c r="AO30" s="10">
        <f>Ohj.lask.[[#This Row],[Jaettava € 1]]+Ohj.lask.[[#This Row],[Harkinnanvarainen korotus 8, €]]</f>
        <v>28076830</v>
      </c>
      <c r="AP30" s="102">
        <f>Ohj.lask.[[#This Row],[Jaettava € 2]]</f>
        <v>7868681</v>
      </c>
      <c r="AQ30" s="10">
        <f>Ohj.lask.[[#This Row],[Jaettava € 3]]+Ohj.lask.[[#This Row],[Jaettava € 4]]+Ohj.lask.[[#This Row],[Jaettava € 5]]+Ohj.lask.[[#This Row],[Jaettava € 6]]+Ohj.lask.[[#This Row],[Jaettava € 7]]</f>
        <v>3844912</v>
      </c>
      <c r="AR30" s="33">
        <f>Ohj.lask.[[#This Row],[Jaettava € 8]]+Ohj.lask.[[#This Row],[Harkinnanvarainen korotus 8, €]]</f>
        <v>39790423</v>
      </c>
      <c r="AS30" s="33">
        <v>3800165</v>
      </c>
      <c r="AT30" s="16">
        <f>Ohj.lask.[[#This Row],[Perus-, suoritus- ja vaikuttavuusrahoitus yhteensä, €]]+Ohj.lask.[[#This Row],[Alv-korvaus, €]]</f>
        <v>43590588</v>
      </c>
    </row>
    <row r="31" spans="1:46" ht="12.75" x14ac:dyDescent="0.2">
      <c r="A31" s="3" t="s">
        <v>296</v>
      </c>
      <c r="B31" s="7" t="s">
        <v>33</v>
      </c>
      <c r="C31" s="7" t="s">
        <v>255</v>
      </c>
      <c r="D31" s="7" t="s">
        <v>325</v>
      </c>
      <c r="E31" s="7" t="s">
        <v>373</v>
      </c>
      <c r="F31" s="105">
        <v>456</v>
      </c>
      <c r="G31" s="106">
        <f>Ohj.lask.[[#This Row],[Tavoitteelliset opiskelija-vuodet]]-Ohj.lask.[[#This Row],[Järjestämisluvan opisk.vuosien vähimmäismäärä]]</f>
        <v>41</v>
      </c>
      <c r="H31" s="32">
        <v>497</v>
      </c>
      <c r="I31" s="8">
        <f>IFERROR(VLOOKUP($A31,'2.1 Toteut. op.vuodet'!$A:$T,COLUMN('2.1 Toteut. op.vuodet'!S:S),FALSE),0)</f>
        <v>1.3102541231768667</v>
      </c>
      <c r="J31" s="74">
        <f t="shared" si="0"/>
        <v>651.20000000000005</v>
      </c>
      <c r="K31" s="9">
        <f>IFERROR(Ohj.lask.[[#This Row],[Painotetut opiskelija-vuodet]]/Ohj.lask.[[#Totals],[Painotetut opiskelija-vuodet]],0)</f>
        <v>3.0045520439904807E-3</v>
      </c>
      <c r="L31" s="10">
        <f>ROUND(IFERROR('1.1 Jakotaulu'!L$12*Ohj.lask.[[#This Row],[%-osuus 1]],0),0)</f>
        <v>4444021</v>
      </c>
      <c r="M31" s="132">
        <f>IFERROR(ROUND(VLOOKUP($A31,'2.2 Tutk. ja osien pain. pist.'!$A:$Q,COLUMN('2.2 Tutk. ja osien pain. pist.'!O:O),FALSE),1),0)</f>
        <v>43077.9</v>
      </c>
      <c r="N31" s="9">
        <f>IFERROR(Ohj.lask.[[#This Row],[Painotetut pisteet 2]]/Ohj.lask.[[#Totals],[Painotetut pisteet 2]],0)</f>
        <v>2.8120963167223433E-3</v>
      </c>
      <c r="O31" s="16">
        <f>ROUND(IFERROR('1.1 Jakotaulu'!K$13*Ohj.lask.[[#This Row],[%-osuus 2]],0),0)</f>
        <v>1208375</v>
      </c>
      <c r="P31" s="133">
        <f>IFERROR(ROUND(VLOOKUP($A31,'2.3 Työll. ja jatko-opisk.'!$A:$Z,COLUMN('2.3 Työll. ja jatko-opisk.'!L:L),FALSE),1),0)</f>
        <v>818.6</v>
      </c>
      <c r="Q31" s="9">
        <f>IFERROR(Ohj.lask.[[#This Row],[Painotetut pisteet 3]]/Ohj.lask.[[#Totals],[Painotetut pisteet 3]],0)</f>
        <v>2.6192182660557495E-3</v>
      </c>
      <c r="R31" s="10">
        <f>ROUND(IFERROR('1.1 Jakotaulu'!L$15*Ohj.lask.[[#This Row],[%-osuus 3]],0),0)</f>
        <v>393923</v>
      </c>
      <c r="S31" s="132">
        <f>IFERROR(ROUND(VLOOKUP($A31,'2.4 Aloittaneet palaute'!$A:$I,COLUMN('2.4 Aloittaneet palaute'!H:H),FALSE),1),0)</f>
        <v>3788.8</v>
      </c>
      <c r="T31" s="13">
        <f>IFERROR(Ohj.lask.[[#This Row],[Painotetut pisteet 4]]/Ohj.lask.[[#Totals],[Painotetut pisteet 4]],0)</f>
        <v>2.2729684669419211E-3</v>
      </c>
      <c r="U31" s="16">
        <f>ROUND(IFERROR('1.1 Jakotaulu'!M$17*Ohj.lask.[[#This Row],[%-osuus 4]],0),0)</f>
        <v>18313</v>
      </c>
      <c r="V31" s="132">
        <f>IFERROR(ROUND(VLOOKUP($A31,'2.5 Päättäneet palaute'!$A:$Z,COLUMN('2.5 Päättäneet palaute'!X:X),FALSE),1),0)</f>
        <v>26703.7</v>
      </c>
      <c r="W31" s="13">
        <f>IFERROR(Ohj.lask.[[#This Row],[Painotetut pisteet 5]]/Ohj.lask.[[#Totals],[Painotetut pisteet 5]],0)</f>
        <v>2.61098785924916E-3</v>
      </c>
      <c r="X31" s="16">
        <f>ROUND(IFERROR('1.1 Jakotaulu'!M$18*Ohj.lask.[[#This Row],[%-osuus 5]],0),0)</f>
        <v>63110</v>
      </c>
      <c r="Y31" s="132">
        <f>IFERROR(ROUND(VLOOKUP($A31,'2.6 Työpaikkaohjaajakysely'!B:J,COLUMN('2.6 Työpaikkaohjaajakysely'!H:H),FALSE),1),0)</f>
        <v>1243519.1000000001</v>
      </c>
      <c r="Z31" s="9">
        <f>IFERROR(Ohj.lask.[[#This Row],[Painotetut pisteet 6]]/Ohj.lask.[[#Totals],[Painotetut pisteet 6]],0)</f>
        <v>3.6637994865390154E-3</v>
      </c>
      <c r="AA31" s="16">
        <f>ROUND(IFERROR('1.1 Jakotaulu'!M$20*Ohj.lask.[[#This Row],[%-osuus 6]],0),0)</f>
        <v>88558</v>
      </c>
      <c r="AB31" s="132">
        <f>IFERROR(ROUND(VLOOKUP($A31,'2.7 Työpaikkakysely'!B:H,COLUMN('2.7 Työpaikkakysely'!F:F),FALSE),1),0)</f>
        <v>863530</v>
      </c>
      <c r="AC31" s="9">
        <f>IFERROR(Ohj.lask.[[#This Row],[Pisteet 7]]/Ohj.lask.[[#Totals],[Pisteet 7]],0)</f>
        <v>4.6796930082367927E-3</v>
      </c>
      <c r="AD31" s="16">
        <f>ROUND(IFERROR('1.1 Jakotaulu'!M$21*Ohj.lask.[[#This Row],[%-osuus 7]],0),0)</f>
        <v>37704</v>
      </c>
      <c r="AE31" s="12">
        <f>IFERROR(Ohj.lask.[[#This Row],[Jaettava € 8]]/Ohj.lask.[[#Totals],[Jaettava € 8]],"")</f>
        <v>2.9449246741277534E-3</v>
      </c>
      <c r="AF3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6254004</v>
      </c>
      <c r="AG31" s="102">
        <v>0</v>
      </c>
      <c r="AH31" s="102">
        <v>0</v>
      </c>
      <c r="AI31" s="102">
        <v>0</v>
      </c>
      <c r="AJ31" s="102">
        <v>0</v>
      </c>
      <c r="AK31" s="102">
        <v>6000</v>
      </c>
      <c r="AL31" s="107">
        <v>0</v>
      </c>
      <c r="AM31" s="107">
        <v>0</v>
      </c>
      <c r="AN3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6000</v>
      </c>
      <c r="AO31" s="10">
        <f>Ohj.lask.[[#This Row],[Jaettava € 1]]+Ohj.lask.[[#This Row],[Harkinnanvarainen korotus 8, €]]</f>
        <v>4450021</v>
      </c>
      <c r="AP31" s="102">
        <f>Ohj.lask.[[#This Row],[Jaettava € 2]]</f>
        <v>1208375</v>
      </c>
      <c r="AQ31" s="10">
        <f>Ohj.lask.[[#This Row],[Jaettava € 3]]+Ohj.lask.[[#This Row],[Jaettava € 4]]+Ohj.lask.[[#This Row],[Jaettava € 5]]+Ohj.lask.[[#This Row],[Jaettava € 6]]+Ohj.lask.[[#This Row],[Jaettava € 7]]</f>
        <v>601608</v>
      </c>
      <c r="AR31" s="33">
        <f>Ohj.lask.[[#This Row],[Jaettava € 8]]+Ohj.lask.[[#This Row],[Harkinnanvarainen korotus 8, €]]</f>
        <v>6260004</v>
      </c>
      <c r="AS31" s="33">
        <v>556360</v>
      </c>
      <c r="AT31" s="16">
        <f>Ohj.lask.[[#This Row],[Perus-, suoritus- ja vaikuttavuusrahoitus yhteensä, €]]+Ohj.lask.[[#This Row],[Alv-korvaus, €]]</f>
        <v>6816364</v>
      </c>
    </row>
    <row r="32" spans="1:46" ht="12.75" x14ac:dyDescent="0.2">
      <c r="A32" s="3" t="s">
        <v>294</v>
      </c>
      <c r="B32" s="7" t="s">
        <v>34</v>
      </c>
      <c r="C32" s="7" t="s">
        <v>200</v>
      </c>
      <c r="D32" s="7" t="s">
        <v>325</v>
      </c>
      <c r="E32" s="7" t="s">
        <v>373</v>
      </c>
      <c r="F32" s="105">
        <v>36</v>
      </c>
      <c r="G32" s="106">
        <f>Ohj.lask.[[#This Row],[Tavoitteelliset opiskelija-vuodet]]-Ohj.lask.[[#This Row],[Järjestämisluvan opisk.vuosien vähimmäismäärä]]</f>
        <v>2</v>
      </c>
      <c r="H32" s="32">
        <v>38</v>
      </c>
      <c r="I32" s="8">
        <f>IFERROR(VLOOKUP($A32,'2.1 Toteut. op.vuodet'!$A:$T,COLUMN('2.1 Toteut. op.vuodet'!S:S),FALSE),0)</f>
        <v>1.4118911237279919</v>
      </c>
      <c r="J32" s="74">
        <f t="shared" si="0"/>
        <v>53.7</v>
      </c>
      <c r="K32" s="9">
        <f>IFERROR(Ohj.lask.[[#This Row],[Painotetut opiskelija-vuodet]]/Ohj.lask.[[#Totals],[Painotetut opiskelija-vuodet]],0)</f>
        <v>2.4776481075290051E-4</v>
      </c>
      <c r="L32" s="10">
        <f>ROUND(IFERROR('1.1 Jakotaulu'!L$12*Ohj.lask.[[#This Row],[%-osuus 1]],0),0)</f>
        <v>366468</v>
      </c>
      <c r="M32" s="132">
        <f>IFERROR(ROUND(VLOOKUP($A32,'2.2 Tutk. ja osien pain. pist.'!$A:$Q,COLUMN('2.2 Tutk. ja osien pain. pist.'!O:O),FALSE),1),0)</f>
        <v>5548.4</v>
      </c>
      <c r="N32" s="9">
        <f>IFERROR(Ohj.lask.[[#This Row],[Painotetut pisteet 2]]/Ohj.lask.[[#Totals],[Painotetut pisteet 2]],0)</f>
        <v>3.6219581743079975E-4</v>
      </c>
      <c r="O32" s="16">
        <f>ROUND(IFERROR('1.1 Jakotaulu'!K$13*Ohj.lask.[[#This Row],[%-osuus 2]],0),0)</f>
        <v>155638</v>
      </c>
      <c r="P32" s="133">
        <f>IFERROR(ROUND(VLOOKUP($A32,'2.3 Työll. ja jatko-opisk.'!$A:$Z,COLUMN('2.3 Työll. ja jatko-opisk.'!L:L),FALSE),1),0)</f>
        <v>87.7</v>
      </c>
      <c r="Q32" s="9">
        <f>IFERROR(Ohj.lask.[[#This Row],[Painotetut pisteet 3]]/Ohj.lask.[[#Totals],[Painotetut pisteet 3]],0)</f>
        <v>2.8060767399595556E-4</v>
      </c>
      <c r="R32" s="10">
        <f>ROUND(IFERROR('1.1 Jakotaulu'!L$15*Ohj.lask.[[#This Row],[%-osuus 3]],0),0)</f>
        <v>42203</v>
      </c>
      <c r="S32" s="132">
        <f>IFERROR(ROUND(VLOOKUP($A32,'2.4 Aloittaneet palaute'!$A:$I,COLUMN('2.4 Aloittaneet palaute'!H:H),FALSE),1),0)</f>
        <v>297.3</v>
      </c>
      <c r="T32" s="13">
        <f>IFERROR(Ohj.lask.[[#This Row],[Painotetut pisteet 4]]/Ohj.lask.[[#Totals],[Painotetut pisteet 4]],0)</f>
        <v>1.7835555458768821E-4</v>
      </c>
      <c r="U32" s="16">
        <f>ROUND(IFERROR('1.1 Jakotaulu'!M$17*Ohj.lask.[[#This Row],[%-osuus 4]],0),0)</f>
        <v>1437</v>
      </c>
      <c r="V32" s="132">
        <f>IFERROR(ROUND(VLOOKUP($A32,'2.5 Päättäneet palaute'!$A:$Z,COLUMN('2.5 Päättäneet palaute'!X:X),FALSE),1),0)</f>
        <v>2143.8000000000002</v>
      </c>
      <c r="W32" s="13">
        <f>IFERROR(Ohj.lask.[[#This Row],[Painotetut pisteet 5]]/Ohj.lask.[[#Totals],[Painotetut pisteet 5]],0)</f>
        <v>2.0961274177954176E-4</v>
      </c>
      <c r="X32" s="16">
        <f>ROUND(IFERROR('1.1 Jakotaulu'!M$18*Ohj.lask.[[#This Row],[%-osuus 5]],0),0)</f>
        <v>5067</v>
      </c>
      <c r="Y32" s="132">
        <f>IFERROR(ROUND(VLOOKUP($A32,'2.6 Työpaikkaohjaajakysely'!B:J,COLUMN('2.6 Työpaikkaohjaajakysely'!H:H),FALSE),1),0)</f>
        <v>35012.9</v>
      </c>
      <c r="Z32" s="9">
        <f>IFERROR(Ohj.lask.[[#This Row],[Painotetut pisteet 6]]/Ohj.lask.[[#Totals],[Painotetut pisteet 6]],0)</f>
        <v>1.0315904680695446E-4</v>
      </c>
      <c r="AA32" s="16">
        <f>ROUND(IFERROR('1.1 Jakotaulu'!M$20*Ohj.lask.[[#This Row],[%-osuus 6]],0),0)</f>
        <v>2493</v>
      </c>
      <c r="AB32" s="132">
        <f>IFERROR(ROUND(VLOOKUP($A32,'2.7 Työpaikkakysely'!B:H,COLUMN('2.7 Työpaikkakysely'!F:F),FALSE),1),0)</f>
        <v>40452</v>
      </c>
      <c r="AC32" s="9">
        <f>IFERROR(Ohj.lask.[[#This Row],[Pisteet 7]]/Ohj.lask.[[#Totals],[Pisteet 7]],0)</f>
        <v>2.1921987837040374E-4</v>
      </c>
      <c r="AD32" s="16">
        <f>ROUND(IFERROR('1.1 Jakotaulu'!M$21*Ohj.lask.[[#This Row],[%-osuus 7]],0),0)</f>
        <v>1766</v>
      </c>
      <c r="AE32" s="12">
        <f>IFERROR(Ohj.lask.[[#This Row],[Jaettava € 8]]/Ohj.lask.[[#Totals],[Jaettava € 8]],"")</f>
        <v>2.7079351439493731E-4</v>
      </c>
      <c r="AF3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575072</v>
      </c>
      <c r="AG32" s="102">
        <v>0</v>
      </c>
      <c r="AH32" s="102">
        <v>0</v>
      </c>
      <c r="AI32" s="102">
        <v>0</v>
      </c>
      <c r="AJ32" s="102">
        <v>0</v>
      </c>
      <c r="AK32" s="102">
        <v>0</v>
      </c>
      <c r="AL32" s="107">
        <v>0</v>
      </c>
      <c r="AM32" s="107">
        <v>0</v>
      </c>
      <c r="AN3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32" s="10">
        <f>Ohj.lask.[[#This Row],[Jaettava € 1]]+Ohj.lask.[[#This Row],[Harkinnanvarainen korotus 8, €]]</f>
        <v>366468</v>
      </c>
      <c r="AP32" s="102">
        <f>Ohj.lask.[[#This Row],[Jaettava € 2]]</f>
        <v>155638</v>
      </c>
      <c r="AQ32" s="10">
        <f>Ohj.lask.[[#This Row],[Jaettava € 3]]+Ohj.lask.[[#This Row],[Jaettava € 4]]+Ohj.lask.[[#This Row],[Jaettava € 5]]+Ohj.lask.[[#This Row],[Jaettava € 6]]+Ohj.lask.[[#This Row],[Jaettava € 7]]</f>
        <v>52966</v>
      </c>
      <c r="AR32" s="33">
        <f>Ohj.lask.[[#This Row],[Jaettava € 8]]+Ohj.lask.[[#This Row],[Harkinnanvarainen korotus 8, €]]</f>
        <v>575072</v>
      </c>
      <c r="AS32" s="33">
        <v>59375</v>
      </c>
      <c r="AT32" s="16">
        <f>Ohj.lask.[[#This Row],[Perus-, suoritus- ja vaikuttavuusrahoitus yhteensä, €]]+Ohj.lask.[[#This Row],[Alv-korvaus, €]]</f>
        <v>634447</v>
      </c>
    </row>
    <row r="33" spans="1:46" ht="12.75" x14ac:dyDescent="0.2">
      <c r="A33" s="3" t="s">
        <v>293</v>
      </c>
      <c r="B33" s="7" t="s">
        <v>35</v>
      </c>
      <c r="C33" s="96" t="s">
        <v>200</v>
      </c>
      <c r="D33" s="96" t="s">
        <v>324</v>
      </c>
      <c r="E33" s="96" t="s">
        <v>373</v>
      </c>
      <c r="F33" s="104">
        <v>1335</v>
      </c>
      <c r="G33" s="106">
        <f>Ohj.lask.[[#This Row],[Tavoitteelliset opiskelija-vuodet]]-Ohj.lask.[[#This Row],[Järjestämisluvan opisk.vuosien vähimmäismäärä]]</f>
        <v>174</v>
      </c>
      <c r="H33" s="32">
        <v>1509</v>
      </c>
      <c r="I33" s="8">
        <f>IFERROR(VLOOKUP($A33,'2.1 Toteut. op.vuodet'!$A:$T,COLUMN('2.1 Toteut. op.vuodet'!S:S),FALSE),0)</f>
        <v>1.0515970325025894</v>
      </c>
      <c r="J33" s="74">
        <f t="shared" si="0"/>
        <v>1586.9</v>
      </c>
      <c r="K33" s="9">
        <f>IFERROR(Ohj.lask.[[#This Row],[Painotetut opiskelija-vuodet]]/Ohj.lask.[[#Totals],[Painotetut opiskelija-vuodet]],0)</f>
        <v>7.3217500592882272E-3</v>
      </c>
      <c r="L33" s="10">
        <f>ROUND(IFERROR('1.1 Jakotaulu'!L$12*Ohj.lask.[[#This Row],[%-osuus 1]],0),0)</f>
        <v>10829571</v>
      </c>
      <c r="M33" s="132">
        <f>IFERROR(ROUND(VLOOKUP($A33,'2.2 Tutk. ja osien pain. pist.'!$A:$Q,COLUMN('2.2 Tutk. ja osien pain. pist.'!O:O),FALSE),1),0)</f>
        <v>153387.5</v>
      </c>
      <c r="N33" s="9">
        <f>IFERROR(Ohj.lask.[[#This Row],[Painotetut pisteet 2]]/Ohj.lask.[[#Totals],[Painotetut pisteet 2]],0)</f>
        <v>1.0013032756500397E-2</v>
      </c>
      <c r="O33" s="16">
        <f>ROUND(IFERROR('1.1 Jakotaulu'!K$13*Ohj.lask.[[#This Row],[%-osuus 2]],0),0)</f>
        <v>4302660</v>
      </c>
      <c r="P33" s="133">
        <f>IFERROR(ROUND(VLOOKUP($A33,'2.3 Työll. ja jatko-opisk.'!$A:$Z,COLUMN('2.3 Työll. ja jatko-opisk.'!L:L),FALSE),1),0)</f>
        <v>3615.9</v>
      </c>
      <c r="Q33" s="13">
        <f>IFERROR(Ohj.lask.[[#This Row],[Painotetut pisteet 3]]/Ohj.lask.[[#Totals],[Painotetut pisteet 3]],0)</f>
        <v>1.156954718816392E-2</v>
      </c>
      <c r="R33" s="10">
        <f>ROUND(IFERROR('1.1 Jakotaulu'!L$15*Ohj.lask.[[#This Row],[%-osuus 3]],0),0)</f>
        <v>1740026</v>
      </c>
      <c r="S33" s="132">
        <f>IFERROR(ROUND(VLOOKUP($A33,'2.4 Aloittaneet palaute'!$A:$I,COLUMN('2.4 Aloittaneet palaute'!H:H),FALSE),1),0)</f>
        <v>21384</v>
      </c>
      <c r="T33" s="13">
        <f>IFERROR(Ohj.lask.[[#This Row],[Painotetut pisteet 4]]/Ohj.lask.[[#Totals],[Painotetut pisteet 4]],0)</f>
        <v>1.2828641706367725E-2</v>
      </c>
      <c r="U33" s="16">
        <f>ROUND(IFERROR('1.1 Jakotaulu'!M$17*Ohj.lask.[[#This Row],[%-osuus 4]],0),0)</f>
        <v>103360</v>
      </c>
      <c r="V33" s="132">
        <f>IFERROR(ROUND(VLOOKUP($A33,'2.5 Päättäneet palaute'!$A:$Z,COLUMN('2.5 Päättäneet palaute'!X:X),FALSE),1),0)</f>
        <v>130188.6</v>
      </c>
      <c r="W33" s="13">
        <f>IFERROR(Ohj.lask.[[#This Row],[Painotetut pisteet 5]]/Ohj.lask.[[#Totals],[Painotetut pisteet 5]],0)</f>
        <v>1.2729354134919326E-2</v>
      </c>
      <c r="X33" s="16">
        <f>ROUND(IFERROR('1.1 Jakotaulu'!M$18*Ohj.lask.[[#This Row],[%-osuus 5]],0),0)</f>
        <v>307681</v>
      </c>
      <c r="Y33" s="132">
        <f>IFERROR(ROUND(VLOOKUP($A33,'2.6 Työpaikkaohjaajakysely'!B:J,COLUMN('2.6 Työpaikkaohjaajakysely'!H:H),FALSE),1),0)</f>
        <v>3038090.1</v>
      </c>
      <c r="Z33" s="9">
        <f>IFERROR(Ohj.lask.[[#This Row],[Painotetut pisteet 6]]/Ohj.lask.[[#Totals],[Painotetut pisteet 6]],0)</f>
        <v>8.95117167757155E-3</v>
      </c>
      <c r="AA33" s="16">
        <f>ROUND(IFERROR('1.1 Jakotaulu'!M$20*Ohj.lask.[[#This Row],[%-osuus 6]],0),0)</f>
        <v>216358</v>
      </c>
      <c r="AB33" s="132">
        <f>IFERROR(ROUND(VLOOKUP($A33,'2.7 Työpaikkakysely'!B:H,COLUMN('2.7 Työpaikkakysely'!F:F),FALSE),1),0)</f>
        <v>2460265.9</v>
      </c>
      <c r="AC33" s="9">
        <f>IFERROR(Ohj.lask.[[#This Row],[Pisteet 7]]/Ohj.lask.[[#Totals],[Pisteet 7]],0)</f>
        <v>1.3332818930012161E-2</v>
      </c>
      <c r="AD33" s="16">
        <f>ROUND(IFERROR('1.1 Jakotaulu'!M$21*Ohj.lask.[[#This Row],[%-osuus 7]],0),0)</f>
        <v>107422</v>
      </c>
      <c r="AE33" s="12">
        <f>IFERROR(Ohj.lask.[[#This Row],[Jaettava € 8]]/Ohj.lask.[[#Totals],[Jaettava € 8]],"")</f>
        <v>8.2909314483156603E-3</v>
      </c>
      <c r="AF3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17607078</v>
      </c>
      <c r="AG33" s="102">
        <v>0</v>
      </c>
      <c r="AH33" s="102">
        <v>0</v>
      </c>
      <c r="AI33" s="102">
        <v>0</v>
      </c>
      <c r="AJ33" s="102">
        <v>0</v>
      </c>
      <c r="AK33" s="102">
        <v>22000</v>
      </c>
      <c r="AL33" s="107">
        <v>0</v>
      </c>
      <c r="AM33" s="107">
        <v>57529</v>
      </c>
      <c r="AN3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79529</v>
      </c>
      <c r="AO33" s="10">
        <f>Ohj.lask.[[#This Row],[Jaettava € 1]]+Ohj.lask.[[#This Row],[Harkinnanvarainen korotus 8, €]]</f>
        <v>10909100</v>
      </c>
      <c r="AP33" s="102">
        <f>Ohj.lask.[[#This Row],[Jaettava € 2]]</f>
        <v>4302660</v>
      </c>
      <c r="AQ33" s="10">
        <f>Ohj.lask.[[#This Row],[Jaettava € 3]]+Ohj.lask.[[#This Row],[Jaettava € 4]]+Ohj.lask.[[#This Row],[Jaettava € 5]]+Ohj.lask.[[#This Row],[Jaettava € 6]]+Ohj.lask.[[#This Row],[Jaettava € 7]]</f>
        <v>2474847</v>
      </c>
      <c r="AR33" s="33">
        <f>Ohj.lask.[[#This Row],[Jaettava € 8]]+Ohj.lask.[[#This Row],[Harkinnanvarainen korotus 8, €]]</f>
        <v>17686607</v>
      </c>
      <c r="AS33" s="33">
        <v>0</v>
      </c>
      <c r="AT33" s="16">
        <f>Ohj.lask.[[#This Row],[Perus-, suoritus- ja vaikuttavuusrahoitus yhteensä, €]]+Ohj.lask.[[#This Row],[Alv-korvaus, €]]</f>
        <v>17686607</v>
      </c>
    </row>
    <row r="34" spans="1:46" ht="12.75" x14ac:dyDescent="0.2">
      <c r="A34" s="3" t="s">
        <v>292</v>
      </c>
      <c r="B34" s="7" t="s">
        <v>36</v>
      </c>
      <c r="C34" s="7" t="s">
        <v>241</v>
      </c>
      <c r="D34" s="7" t="s">
        <v>325</v>
      </c>
      <c r="E34" s="7" t="s">
        <v>373</v>
      </c>
      <c r="F34" s="105">
        <v>64</v>
      </c>
      <c r="G34" s="106">
        <f>Ohj.lask.[[#This Row],[Tavoitteelliset opiskelija-vuodet]]-Ohj.lask.[[#This Row],[Järjestämisluvan opisk.vuosien vähimmäismäärä]]</f>
        <v>21</v>
      </c>
      <c r="H34" s="32">
        <v>85</v>
      </c>
      <c r="I34" s="8">
        <f>IFERROR(VLOOKUP($A34,'2.1 Toteut. op.vuodet'!$A:$T,COLUMN('2.1 Toteut. op.vuodet'!S:S),FALSE),0)</f>
        <v>0.76745507902803445</v>
      </c>
      <c r="J34" s="74">
        <f t="shared" si="0"/>
        <v>65.2</v>
      </c>
      <c r="K34" s="9">
        <f>IFERROR(Ohj.lask.[[#This Row],[Painotetut opiskelija-vuodet]]/Ohj.lask.[[#Totals],[Painotetut opiskelija-vuodet]],0)</f>
        <v>3.0082431398676188E-4</v>
      </c>
      <c r="L34" s="10">
        <f>ROUND(IFERROR('1.1 Jakotaulu'!L$12*Ohj.lask.[[#This Row],[%-osuus 1]],0),0)</f>
        <v>444948</v>
      </c>
      <c r="M34" s="132">
        <f>IFERROR(ROUND(VLOOKUP($A34,'2.2 Tutk. ja osien pain. pist.'!$A:$Q,COLUMN('2.2 Tutk. ja osien pain. pist.'!O:O),FALSE),1),0)</f>
        <v>6144.8</v>
      </c>
      <c r="N34" s="9">
        <f>IFERROR(Ohj.lask.[[#This Row],[Painotetut pisteet 2]]/Ohj.lask.[[#Totals],[Painotetut pisteet 2]],0)</f>
        <v>4.0112840800028449E-4</v>
      </c>
      <c r="O34" s="16">
        <f>ROUND(IFERROR('1.1 Jakotaulu'!K$13*Ohj.lask.[[#This Row],[%-osuus 2]],0),0)</f>
        <v>172367</v>
      </c>
      <c r="P34" s="133">
        <f>IFERROR(ROUND(VLOOKUP($A34,'2.3 Työll. ja jatko-opisk.'!$A:$Z,COLUMN('2.3 Työll. ja jatko-opisk.'!L:L),FALSE),1),0)</f>
        <v>271.5</v>
      </c>
      <c r="Q34" s="9">
        <f>IFERROR(Ohj.lask.[[#This Row],[Painotetut pisteet 3]]/Ohj.lask.[[#Totals],[Painotetut pisteet 3]],0)</f>
        <v>8.6869992576855113E-4</v>
      </c>
      <c r="R34" s="10">
        <f>ROUND(IFERROR('1.1 Jakotaulu'!L$15*Ohj.lask.[[#This Row],[%-osuus 3]],0),0)</f>
        <v>130650</v>
      </c>
      <c r="S34" s="132">
        <f>IFERROR(ROUND(VLOOKUP($A34,'2.4 Aloittaneet palaute'!$A:$I,COLUMN('2.4 Aloittaneet palaute'!H:H),FALSE),1),0)</f>
        <v>220.4</v>
      </c>
      <c r="T34" s="13">
        <f>IFERROR(Ohj.lask.[[#This Row],[Painotetut pisteet 4]]/Ohj.lask.[[#Totals],[Painotetut pisteet 4]],0)</f>
        <v>1.3222187766944663E-4</v>
      </c>
      <c r="U34" s="16">
        <f>ROUND(IFERROR('1.1 Jakotaulu'!M$17*Ohj.lask.[[#This Row],[%-osuus 4]],0),0)</f>
        <v>1065</v>
      </c>
      <c r="V34" s="132">
        <f>IFERROR(ROUND(VLOOKUP($A34,'2.5 Päättäneet palaute'!$A:$Z,COLUMN('2.5 Päättäneet palaute'!X:X),FALSE),1),0)</f>
        <v>9322.2000000000007</v>
      </c>
      <c r="W34" s="13">
        <f>IFERROR(Ohj.lask.[[#This Row],[Painotetut pisteet 5]]/Ohj.lask.[[#Totals],[Painotetut pisteet 5]],0)</f>
        <v>9.1148983180205445E-4</v>
      </c>
      <c r="X34" s="16">
        <f>ROUND(IFERROR('1.1 Jakotaulu'!M$18*Ohj.lask.[[#This Row],[%-osuus 5]],0),0)</f>
        <v>22032</v>
      </c>
      <c r="Y34" s="132">
        <f>IFERROR(ROUND(VLOOKUP($A34,'2.6 Työpaikkaohjaajakysely'!B:J,COLUMN('2.6 Työpaikkaohjaajakysely'!H:H),FALSE),1),0)</f>
        <v>94247.8</v>
      </c>
      <c r="Z34" s="9">
        <f>IFERROR(Ohj.lask.[[#This Row],[Painotetut pisteet 6]]/Ohj.lask.[[#Totals],[Painotetut pisteet 6]],0)</f>
        <v>2.7768374546674175E-4</v>
      </c>
      <c r="AA34" s="16">
        <f>ROUND(IFERROR('1.1 Jakotaulu'!M$20*Ohj.lask.[[#This Row],[%-osuus 6]],0),0)</f>
        <v>6712</v>
      </c>
      <c r="AB34" s="132">
        <f>IFERROR(ROUND(VLOOKUP($A34,'2.7 Työpaikkakysely'!B:H,COLUMN('2.7 Työpaikkakysely'!F:F),FALSE),1),0)</f>
        <v>113069</v>
      </c>
      <c r="AC34" s="9">
        <f>IFERROR(Ohj.lask.[[#This Row],[Pisteet 7]]/Ohj.lask.[[#Totals],[Pisteet 7]],0)</f>
        <v>6.1275023305307978E-4</v>
      </c>
      <c r="AD34" s="16">
        <f>ROUND(IFERROR('1.1 Jakotaulu'!M$21*Ohj.lask.[[#This Row],[%-osuus 7]],0),0)</f>
        <v>4937</v>
      </c>
      <c r="AE34" s="12">
        <f>IFERROR(Ohj.lask.[[#This Row],[Jaettava € 8]]/Ohj.lask.[[#Totals],[Jaettava € 8]],"")</f>
        <v>3.6856787053721229E-4</v>
      </c>
      <c r="AF3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782711</v>
      </c>
      <c r="AG34" s="102">
        <v>0</v>
      </c>
      <c r="AH34" s="102">
        <v>0</v>
      </c>
      <c r="AI34" s="102">
        <v>0</v>
      </c>
      <c r="AJ34" s="102">
        <v>0</v>
      </c>
      <c r="AK34" s="102">
        <v>0</v>
      </c>
      <c r="AL34" s="107">
        <v>0</v>
      </c>
      <c r="AM34" s="107">
        <v>0</v>
      </c>
      <c r="AN3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34" s="10">
        <f>Ohj.lask.[[#This Row],[Jaettava € 1]]+Ohj.lask.[[#This Row],[Harkinnanvarainen korotus 8, €]]</f>
        <v>444948</v>
      </c>
      <c r="AP34" s="102">
        <f>Ohj.lask.[[#This Row],[Jaettava € 2]]</f>
        <v>172367</v>
      </c>
      <c r="AQ34" s="10">
        <f>Ohj.lask.[[#This Row],[Jaettava € 3]]+Ohj.lask.[[#This Row],[Jaettava € 4]]+Ohj.lask.[[#This Row],[Jaettava € 5]]+Ohj.lask.[[#This Row],[Jaettava € 6]]+Ohj.lask.[[#This Row],[Jaettava € 7]]</f>
        <v>165396</v>
      </c>
      <c r="AR34" s="33">
        <f>Ohj.lask.[[#This Row],[Jaettava € 8]]+Ohj.lask.[[#This Row],[Harkinnanvarainen korotus 8, €]]</f>
        <v>782711</v>
      </c>
      <c r="AS34" s="33">
        <v>35631</v>
      </c>
      <c r="AT34" s="16">
        <f>Ohj.lask.[[#This Row],[Perus-, suoritus- ja vaikuttavuusrahoitus yhteensä, €]]+Ohj.lask.[[#This Row],[Alv-korvaus, €]]</f>
        <v>818342</v>
      </c>
    </row>
    <row r="35" spans="1:46" ht="12.75" x14ac:dyDescent="0.2">
      <c r="A35" s="3" t="s">
        <v>289</v>
      </c>
      <c r="B35" s="7" t="s">
        <v>37</v>
      </c>
      <c r="C35" s="7" t="s">
        <v>241</v>
      </c>
      <c r="D35" s="7" t="s">
        <v>326</v>
      </c>
      <c r="E35" s="7" t="s">
        <v>373</v>
      </c>
      <c r="F35" s="105">
        <v>50</v>
      </c>
      <c r="G35" s="106">
        <f>Ohj.lask.[[#This Row],[Tavoitteelliset opiskelija-vuodet]]-Ohj.lask.[[#This Row],[Järjestämisluvan opisk.vuosien vähimmäismäärä]]</f>
        <v>0</v>
      </c>
      <c r="H35" s="32">
        <v>50</v>
      </c>
      <c r="I35" s="8">
        <f>IFERROR(VLOOKUP($A35,'2.1 Toteut. op.vuodet'!$A:$T,COLUMN('2.1 Toteut. op.vuodet'!S:S),FALSE),0)</f>
        <v>1.4769283360385623</v>
      </c>
      <c r="J35" s="74">
        <f t="shared" si="0"/>
        <v>73.8</v>
      </c>
      <c r="K35" s="9">
        <f>IFERROR(Ohj.lask.[[#This Row],[Painotetut opiskelija-vuodet]]/Ohj.lask.[[#Totals],[Painotetut opiskelija-vuodet]],0)</f>
        <v>3.405035946659973E-4</v>
      </c>
      <c r="L35" s="10">
        <f>ROUND(IFERROR('1.1 Jakotaulu'!L$12*Ohj.lask.[[#This Row],[%-osuus 1]],0),0)</f>
        <v>503638</v>
      </c>
      <c r="M35" s="132">
        <f>IFERROR(ROUND(VLOOKUP($A35,'2.2 Tutk. ja osien pain. pist.'!$A:$Q,COLUMN('2.2 Tutk. ja osien pain. pist.'!O:O),FALSE),1),0)</f>
        <v>6551.7</v>
      </c>
      <c r="N35" s="9">
        <f>IFERROR(Ohj.lask.[[#This Row],[Painotetut pisteet 2]]/Ohj.lask.[[#Totals],[Painotetut pisteet 2]],0)</f>
        <v>4.2769056612020957E-4</v>
      </c>
      <c r="O35" s="16">
        <f>ROUND(IFERROR('1.1 Jakotaulu'!K$13*Ohj.lask.[[#This Row],[%-osuus 2]],0),0)</f>
        <v>183781</v>
      </c>
      <c r="P35" s="133">
        <f>IFERROR(ROUND(VLOOKUP($A35,'2.3 Työll. ja jatko-opisk.'!$A:$Z,COLUMN('2.3 Työll. ja jatko-opisk.'!L:L),FALSE),1),0)</f>
        <v>99.2</v>
      </c>
      <c r="Q35" s="9">
        <f>IFERROR(Ohj.lask.[[#This Row],[Painotetut pisteet 3]]/Ohj.lask.[[#Totals],[Painotetut pisteet 3]],0)</f>
        <v>3.1740343512427359E-4</v>
      </c>
      <c r="R35" s="10">
        <f>ROUND(IFERROR('1.1 Jakotaulu'!L$15*Ohj.lask.[[#This Row],[%-osuus 3]],0),0)</f>
        <v>47737</v>
      </c>
      <c r="S35" s="132">
        <f>IFERROR(ROUND(VLOOKUP($A35,'2.4 Aloittaneet palaute'!$A:$I,COLUMN('2.4 Aloittaneet palaute'!H:H),FALSE),1),0)</f>
        <v>261.2</v>
      </c>
      <c r="T35" s="9">
        <f>IFERROR(Ohj.lask.[[#This Row],[Painotetut pisteet 4]]/Ohj.lask.[[#Totals],[Painotetut pisteet 4]],0)</f>
        <v>1.5669852290045125E-4</v>
      </c>
      <c r="U35" s="16">
        <f>ROUND(IFERROR('1.1 Jakotaulu'!M$17*Ohj.lask.[[#This Row],[%-osuus 4]],0),0)</f>
        <v>1263</v>
      </c>
      <c r="V35" s="132">
        <f>IFERROR(ROUND(VLOOKUP($A35,'2.5 Päättäneet palaute'!$A:$Z,COLUMN('2.5 Päättäneet palaute'!X:X),FALSE),1),0)</f>
        <v>2400.3000000000002</v>
      </c>
      <c r="W35" s="9">
        <f>IFERROR(Ohj.lask.[[#This Row],[Painotetut pisteet 5]]/Ohj.lask.[[#Totals],[Painotetut pisteet 5]],0)</f>
        <v>2.346923519420814E-4</v>
      </c>
      <c r="X35" s="16">
        <f>ROUND(IFERROR('1.1 Jakotaulu'!M$18*Ohj.lask.[[#This Row],[%-osuus 5]],0),0)</f>
        <v>5673</v>
      </c>
      <c r="Y35" s="132">
        <f>IFERROR(ROUND(VLOOKUP($A35,'2.6 Työpaikkaohjaajakysely'!B:J,COLUMN('2.6 Työpaikkaohjaajakysely'!H:H),FALSE),1),0)</f>
        <v>37153</v>
      </c>
      <c r="Z35" s="9">
        <f>IFERROR(Ohj.lask.[[#This Row],[Painotetut pisteet 6]]/Ohj.lask.[[#Totals],[Painotetut pisteet 6]],0)</f>
        <v>1.0946445641517209E-4</v>
      </c>
      <c r="AA35" s="16">
        <f>ROUND(IFERROR('1.1 Jakotaulu'!M$20*Ohj.lask.[[#This Row],[%-osuus 6]],0),0)</f>
        <v>2646</v>
      </c>
      <c r="AB35" s="132">
        <f>IFERROR(ROUND(VLOOKUP($A35,'2.7 Työpaikkakysely'!B:H,COLUMN('2.7 Työpaikkakysely'!F:F),FALSE),1),0)</f>
        <v>13932</v>
      </c>
      <c r="AC35" s="9">
        <f>IFERROR(Ohj.lask.[[#This Row],[Pisteet 7]]/Ohj.lask.[[#Totals],[Pisteet 7]],0)</f>
        <v>7.5501120969456763E-5</v>
      </c>
      <c r="AD35" s="16">
        <f>ROUND(IFERROR('1.1 Jakotaulu'!M$21*Ohj.lask.[[#This Row],[%-osuus 7]],0),0)</f>
        <v>608</v>
      </c>
      <c r="AE35" s="12">
        <f>IFERROR(Ohj.lask.[[#This Row],[Jaettava € 8]]/Ohj.lask.[[#Totals],[Jaettava € 8]],"")</f>
        <v>3.5097320471212114E-4</v>
      </c>
      <c r="AF3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745346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7">
        <v>0</v>
      </c>
      <c r="AM35" s="107">
        <v>0</v>
      </c>
      <c r="AN3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35" s="10">
        <f>Ohj.lask.[[#This Row],[Jaettava € 1]]+Ohj.lask.[[#This Row],[Harkinnanvarainen korotus 8, €]]</f>
        <v>503638</v>
      </c>
      <c r="AP35" s="102">
        <f>Ohj.lask.[[#This Row],[Jaettava € 2]]</f>
        <v>183781</v>
      </c>
      <c r="AQ35" s="10">
        <f>Ohj.lask.[[#This Row],[Jaettava € 3]]+Ohj.lask.[[#This Row],[Jaettava € 4]]+Ohj.lask.[[#This Row],[Jaettava € 5]]+Ohj.lask.[[#This Row],[Jaettava € 6]]+Ohj.lask.[[#This Row],[Jaettava € 7]]</f>
        <v>57927</v>
      </c>
      <c r="AR35" s="33">
        <f>Ohj.lask.[[#This Row],[Jaettava € 8]]+Ohj.lask.[[#This Row],[Harkinnanvarainen korotus 8, €]]</f>
        <v>745346</v>
      </c>
      <c r="AS35" s="33">
        <v>0</v>
      </c>
      <c r="AT35" s="16">
        <f>Ohj.lask.[[#This Row],[Perus-, suoritus- ja vaikuttavuusrahoitus yhteensä, €]]+Ohj.lask.[[#This Row],[Alv-korvaus, €]]</f>
        <v>745346</v>
      </c>
    </row>
    <row r="36" spans="1:46" ht="12.75" x14ac:dyDescent="0.2">
      <c r="A36" s="3" t="s">
        <v>288</v>
      </c>
      <c r="B36" s="7" t="s">
        <v>38</v>
      </c>
      <c r="C36" s="7" t="s">
        <v>180</v>
      </c>
      <c r="D36" s="7" t="s">
        <v>324</v>
      </c>
      <c r="E36" s="7" t="s">
        <v>373</v>
      </c>
      <c r="F36" s="105">
        <v>2698</v>
      </c>
      <c r="G36" s="106">
        <f>Ohj.lask.[[#This Row],[Tavoitteelliset opiskelija-vuodet]]-Ohj.lask.[[#This Row],[Järjestämisluvan opisk.vuosien vähimmäismäärä]]</f>
        <v>19</v>
      </c>
      <c r="H36" s="32">
        <v>2717</v>
      </c>
      <c r="I36" s="8">
        <f>IFERROR(VLOOKUP($A36,'2.1 Toteut. op.vuodet'!$A:$T,COLUMN('2.1 Toteut. op.vuodet'!S:S),FALSE),0)</f>
        <v>1.1944105373887675</v>
      </c>
      <c r="J36" s="74">
        <f t="shared" si="0"/>
        <v>3245.2</v>
      </c>
      <c r="K36" s="9">
        <f>IFERROR(Ohj.lask.[[#This Row],[Painotetut opiskelija-vuodet]]/Ohj.lask.[[#Totals],[Painotetut opiskelija-vuodet]],0)</f>
        <v>1.4972930425611037E-2</v>
      </c>
      <c r="L36" s="10">
        <f>ROUND(IFERROR('1.1 Jakotaulu'!L$12*Ohj.lask.[[#This Row],[%-osuus 1]],0),0)</f>
        <v>22146402</v>
      </c>
      <c r="M36" s="132">
        <f>IFERROR(ROUND(VLOOKUP($A36,'2.2 Tutk. ja osien pain. pist.'!$A:$Q,COLUMN('2.2 Tutk. ja osien pain. pist.'!O:O),FALSE),1),0)</f>
        <v>215956.2</v>
      </c>
      <c r="N36" s="9">
        <f>IFERROR(Ohj.lask.[[#This Row],[Painotetut pisteet 2]]/Ohj.lask.[[#Totals],[Painotetut pisteet 2]],0)</f>
        <v>1.4097475378171957E-2</v>
      </c>
      <c r="O36" s="16">
        <f>ROUND(IFERROR('1.1 Jakotaulu'!K$13*Ohj.lask.[[#This Row],[%-osuus 2]],0),0)</f>
        <v>6057770</v>
      </c>
      <c r="P36" s="133">
        <f>IFERROR(ROUND(VLOOKUP($A36,'2.3 Työll. ja jatko-opisk.'!$A:$Z,COLUMN('2.3 Työll. ja jatko-opisk.'!L:L),FALSE),1),0)</f>
        <v>5449.4</v>
      </c>
      <c r="Q36" s="9">
        <f>IFERROR(Ohj.lask.[[#This Row],[Painotetut pisteet 3]]/Ohj.lask.[[#Totals],[Painotetut pisteet 3]],0)</f>
        <v>1.7436071364578792E-2</v>
      </c>
      <c r="R36" s="10">
        <f>ROUND(IFERROR('1.1 Jakotaulu'!L$15*Ohj.lask.[[#This Row],[%-osuus 3]],0),0)</f>
        <v>2622335</v>
      </c>
      <c r="S36" s="132">
        <f>IFERROR(ROUND(VLOOKUP($A36,'2.4 Aloittaneet palaute'!$A:$I,COLUMN('2.4 Aloittaneet palaute'!H:H),FALSE),1),0)</f>
        <v>26787.9</v>
      </c>
      <c r="T36" s="13">
        <f>IFERROR(Ohj.lask.[[#This Row],[Painotetut pisteet 4]]/Ohj.lask.[[#Totals],[Painotetut pisteet 4]],0)</f>
        <v>1.6070537372147774E-2</v>
      </c>
      <c r="U36" s="16">
        <f>ROUND(IFERROR('1.1 Jakotaulu'!M$17*Ohj.lask.[[#This Row],[%-osuus 4]],0),0)</f>
        <v>129480</v>
      </c>
      <c r="V36" s="132">
        <f>IFERROR(ROUND(VLOOKUP($A36,'2.5 Päättäneet palaute'!$A:$Z,COLUMN('2.5 Päättäneet palaute'!X:X),FALSE),1),0)</f>
        <v>150139.4</v>
      </c>
      <c r="W36" s="13">
        <f>IFERROR(Ohj.lask.[[#This Row],[Painotetut pisteet 5]]/Ohj.lask.[[#Totals],[Painotetut pisteet 5]],0)</f>
        <v>1.4680068701900984E-2</v>
      </c>
      <c r="X36" s="16">
        <f>ROUND(IFERROR('1.1 Jakotaulu'!M$18*Ohj.lask.[[#This Row],[%-osuus 5]],0),0)</f>
        <v>354831</v>
      </c>
      <c r="Y36" s="132">
        <f>IFERROR(ROUND(VLOOKUP($A36,'2.6 Työpaikkaohjaajakysely'!B:J,COLUMN('2.6 Työpaikkaohjaajakysely'!H:H),FALSE),1),0)</f>
        <v>4909308.8</v>
      </c>
      <c r="Z36" s="9">
        <f>IFERROR(Ohj.lask.[[#This Row],[Painotetut pisteet 6]]/Ohj.lask.[[#Totals],[Painotetut pisteet 6]],0)</f>
        <v>1.4464372168229236E-2</v>
      </c>
      <c r="AA36" s="16">
        <f>ROUND(IFERROR('1.1 Jakotaulu'!M$20*Ohj.lask.[[#This Row],[%-osuus 6]],0),0)</f>
        <v>349618</v>
      </c>
      <c r="AB36" s="132">
        <f>IFERROR(ROUND(VLOOKUP($A36,'2.7 Työpaikkakysely'!B:H,COLUMN('2.7 Työpaikkakysely'!F:F),FALSE),1),0)</f>
        <v>2934046.8</v>
      </c>
      <c r="AC36" s="9">
        <f>IFERROR(Ohj.lask.[[#This Row],[Pisteet 7]]/Ohj.lask.[[#Totals],[Pisteet 7]],0)</f>
        <v>1.5900360492165339E-2</v>
      </c>
      <c r="AD36" s="16">
        <f>ROUND(IFERROR('1.1 Jakotaulu'!M$21*Ohj.lask.[[#This Row],[%-osuus 7]],0),0)</f>
        <v>128109</v>
      </c>
      <c r="AE36" s="12">
        <f>IFERROR(Ohj.lask.[[#This Row],[Jaettava € 8]]/Ohj.lask.[[#Totals],[Jaettava € 8]],"")</f>
        <v>1.496878967859957E-2</v>
      </c>
      <c r="AF3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31788545</v>
      </c>
      <c r="AG36" s="102">
        <v>0</v>
      </c>
      <c r="AH36" s="102">
        <v>0</v>
      </c>
      <c r="AI36" s="102">
        <v>0</v>
      </c>
      <c r="AJ36" s="102">
        <v>0</v>
      </c>
      <c r="AK36" s="102">
        <v>37000</v>
      </c>
      <c r="AL36" s="107">
        <v>0</v>
      </c>
      <c r="AM36" s="107">
        <v>195574</v>
      </c>
      <c r="AN3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232574</v>
      </c>
      <c r="AO36" s="10">
        <f>Ohj.lask.[[#This Row],[Jaettava € 1]]+Ohj.lask.[[#This Row],[Harkinnanvarainen korotus 8, €]]</f>
        <v>22378976</v>
      </c>
      <c r="AP36" s="102">
        <f>Ohj.lask.[[#This Row],[Jaettava € 2]]</f>
        <v>6057770</v>
      </c>
      <c r="AQ36" s="10">
        <f>Ohj.lask.[[#This Row],[Jaettava € 3]]+Ohj.lask.[[#This Row],[Jaettava € 4]]+Ohj.lask.[[#This Row],[Jaettava € 5]]+Ohj.lask.[[#This Row],[Jaettava € 6]]+Ohj.lask.[[#This Row],[Jaettava € 7]]</f>
        <v>3584373</v>
      </c>
      <c r="AR36" s="33">
        <f>Ohj.lask.[[#This Row],[Jaettava € 8]]+Ohj.lask.[[#This Row],[Harkinnanvarainen korotus 8, €]]</f>
        <v>32021119</v>
      </c>
      <c r="AS36" s="33">
        <v>0</v>
      </c>
      <c r="AT36" s="16">
        <f>Ohj.lask.[[#This Row],[Perus-, suoritus- ja vaikuttavuusrahoitus yhteensä, €]]+Ohj.lask.[[#This Row],[Alv-korvaus, €]]</f>
        <v>32021119</v>
      </c>
    </row>
    <row r="37" spans="1:46" ht="12.75" x14ac:dyDescent="0.2">
      <c r="A37" s="3" t="s">
        <v>287</v>
      </c>
      <c r="B37" s="7" t="s">
        <v>39</v>
      </c>
      <c r="C37" s="7" t="s">
        <v>173</v>
      </c>
      <c r="D37" s="7" t="s">
        <v>325</v>
      </c>
      <c r="E37" s="7" t="s">
        <v>373</v>
      </c>
      <c r="F37" s="105">
        <v>136</v>
      </c>
      <c r="G37" s="106">
        <f>Ohj.lask.[[#This Row],[Tavoitteelliset opiskelija-vuodet]]-Ohj.lask.[[#This Row],[Järjestämisluvan opisk.vuosien vähimmäismäärä]]</f>
        <v>0</v>
      </c>
      <c r="H37" s="32">
        <v>136</v>
      </c>
      <c r="I37" s="8">
        <f>IFERROR(VLOOKUP($A37,'2.1 Toteut. op.vuodet'!$A:$T,COLUMN('2.1 Toteut. op.vuodet'!S:S),FALSE),0)</f>
        <v>0.72765978011814447</v>
      </c>
      <c r="J37" s="74">
        <f t="shared" si="0"/>
        <v>99</v>
      </c>
      <c r="K37" s="9">
        <f>IFERROR(Ohj.lask.[[#This Row],[Painotetut opiskelija-vuodet]]/Ohj.lask.[[#Totals],[Painotetut opiskelija-vuodet]],0)</f>
        <v>4.5677311479585007E-4</v>
      </c>
      <c r="L37" s="10">
        <f>ROUND(IFERROR('1.1 Jakotaulu'!L$12*Ohj.lask.[[#This Row],[%-osuus 1]],0),0)</f>
        <v>675611</v>
      </c>
      <c r="M37" s="132">
        <f>IFERROR(ROUND(VLOOKUP($A37,'2.2 Tutk. ja osien pain. pist.'!$A:$Q,COLUMN('2.2 Tutk. ja osien pain. pist.'!O:O),FALSE),1),0)</f>
        <v>10807.9</v>
      </c>
      <c r="N37" s="9">
        <f>IFERROR(Ohj.lask.[[#This Row],[Painotetut pisteet 2]]/Ohj.lask.[[#Totals],[Painotetut pisteet 2]],0)</f>
        <v>7.055324373171258E-4</v>
      </c>
      <c r="O37" s="16">
        <f>ROUND(IFERROR('1.1 Jakotaulu'!K$13*Ohj.lask.[[#This Row],[%-osuus 2]],0),0)</f>
        <v>303172</v>
      </c>
      <c r="P37" s="133">
        <f>IFERROR(ROUND(VLOOKUP($A37,'2.3 Työll. ja jatko-opisk.'!$A:$Z,COLUMN('2.3 Työll. ja jatko-opisk.'!L:L),FALSE),1),0)</f>
        <v>329.5</v>
      </c>
      <c r="Q37" s="9">
        <f>IFERROR(Ohj.lask.[[#This Row],[Painotetut pisteet 3]]/Ohj.lask.[[#Totals],[Painotetut pisteet 3]],0)</f>
        <v>1.0542785471113723E-3</v>
      </c>
      <c r="R37" s="10">
        <f>ROUND(IFERROR('1.1 Jakotaulu'!L$15*Ohj.lask.[[#This Row],[%-osuus 3]],0),0)</f>
        <v>158560</v>
      </c>
      <c r="S37" s="132">
        <f>IFERROR(ROUND(VLOOKUP($A37,'2.4 Aloittaneet palaute'!$A:$I,COLUMN('2.4 Aloittaneet palaute'!H:H),FALSE),1),0)</f>
        <v>4346.8999999999996</v>
      </c>
      <c r="T37" s="13">
        <f>IFERROR(Ohj.lask.[[#This Row],[Painotetut pisteet 4]]/Ohj.lask.[[#Totals],[Painotetut pisteet 4]],0)</f>
        <v>2.6077825773199522E-3</v>
      </c>
      <c r="U37" s="16">
        <f>ROUND(IFERROR('1.1 Jakotaulu'!M$17*Ohj.lask.[[#This Row],[%-osuus 4]],0),0)</f>
        <v>21011</v>
      </c>
      <c r="V37" s="132">
        <f>IFERROR(ROUND(VLOOKUP($A37,'2.5 Päättäneet palaute'!$A:$Z,COLUMN('2.5 Päättäneet palaute'!X:X),FALSE),1),0)</f>
        <v>32796.300000000003</v>
      </c>
      <c r="W37" s="13">
        <f>IFERROR(Ohj.lask.[[#This Row],[Painotetut pisteet 5]]/Ohj.lask.[[#Totals],[Painotetut pisteet 5]],0)</f>
        <v>3.2066994883964855E-3</v>
      </c>
      <c r="X37" s="16">
        <f>ROUND(IFERROR('1.1 Jakotaulu'!M$18*Ohj.lask.[[#This Row],[%-osuus 5]],0),0)</f>
        <v>77509</v>
      </c>
      <c r="Y37" s="132">
        <f>IFERROR(ROUND(VLOOKUP($A37,'2.6 Työpaikkaohjaajakysely'!B:J,COLUMN('2.6 Työpaikkaohjaajakysely'!H:H),FALSE),1),0)</f>
        <v>829551.6</v>
      </c>
      <c r="Z37" s="9">
        <f>IFERROR(Ohj.lask.[[#This Row],[Painotetut pisteet 6]]/Ohj.lask.[[#Totals],[Painotetut pisteet 6]],0)</f>
        <v>2.4441206621897632E-3</v>
      </c>
      <c r="AA37" s="16">
        <f>ROUND(IFERROR('1.1 Jakotaulu'!M$20*Ohj.lask.[[#This Row],[%-osuus 6]],0),0)</f>
        <v>59077</v>
      </c>
      <c r="AB37" s="132">
        <f>IFERROR(ROUND(VLOOKUP($A37,'2.7 Työpaikkakysely'!B:H,COLUMN('2.7 Työpaikkakysely'!F:F),FALSE),1),0)</f>
        <v>309631</v>
      </c>
      <c r="AC37" s="9">
        <f>IFERROR(Ohj.lask.[[#This Row],[Pisteet 7]]/Ohj.lask.[[#Totals],[Pisteet 7]],0)</f>
        <v>1.6779706852493444E-3</v>
      </c>
      <c r="AD37" s="16">
        <f>ROUND(IFERROR('1.1 Jakotaulu'!M$21*Ohj.lask.[[#This Row],[%-osuus 7]],0),0)</f>
        <v>13519</v>
      </c>
      <c r="AE37" s="12">
        <f>IFERROR(Ohj.lask.[[#This Row],[Jaettava € 8]]/Ohj.lask.[[#Totals],[Jaettava € 8]],"")</f>
        <v>6.1613539009321486E-4</v>
      </c>
      <c r="AF3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1308459</v>
      </c>
      <c r="AG37" s="102">
        <v>0</v>
      </c>
      <c r="AH37" s="102">
        <v>0</v>
      </c>
      <c r="AI37" s="102">
        <v>0</v>
      </c>
      <c r="AJ37" s="102">
        <v>0</v>
      </c>
      <c r="AK37" s="102">
        <v>8000</v>
      </c>
      <c r="AL37" s="107">
        <v>0</v>
      </c>
      <c r="AM37" s="107">
        <v>0</v>
      </c>
      <c r="AN3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8000</v>
      </c>
      <c r="AO37" s="10">
        <f>Ohj.lask.[[#This Row],[Jaettava € 1]]+Ohj.lask.[[#This Row],[Harkinnanvarainen korotus 8, €]]</f>
        <v>683611</v>
      </c>
      <c r="AP37" s="102">
        <f>Ohj.lask.[[#This Row],[Jaettava € 2]]</f>
        <v>303172</v>
      </c>
      <c r="AQ37" s="10">
        <f>Ohj.lask.[[#This Row],[Jaettava € 3]]+Ohj.lask.[[#This Row],[Jaettava € 4]]+Ohj.lask.[[#This Row],[Jaettava € 5]]+Ohj.lask.[[#This Row],[Jaettava € 6]]+Ohj.lask.[[#This Row],[Jaettava € 7]]</f>
        <v>329676</v>
      </c>
      <c r="AR37" s="33">
        <f>Ohj.lask.[[#This Row],[Jaettava € 8]]+Ohj.lask.[[#This Row],[Harkinnanvarainen korotus 8, €]]</f>
        <v>1316459</v>
      </c>
      <c r="AS37" s="33">
        <v>58905</v>
      </c>
      <c r="AT37" s="16">
        <f>Ohj.lask.[[#This Row],[Perus-, suoritus- ja vaikuttavuusrahoitus yhteensä, €]]+Ohj.lask.[[#This Row],[Alv-korvaus, €]]</f>
        <v>1375364</v>
      </c>
    </row>
    <row r="38" spans="1:46" ht="12.75" x14ac:dyDescent="0.2">
      <c r="A38" s="3" t="s">
        <v>286</v>
      </c>
      <c r="B38" s="7" t="s">
        <v>441</v>
      </c>
      <c r="C38" s="96" t="s">
        <v>175</v>
      </c>
      <c r="D38" s="96" t="s">
        <v>324</v>
      </c>
      <c r="E38" s="96" t="s">
        <v>373</v>
      </c>
      <c r="F38" s="104">
        <v>6314</v>
      </c>
      <c r="G38" s="106">
        <f>Ohj.lask.[[#This Row],[Tavoitteelliset opiskelija-vuodet]]-Ohj.lask.[[#This Row],[Järjestämisluvan opisk.vuosien vähimmäismäärä]]</f>
        <v>0</v>
      </c>
      <c r="H38" s="32">
        <v>6314</v>
      </c>
      <c r="I38" s="8">
        <f>IFERROR(VLOOKUP($A38,'2.1 Toteut. op.vuodet'!$A:$T,COLUMN('2.1 Toteut. op.vuodet'!S:S),FALSE),0)</f>
        <v>1.1121354549035583</v>
      </c>
      <c r="J38" s="74">
        <f t="shared" ref="J38:J69" si="1">IFERROR(ROUND(H38*I38,1),0)</f>
        <v>7022</v>
      </c>
      <c r="K38" s="9">
        <f>IFERROR(Ohj.lask.[[#This Row],[Painotetut opiskelija-vuodet]]/Ohj.lask.[[#Totals],[Painotetut opiskelija-vuodet]],0)</f>
        <v>3.2398594061580396E-2</v>
      </c>
      <c r="L38" s="10">
        <f>ROUND(IFERROR('1.1 Jakotaulu'!L$12*Ohj.lask.[[#This Row],[%-osuus 1]],0),0)</f>
        <v>47920631</v>
      </c>
      <c r="M38" s="132">
        <f>IFERROR(ROUND(VLOOKUP($A38,'2.2 Tutk. ja osien pain. pist.'!$A:$Q,COLUMN('2.2 Tutk. ja osien pain. pist.'!O:O),FALSE),1),0)</f>
        <v>551202.1</v>
      </c>
      <c r="N38" s="9">
        <f>IFERROR(Ohj.lask.[[#This Row],[Painotetut pisteet 2]]/Ohj.lask.[[#Totals],[Painotetut pisteet 2]],0)</f>
        <v>3.5982102079711885E-2</v>
      </c>
      <c r="O38" s="16">
        <f>ROUND(IFERROR('1.1 Jakotaulu'!K$13*Ohj.lask.[[#This Row],[%-osuus 2]],0),0)</f>
        <v>15461725</v>
      </c>
      <c r="P38" s="133">
        <f>IFERROR(ROUND(VLOOKUP($A38,'2.3 Työll. ja jatko-opisk.'!$A:$Z,COLUMN('2.3 Työll. ja jatko-opisk.'!L:L),FALSE),1),0)</f>
        <v>12062.3</v>
      </c>
      <c r="Q38" s="13">
        <f>IFERROR(Ohj.lask.[[#This Row],[Painotetut pisteet 3]]/Ohj.lask.[[#Totals],[Painotetut pisteet 3]],0)</f>
        <v>3.8594913865922627E-2</v>
      </c>
      <c r="R38" s="10">
        <f>ROUND(IFERROR('1.1 Jakotaulu'!L$15*Ohj.lask.[[#This Row],[%-osuus 3]],0),0)</f>
        <v>5804563</v>
      </c>
      <c r="S38" s="132">
        <f>IFERROR(ROUND(VLOOKUP($A38,'2.4 Aloittaneet palaute'!$A:$I,COLUMN('2.4 Aloittaneet palaute'!H:H),FALSE),1),0)</f>
        <v>62517.2</v>
      </c>
      <c r="T38" s="13">
        <f>IFERROR(Ohj.lask.[[#This Row],[Painotetut pisteet 4]]/Ohj.lask.[[#Totals],[Painotetut pisteet 4]],0)</f>
        <v>3.7505179540092234E-2</v>
      </c>
      <c r="U38" s="16">
        <f>ROUND(IFERROR('1.1 Jakotaulu'!M$17*Ohj.lask.[[#This Row],[%-osuus 4]],0),0)</f>
        <v>302179</v>
      </c>
      <c r="V38" s="132">
        <f>IFERROR(ROUND(VLOOKUP($A38,'2.5 Päättäneet palaute'!$A:$Z,COLUMN('2.5 Päättäneet palaute'!X:X),FALSE),1),0)</f>
        <v>345207.3</v>
      </c>
      <c r="W38" s="13">
        <f>IFERROR(Ohj.lask.[[#This Row],[Painotetut pisteet 5]]/Ohj.lask.[[#Totals],[Painotetut pisteet 5]],0)</f>
        <v>3.3753078008822095E-2</v>
      </c>
      <c r="X38" s="16">
        <f>ROUND(IFERROR('1.1 Jakotaulu'!M$18*Ohj.lask.[[#This Row],[%-osuus 5]],0),0)</f>
        <v>815844</v>
      </c>
      <c r="Y38" s="132">
        <f>IFERROR(ROUND(VLOOKUP($A38,'2.6 Työpaikkaohjaajakysely'!B:J,COLUMN('2.6 Työpaikkaohjaajakysely'!H:H),FALSE),1),0)</f>
        <v>11231512.699999999</v>
      </c>
      <c r="Z38" s="9">
        <f>IFERROR(Ohj.lask.[[#This Row],[Painotetut pisteet 6]]/Ohj.lask.[[#Totals],[Painotetut pisteet 6]],0)</f>
        <v>3.3091578941824393E-2</v>
      </c>
      <c r="AA38" s="16">
        <f>ROUND(IFERROR('1.1 Jakotaulu'!M$20*Ohj.lask.[[#This Row],[%-osuus 6]],0),0)</f>
        <v>799855</v>
      </c>
      <c r="AB38" s="132">
        <f>IFERROR(ROUND(VLOOKUP($A38,'2.7 Työpaikkakysely'!B:H,COLUMN('2.7 Työpaikkakysely'!F:F),FALSE),1),0)</f>
        <v>5091461.4000000004</v>
      </c>
      <c r="AC38" s="9">
        <f>IFERROR(Ohj.lask.[[#This Row],[Pisteet 7]]/Ohj.lask.[[#Totals],[Pisteet 7]],0)</f>
        <v>2.7591949689399924E-2</v>
      </c>
      <c r="AD38" s="16">
        <f>ROUND(IFERROR('1.1 Jakotaulu'!M$21*Ohj.lask.[[#This Row],[%-osuus 7]],0),0)</f>
        <v>222308</v>
      </c>
      <c r="AE38" s="12">
        <f>IFERROR(Ohj.lask.[[#This Row],[Jaettava € 8]]/Ohj.lask.[[#Totals],[Jaettava € 8]],"")</f>
        <v>3.3586955084870598E-2</v>
      </c>
      <c r="AF3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71327105</v>
      </c>
      <c r="AG38" s="102">
        <v>0</v>
      </c>
      <c r="AH38" s="102">
        <v>0</v>
      </c>
      <c r="AI38" s="102">
        <v>0</v>
      </c>
      <c r="AJ38" s="102">
        <v>0</v>
      </c>
      <c r="AK38" s="102">
        <v>60000</v>
      </c>
      <c r="AL38" s="107">
        <v>40000</v>
      </c>
      <c r="AM38" s="107">
        <v>96101</v>
      </c>
      <c r="AN3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196101</v>
      </c>
      <c r="AO38" s="10">
        <f>Ohj.lask.[[#This Row],[Jaettava € 1]]+Ohj.lask.[[#This Row],[Harkinnanvarainen korotus 8, €]]</f>
        <v>48116732</v>
      </c>
      <c r="AP38" s="102">
        <f>Ohj.lask.[[#This Row],[Jaettava € 2]]</f>
        <v>15461725</v>
      </c>
      <c r="AQ38" s="10">
        <f>Ohj.lask.[[#This Row],[Jaettava € 3]]+Ohj.lask.[[#This Row],[Jaettava € 4]]+Ohj.lask.[[#This Row],[Jaettava € 5]]+Ohj.lask.[[#This Row],[Jaettava € 6]]+Ohj.lask.[[#This Row],[Jaettava € 7]]</f>
        <v>7944749</v>
      </c>
      <c r="AR38" s="33">
        <f>Ohj.lask.[[#This Row],[Jaettava € 8]]+Ohj.lask.[[#This Row],[Harkinnanvarainen korotus 8, €]]</f>
        <v>71523206</v>
      </c>
      <c r="AS38" s="33">
        <v>0</v>
      </c>
      <c r="AT38" s="16">
        <f>Ohj.lask.[[#This Row],[Perus-, suoritus- ja vaikuttavuusrahoitus yhteensä, €]]+Ohj.lask.[[#This Row],[Alv-korvaus, €]]</f>
        <v>71523206</v>
      </c>
    </row>
    <row r="39" spans="1:46" ht="12.75" x14ac:dyDescent="0.2">
      <c r="A39" s="3" t="s">
        <v>291</v>
      </c>
      <c r="B39" s="7" t="s">
        <v>40</v>
      </c>
      <c r="C39" s="96" t="s">
        <v>175</v>
      </c>
      <c r="D39" s="96" t="s">
        <v>325</v>
      </c>
      <c r="E39" s="96" t="s">
        <v>373</v>
      </c>
      <c r="F39" s="104">
        <v>166</v>
      </c>
      <c r="G39" s="106">
        <f>Ohj.lask.[[#This Row],[Tavoitteelliset opiskelija-vuodet]]-Ohj.lask.[[#This Row],[Järjestämisluvan opisk.vuosien vähimmäismäärä]]</f>
        <v>30</v>
      </c>
      <c r="H39" s="32">
        <v>196</v>
      </c>
      <c r="I39" s="8">
        <f>IFERROR(VLOOKUP($A39,'2.1 Toteut. op.vuodet'!$A:$T,COLUMN('2.1 Toteut. op.vuodet'!S:S),FALSE),0)</f>
        <v>0.96998706469083507</v>
      </c>
      <c r="J39" s="74">
        <f t="shared" si="1"/>
        <v>190.1</v>
      </c>
      <c r="K39" s="9">
        <f>IFERROR(Ohj.lask.[[#This Row],[Painotetut opiskelija-vuodet]]/Ohj.lask.[[#Totals],[Painotetut opiskelija-vuodet]],0)</f>
        <v>8.7709665780496052E-4</v>
      </c>
      <c r="L39" s="10">
        <f>ROUND(IFERROR('1.1 Jakotaulu'!L$12*Ohj.lask.[[#This Row],[%-osuus 1]],0),0)</f>
        <v>1297310</v>
      </c>
      <c r="M39" s="132">
        <f>IFERROR(ROUND(VLOOKUP($A39,'2.2 Tutk. ja osien pain. pist.'!$A:$Q,COLUMN('2.2 Tutk. ja osien pain. pist.'!O:O),FALSE),1),0)</f>
        <v>18487.599999999999</v>
      </c>
      <c r="N39" s="9">
        <f>IFERROR(Ohj.lask.[[#This Row],[Painotetut pisteet 2]]/Ohj.lask.[[#Totals],[Painotetut pisteet 2]],0)</f>
        <v>1.2068580841924975E-3</v>
      </c>
      <c r="O39" s="16">
        <f>ROUND(IFERROR('1.1 Jakotaulu'!K$13*Ohj.lask.[[#This Row],[%-osuus 2]],0),0)</f>
        <v>518594</v>
      </c>
      <c r="P39" s="133">
        <f>IFERROR(ROUND(VLOOKUP($A39,'2.3 Työll. ja jatko-opisk.'!$A:$Z,COLUMN('2.3 Työll. ja jatko-opisk.'!L:L),FALSE),1),0)</f>
        <v>471.3</v>
      </c>
      <c r="Q39" s="13">
        <f>IFERROR(Ohj.lask.[[#This Row],[Painotetut pisteet 3]]/Ohj.lask.[[#Totals],[Painotetut pisteet 3]],0)</f>
        <v>1.5079862799805457E-3</v>
      </c>
      <c r="R39" s="10">
        <f>ROUND(IFERROR('1.1 Jakotaulu'!L$15*Ohj.lask.[[#This Row],[%-osuus 3]],0),0)</f>
        <v>226797</v>
      </c>
      <c r="S39" s="132">
        <f>IFERROR(ROUND(VLOOKUP($A39,'2.4 Aloittaneet palaute'!$A:$I,COLUMN('2.4 Aloittaneet palaute'!H:H),FALSE),1),0)</f>
        <v>2668.6</v>
      </c>
      <c r="T39" s="13">
        <f>IFERROR(Ohj.lask.[[#This Row],[Painotetut pisteet 4]]/Ohj.lask.[[#Totals],[Painotetut pisteet 4]],0)</f>
        <v>1.6009405750847788E-3</v>
      </c>
      <c r="U39" s="16">
        <f>ROUND(IFERROR('1.1 Jakotaulu'!M$17*Ohj.lask.[[#This Row],[%-osuus 4]],0),0)</f>
        <v>12899</v>
      </c>
      <c r="V39" s="132">
        <f>IFERROR(ROUND(VLOOKUP($A39,'2.5 Päättäneet palaute'!$A:$Z,COLUMN('2.5 Päättäneet palaute'!X:X),FALSE),1),0)</f>
        <v>20904.7</v>
      </c>
      <c r="W39" s="13">
        <f>IFERROR(Ohj.lask.[[#This Row],[Painotetut pisteet 5]]/Ohj.lask.[[#Totals],[Painotetut pisteet 5]],0)</f>
        <v>2.0439833394340829E-3</v>
      </c>
      <c r="X39" s="16">
        <f>ROUND(IFERROR('1.1 Jakotaulu'!M$18*Ohj.lask.[[#This Row],[%-osuus 5]],0),0)</f>
        <v>49405</v>
      </c>
      <c r="Y39" s="132">
        <f>IFERROR(ROUND(VLOOKUP($A39,'2.6 Työpaikkaohjaajakysely'!B:J,COLUMN('2.6 Työpaikkaohjaajakysely'!H:H),FALSE),1),0)</f>
        <v>986014.5</v>
      </c>
      <c r="Z39" s="9">
        <f>IFERROR(Ohj.lask.[[#This Row],[Painotetut pisteet 6]]/Ohj.lask.[[#Totals],[Painotetut pisteet 6]],0)</f>
        <v>2.9051097155001668E-3</v>
      </c>
      <c r="AA39" s="16">
        <f>ROUND(IFERROR('1.1 Jakotaulu'!M$20*Ohj.lask.[[#This Row],[%-osuus 6]],0),0)</f>
        <v>70219</v>
      </c>
      <c r="AB39" s="132">
        <f>IFERROR(ROUND(VLOOKUP($A39,'2.7 Työpaikkakysely'!B:H,COLUMN('2.7 Työpaikkakysely'!F:F),FALSE),1),0)</f>
        <v>372049</v>
      </c>
      <c r="AC39" s="9">
        <f>IFERROR(Ohj.lask.[[#This Row],[Pisteet 7]]/Ohj.lask.[[#Totals],[Pisteet 7]],0)</f>
        <v>2.016230014037139E-3</v>
      </c>
      <c r="AD39" s="16">
        <f>ROUND(IFERROR('1.1 Jakotaulu'!M$21*Ohj.lask.[[#This Row],[%-osuus 7]],0),0)</f>
        <v>16245</v>
      </c>
      <c r="AE39" s="12">
        <f>IFERROR(Ohj.lask.[[#This Row],[Jaettava € 8]]/Ohj.lask.[[#Totals],[Jaettava € 8]],"")</f>
        <v>1.0319326835553789E-3</v>
      </c>
      <c r="AF3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2191469</v>
      </c>
      <c r="AG39" s="102">
        <v>0</v>
      </c>
      <c r="AH39" s="102">
        <v>0</v>
      </c>
      <c r="AI39" s="102">
        <v>0</v>
      </c>
      <c r="AJ39" s="102">
        <v>0</v>
      </c>
      <c r="AK39" s="102">
        <v>5000</v>
      </c>
      <c r="AL39" s="107">
        <v>0</v>
      </c>
      <c r="AM39" s="107">
        <v>0</v>
      </c>
      <c r="AN3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5000</v>
      </c>
      <c r="AO39" s="10">
        <f>Ohj.lask.[[#This Row],[Jaettava € 1]]+Ohj.lask.[[#This Row],[Harkinnanvarainen korotus 8, €]]</f>
        <v>1302310</v>
      </c>
      <c r="AP39" s="102">
        <f>Ohj.lask.[[#This Row],[Jaettava € 2]]</f>
        <v>518594</v>
      </c>
      <c r="AQ39" s="10">
        <f>Ohj.lask.[[#This Row],[Jaettava € 3]]+Ohj.lask.[[#This Row],[Jaettava € 4]]+Ohj.lask.[[#This Row],[Jaettava € 5]]+Ohj.lask.[[#This Row],[Jaettava € 6]]+Ohj.lask.[[#This Row],[Jaettava € 7]]</f>
        <v>375565</v>
      </c>
      <c r="AR39" s="33">
        <f>Ohj.lask.[[#This Row],[Jaettava € 8]]+Ohj.lask.[[#This Row],[Harkinnanvarainen korotus 8, €]]</f>
        <v>2196469</v>
      </c>
      <c r="AS39" s="33">
        <v>71415</v>
      </c>
      <c r="AT39" s="16">
        <f>Ohj.lask.[[#This Row],[Perus-, suoritus- ja vaikuttavuusrahoitus yhteensä, €]]+Ohj.lask.[[#This Row],[Alv-korvaus, €]]</f>
        <v>2267884</v>
      </c>
    </row>
    <row r="40" spans="1:46" ht="12.75" x14ac:dyDescent="0.2">
      <c r="A40" s="3" t="s">
        <v>290</v>
      </c>
      <c r="B40" s="7" t="s">
        <v>41</v>
      </c>
      <c r="C40" s="7" t="s">
        <v>175</v>
      </c>
      <c r="D40" s="7" t="s">
        <v>325</v>
      </c>
      <c r="E40" s="7" t="s">
        <v>373</v>
      </c>
      <c r="F40" s="105">
        <v>118</v>
      </c>
      <c r="G40" s="106">
        <f>Ohj.lask.[[#This Row],[Tavoitteelliset opiskelija-vuodet]]-Ohj.lask.[[#This Row],[Järjestämisluvan opisk.vuosien vähimmäismäärä]]</f>
        <v>0</v>
      </c>
      <c r="H40" s="32">
        <v>118</v>
      </c>
      <c r="I40" s="8">
        <f>IFERROR(VLOOKUP($A40,'2.1 Toteut. op.vuodet'!$A:$T,COLUMN('2.1 Toteut. op.vuodet'!S:S),FALSE),0)</f>
        <v>1.1111235748013408</v>
      </c>
      <c r="J40" s="74">
        <f t="shared" si="1"/>
        <v>131.1</v>
      </c>
      <c r="K40" s="9">
        <f>IFERROR(Ohj.lask.[[#This Row],[Painotetut opiskelija-vuodet]]/Ohj.lask.[[#Totals],[Painotetut opiskelija-vuodet]],0)</f>
        <v>6.0487833686601955E-4</v>
      </c>
      <c r="L40" s="10">
        <f>ROUND(IFERROR('1.1 Jakotaulu'!L$12*Ohj.lask.[[#This Row],[%-osuus 1]],0),0)</f>
        <v>894673</v>
      </c>
      <c r="M40" s="132">
        <f>IFERROR(ROUND(VLOOKUP($A40,'2.2 Tutk. ja osien pain. pist.'!$A:$Q,COLUMN('2.2 Tutk. ja osien pain. pist.'!O:O),FALSE),1),0)</f>
        <v>11154.4</v>
      </c>
      <c r="N40" s="9">
        <f>IFERROR(Ohj.lask.[[#This Row],[Painotetut pisteet 2]]/Ohj.lask.[[#Totals],[Painotetut pisteet 2]],0)</f>
        <v>7.2815172409165037E-4</v>
      </c>
      <c r="O40" s="16">
        <f>ROUND(IFERROR('1.1 Jakotaulu'!K$13*Ohj.lask.[[#This Row],[%-osuus 2]],0),0)</f>
        <v>312891</v>
      </c>
      <c r="P40" s="133">
        <f>IFERROR(ROUND(VLOOKUP($A40,'2.3 Työll. ja jatko-opisk.'!$A:$Z,COLUMN('2.3 Työll. ja jatko-opisk.'!L:L),FALSE),1),0)</f>
        <v>233.1</v>
      </c>
      <c r="Q40" s="9">
        <f>IFERROR(Ohj.lask.[[#This Row],[Painotetut pisteet 3]]/Ohj.lask.[[#Totals],[Painotetut pisteet 3]],0)</f>
        <v>7.4583407991399362E-4</v>
      </c>
      <c r="R40" s="10">
        <f>ROUND(IFERROR('1.1 Jakotaulu'!L$15*Ohj.lask.[[#This Row],[%-osuus 3]],0),0)</f>
        <v>112171</v>
      </c>
      <c r="S40" s="132">
        <f>IFERROR(ROUND(VLOOKUP($A40,'2.4 Aloittaneet palaute'!$A:$I,COLUMN('2.4 Aloittaneet palaute'!H:H),FALSE),1),0)</f>
        <v>1729.2</v>
      </c>
      <c r="T40" s="13">
        <f>IFERROR(Ohj.lask.[[#This Row],[Painotetut pisteet 4]]/Ohj.lask.[[#Totals],[Painotetut pisteet 4]],0)</f>
        <v>1.0373778169964025E-3</v>
      </c>
      <c r="U40" s="16">
        <f>ROUND(IFERROR('1.1 Jakotaulu'!M$17*Ohj.lask.[[#This Row],[%-osuus 4]],0),0)</f>
        <v>8358</v>
      </c>
      <c r="V40" s="132">
        <f>IFERROR(ROUND(VLOOKUP($A40,'2.5 Päättäneet palaute'!$A:$Z,COLUMN('2.5 Päättäneet palaute'!X:X),FALSE),1),0)</f>
        <v>10789.3</v>
      </c>
      <c r="W40" s="13">
        <f>IFERROR(Ohj.lask.[[#This Row],[Painotetut pisteet 5]]/Ohj.lask.[[#Totals],[Painotetut pisteet 5]],0)</f>
        <v>1.0549373798311454E-3</v>
      </c>
      <c r="X40" s="16">
        <f>ROUND(IFERROR('1.1 Jakotaulu'!M$18*Ohj.lask.[[#This Row],[%-osuus 5]],0),0)</f>
        <v>25499</v>
      </c>
      <c r="Y40" s="132">
        <f>IFERROR(ROUND(VLOOKUP($A40,'2.6 Työpaikkaohjaajakysely'!B:J,COLUMN('2.6 Työpaikkaohjaajakysely'!H:H),FALSE),1),0)</f>
        <v>395953.8</v>
      </c>
      <c r="Z40" s="9">
        <f>IFERROR(Ohj.lask.[[#This Row],[Painotetut pisteet 6]]/Ohj.lask.[[#Totals],[Painotetut pisteet 6]],0)</f>
        <v>1.1666047824542235E-3</v>
      </c>
      <c r="AA40" s="16">
        <f>ROUND(IFERROR('1.1 Jakotaulu'!M$20*Ohj.lask.[[#This Row],[%-osuus 6]],0),0)</f>
        <v>28198</v>
      </c>
      <c r="AB40" s="132">
        <f>IFERROR(ROUND(VLOOKUP($A40,'2.7 Työpaikkakysely'!B:H,COLUMN('2.7 Työpaikkakysely'!F:F),FALSE),1),0)</f>
        <v>216636</v>
      </c>
      <c r="AC40" s="9">
        <f>IFERROR(Ohj.lask.[[#This Row],[Pisteet 7]]/Ohj.lask.[[#Totals],[Pisteet 7]],0)</f>
        <v>1.1740066639634823E-3</v>
      </c>
      <c r="AD40" s="16">
        <f>ROUND(IFERROR('1.1 Jakotaulu'!M$21*Ohj.lask.[[#This Row],[%-osuus 7]],0),0)</f>
        <v>9459</v>
      </c>
      <c r="AE40" s="12">
        <f>IFERROR(Ohj.lask.[[#This Row],[Jaettava € 8]]/Ohj.lask.[[#Totals],[Jaettava € 8]],"")</f>
        <v>6.551200651543495E-4</v>
      </c>
      <c r="AF4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1391249</v>
      </c>
      <c r="AG40" s="102">
        <v>0</v>
      </c>
      <c r="AH40" s="102">
        <v>0</v>
      </c>
      <c r="AI40" s="102">
        <v>0</v>
      </c>
      <c r="AJ40" s="102">
        <v>0</v>
      </c>
      <c r="AK40" s="102">
        <v>0</v>
      </c>
      <c r="AL40" s="107">
        <v>0</v>
      </c>
      <c r="AM40" s="107">
        <v>356</v>
      </c>
      <c r="AN4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356</v>
      </c>
      <c r="AO40" s="10">
        <f>Ohj.lask.[[#This Row],[Jaettava € 1]]+Ohj.lask.[[#This Row],[Harkinnanvarainen korotus 8, €]]</f>
        <v>895029</v>
      </c>
      <c r="AP40" s="102">
        <f>Ohj.lask.[[#This Row],[Jaettava € 2]]</f>
        <v>312891</v>
      </c>
      <c r="AQ40" s="10">
        <f>Ohj.lask.[[#This Row],[Jaettava € 3]]+Ohj.lask.[[#This Row],[Jaettava € 4]]+Ohj.lask.[[#This Row],[Jaettava € 5]]+Ohj.lask.[[#This Row],[Jaettava € 6]]+Ohj.lask.[[#This Row],[Jaettava € 7]]</f>
        <v>183685</v>
      </c>
      <c r="AR40" s="33">
        <f>Ohj.lask.[[#This Row],[Jaettava € 8]]+Ohj.lask.[[#This Row],[Harkinnanvarainen korotus 8, €]]</f>
        <v>1391605</v>
      </c>
      <c r="AS40" s="33">
        <v>77757</v>
      </c>
      <c r="AT40" s="16">
        <f>Ohj.lask.[[#This Row],[Perus-, suoritus- ja vaikuttavuusrahoitus yhteensä, €]]+Ohj.lask.[[#This Row],[Alv-korvaus, €]]</f>
        <v>1469362</v>
      </c>
    </row>
    <row r="41" spans="1:46" ht="12.75" x14ac:dyDescent="0.2">
      <c r="A41" s="3" t="s">
        <v>285</v>
      </c>
      <c r="B41" s="7" t="s">
        <v>42</v>
      </c>
      <c r="C41" s="7" t="s">
        <v>199</v>
      </c>
      <c r="D41" s="7" t="s">
        <v>324</v>
      </c>
      <c r="E41" s="7" t="s">
        <v>373</v>
      </c>
      <c r="F41" s="105">
        <v>555</v>
      </c>
      <c r="G41" s="106">
        <f>Ohj.lask.[[#This Row],[Tavoitteelliset opiskelija-vuodet]]-Ohj.lask.[[#This Row],[Järjestämisluvan opisk.vuosien vähimmäismäärä]]</f>
        <v>3</v>
      </c>
      <c r="H41" s="32">
        <v>558</v>
      </c>
      <c r="I41" s="8">
        <f>IFERROR(VLOOKUP($A41,'2.1 Toteut. op.vuodet'!$A:$T,COLUMN('2.1 Toteut. op.vuodet'!S:S),FALSE),0)</f>
        <v>1.287158885881355</v>
      </c>
      <c r="J41" s="74">
        <f t="shared" si="1"/>
        <v>718.2</v>
      </c>
      <c r="K41" s="9">
        <f>IFERROR(Ohj.lask.[[#This Row],[Painotetut opiskelija-vuodet]]/Ohj.lask.[[#Totals],[Painotetut opiskelija-vuodet]],0)</f>
        <v>3.3136813237008033E-3</v>
      </c>
      <c r="L41" s="10">
        <f>ROUND(IFERROR('1.1 Jakotaulu'!L$12*Ohj.lask.[[#This Row],[%-osuus 1]],0),0)</f>
        <v>4901253</v>
      </c>
      <c r="M41" s="132">
        <f>IFERROR(ROUND(VLOOKUP($A41,'2.2 Tutk. ja osien pain. pist.'!$A:$Q,COLUMN('2.2 Tutk. ja osien pain. pist.'!O:O),FALSE),1),0)</f>
        <v>45494</v>
      </c>
      <c r="N41" s="9">
        <f>IFERROR(Ohj.lask.[[#This Row],[Painotetut pisteet 2]]/Ohj.lask.[[#Totals],[Painotetut pisteet 2]],0)</f>
        <v>2.9698176984710558E-3</v>
      </c>
      <c r="O41" s="16">
        <f>ROUND(IFERROR('1.1 Jakotaulu'!K$13*Ohj.lask.[[#This Row],[%-osuus 2]],0),0)</f>
        <v>1276148</v>
      </c>
      <c r="P41" s="133">
        <f>IFERROR(ROUND(VLOOKUP($A41,'2.3 Työll. ja jatko-opisk.'!$A:$Z,COLUMN('2.3 Työll. ja jatko-opisk.'!L:L),FALSE),1),0)</f>
        <v>896.6</v>
      </c>
      <c r="Q41" s="9">
        <f>IFERROR(Ohj.lask.[[#This Row],[Painotetut pisteet 3]]/Ohj.lask.[[#Totals],[Painotetut pisteet 3]],0)</f>
        <v>2.8687895154478195E-3</v>
      </c>
      <c r="R41" s="10">
        <f>ROUND(IFERROR('1.1 Jakotaulu'!L$15*Ohj.lask.[[#This Row],[%-osuus 3]],0),0)</f>
        <v>431458</v>
      </c>
      <c r="S41" s="132">
        <f>IFERROR(ROUND(VLOOKUP($A41,'2.4 Aloittaneet palaute'!$A:$I,COLUMN('2.4 Aloittaneet palaute'!H:H),FALSE),1),0)</f>
        <v>4588.5</v>
      </c>
      <c r="T41" s="13">
        <f>IFERROR(Ohj.lask.[[#This Row],[Painotetut pisteet 4]]/Ohj.lask.[[#Totals],[Painotetut pisteet 4]],0)</f>
        <v>2.7527227118251171E-3</v>
      </c>
      <c r="U41" s="16">
        <f>ROUND(IFERROR('1.1 Jakotaulu'!M$17*Ohj.lask.[[#This Row],[%-osuus 4]],0),0)</f>
        <v>22179</v>
      </c>
      <c r="V41" s="132">
        <f>IFERROR(ROUND(VLOOKUP($A41,'2.5 Päättäneet palaute'!$A:$Z,COLUMN('2.5 Päättäneet palaute'!X:X),FALSE),1),0)</f>
        <v>20882</v>
      </c>
      <c r="W41" s="13">
        <f>IFERROR(Ohj.lask.[[#This Row],[Painotetut pisteet 5]]/Ohj.lask.[[#Totals],[Painotetut pisteet 5]],0)</f>
        <v>2.0417638183787626E-3</v>
      </c>
      <c r="X41" s="16">
        <f>ROUND(IFERROR('1.1 Jakotaulu'!M$18*Ohj.lask.[[#This Row],[%-osuus 5]],0),0)</f>
        <v>49351</v>
      </c>
      <c r="Y41" s="132">
        <f>IFERROR(ROUND(VLOOKUP($A41,'2.6 Työpaikkaohjaajakysely'!B:J,COLUMN('2.6 Työpaikkaohjaajakysely'!H:H),FALSE),1),0)</f>
        <v>916694.8</v>
      </c>
      <c r="Z41" s="9">
        <f>IFERROR(Ohj.lask.[[#This Row],[Painotetut pisteet 6]]/Ohj.lask.[[#Totals],[Painotetut pisteet 6]],0)</f>
        <v>2.7008720151970203E-3</v>
      </c>
      <c r="AA41" s="16">
        <f>ROUND(IFERROR('1.1 Jakotaulu'!M$20*Ohj.lask.[[#This Row],[%-osuus 6]],0),0)</f>
        <v>65283</v>
      </c>
      <c r="AB41" s="132">
        <f>IFERROR(ROUND(VLOOKUP($A41,'2.7 Työpaikkakysely'!B:H,COLUMN('2.7 Työpaikkakysely'!F:F),FALSE),1),0)</f>
        <v>354661</v>
      </c>
      <c r="AC41" s="9">
        <f>IFERROR(Ohj.lask.[[#This Row],[Pisteet 7]]/Ohj.lask.[[#Totals],[Pisteet 7]],0)</f>
        <v>1.9219999328271968E-3</v>
      </c>
      <c r="AD41" s="16">
        <f>ROUND(IFERROR('1.1 Jakotaulu'!M$21*Ohj.lask.[[#This Row],[%-osuus 7]],0),0)</f>
        <v>15486</v>
      </c>
      <c r="AE41" s="12">
        <f>IFERROR(Ohj.lask.[[#This Row],[Jaettava € 8]]/Ohj.lask.[[#Totals],[Jaettava € 8]],"")</f>
        <v>3.183736534206926E-3</v>
      </c>
      <c r="AF4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6761158</v>
      </c>
      <c r="AG41" s="102">
        <v>0</v>
      </c>
      <c r="AH41" s="102">
        <v>0</v>
      </c>
      <c r="AI41" s="102">
        <v>0</v>
      </c>
      <c r="AJ41" s="102">
        <v>0</v>
      </c>
      <c r="AK41" s="102">
        <v>0</v>
      </c>
      <c r="AL41" s="107">
        <v>0</v>
      </c>
      <c r="AM41" s="107">
        <v>0</v>
      </c>
      <c r="AN4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41" s="10">
        <f>Ohj.lask.[[#This Row],[Jaettava € 1]]+Ohj.lask.[[#This Row],[Harkinnanvarainen korotus 8, €]]</f>
        <v>4901253</v>
      </c>
      <c r="AP41" s="102">
        <f>Ohj.lask.[[#This Row],[Jaettava € 2]]</f>
        <v>1276148</v>
      </c>
      <c r="AQ41" s="10">
        <f>Ohj.lask.[[#This Row],[Jaettava € 3]]+Ohj.lask.[[#This Row],[Jaettava € 4]]+Ohj.lask.[[#This Row],[Jaettava € 5]]+Ohj.lask.[[#This Row],[Jaettava € 6]]+Ohj.lask.[[#This Row],[Jaettava € 7]]</f>
        <v>583757</v>
      </c>
      <c r="AR41" s="33">
        <f>Ohj.lask.[[#This Row],[Jaettava € 8]]+Ohj.lask.[[#This Row],[Harkinnanvarainen korotus 8, €]]</f>
        <v>6761158</v>
      </c>
      <c r="AS41" s="33">
        <v>0</v>
      </c>
      <c r="AT41" s="16">
        <f>Ohj.lask.[[#This Row],[Perus-, suoritus- ja vaikuttavuusrahoitus yhteensä, €]]+Ohj.lask.[[#This Row],[Alv-korvaus, €]]</f>
        <v>6761158</v>
      </c>
    </row>
    <row r="42" spans="1:46" ht="12.75" x14ac:dyDescent="0.2">
      <c r="A42" s="3" t="s">
        <v>284</v>
      </c>
      <c r="B42" s="7" t="s">
        <v>43</v>
      </c>
      <c r="C42" s="7" t="s">
        <v>181</v>
      </c>
      <c r="D42" s="7" t="s">
        <v>326</v>
      </c>
      <c r="E42" s="7" t="s">
        <v>373</v>
      </c>
      <c r="F42" s="105">
        <v>2596</v>
      </c>
      <c r="G42" s="106">
        <f>Ohj.lask.[[#This Row],[Tavoitteelliset opiskelija-vuodet]]-Ohj.lask.[[#This Row],[Järjestämisluvan opisk.vuosien vähimmäismäärä]]</f>
        <v>219</v>
      </c>
      <c r="H42" s="32">
        <v>2815</v>
      </c>
      <c r="I42" s="8">
        <f>IFERROR(VLOOKUP($A42,'2.1 Toteut. op.vuodet'!$A:$T,COLUMN('2.1 Toteut. op.vuodet'!S:S),FALSE),0)</f>
        <v>1.1139525948465101</v>
      </c>
      <c r="J42" s="74">
        <f t="shared" si="1"/>
        <v>3135.8</v>
      </c>
      <c r="K42" s="9">
        <f>IFERROR(Ohj.lask.[[#This Row],[Painotetut opiskelija-vuodet]]/Ohj.lask.[[#Totals],[Painotetut opiskelija-vuodet]],0)</f>
        <v>1.4468173064412391E-2</v>
      </c>
      <c r="L42" s="10">
        <f>ROUND(IFERROR('1.1 Jakotaulu'!L$12*Ohj.lask.[[#This Row],[%-osuus 1]],0),0)</f>
        <v>21399817</v>
      </c>
      <c r="M42" s="132">
        <f>IFERROR(ROUND(VLOOKUP($A42,'2.2 Tutk. ja osien pain. pist.'!$A:$Q,COLUMN('2.2 Tutk. ja osien pain. pist.'!O:O),FALSE),1),0)</f>
        <v>216608</v>
      </c>
      <c r="N42" s="9">
        <f>IFERROR(Ohj.lask.[[#This Row],[Painotetut pisteet 2]]/Ohj.lask.[[#Totals],[Painotetut pisteet 2]],0)</f>
        <v>1.4140024443452288E-2</v>
      </c>
      <c r="O42" s="16">
        <f>ROUND(IFERROR('1.1 Jakotaulu'!K$13*Ohj.lask.[[#This Row],[%-osuus 2]],0),0)</f>
        <v>6076053</v>
      </c>
      <c r="P42" s="133">
        <f>IFERROR(ROUND(VLOOKUP($A42,'2.3 Työll. ja jatko-opisk.'!$A:$Z,COLUMN('2.3 Työll. ja jatko-opisk.'!L:L),FALSE),1),0)</f>
        <v>5030.3</v>
      </c>
      <c r="Q42" s="9">
        <f>IFERROR(Ohj.lask.[[#This Row],[Painotetut pisteet 3]]/Ohj.lask.[[#Totals],[Painotetut pisteet 3]],0)</f>
        <v>1.6095105843806787E-2</v>
      </c>
      <c r="R42" s="10">
        <f>ROUND(IFERROR('1.1 Jakotaulu'!L$15*Ohj.lask.[[#This Row],[%-osuus 3]],0),0)</f>
        <v>2420657</v>
      </c>
      <c r="S42" s="132">
        <f>IFERROR(ROUND(VLOOKUP($A42,'2.4 Aloittaneet palaute'!$A:$I,COLUMN('2.4 Aloittaneet palaute'!H:H),FALSE),1),0)</f>
        <v>25971.7</v>
      </c>
      <c r="T42" s="13">
        <f>IFERROR(Ohj.lask.[[#This Row],[Painotetut pisteet 4]]/Ohj.lask.[[#Totals],[Painotetut pisteet 4]],0)</f>
        <v>1.5580884483972626E-2</v>
      </c>
      <c r="U42" s="16">
        <f>ROUND(IFERROR('1.1 Jakotaulu'!M$17*Ohj.lask.[[#This Row],[%-osuus 4]],0),0)</f>
        <v>125535</v>
      </c>
      <c r="V42" s="132">
        <f>IFERROR(ROUND(VLOOKUP($A42,'2.5 Päättäneet palaute'!$A:$Z,COLUMN('2.5 Päättäneet palaute'!X:X),FALSE),1),0)</f>
        <v>162010.79999999999</v>
      </c>
      <c r="W42" s="13">
        <f>IFERROR(Ohj.lask.[[#This Row],[Painotetut pisteet 5]]/Ohj.lask.[[#Totals],[Painotetut pisteet 5]],0)</f>
        <v>1.5840809770452925E-2</v>
      </c>
      <c r="X42" s="16">
        <f>ROUND(IFERROR('1.1 Jakotaulu'!M$18*Ohj.lask.[[#This Row],[%-osuus 5]],0),0)</f>
        <v>382888</v>
      </c>
      <c r="Y42" s="132">
        <f>IFERROR(ROUND(VLOOKUP($A42,'2.6 Työpaikkaohjaajakysely'!B:J,COLUMN('2.6 Työpaikkaohjaajakysely'!H:H),FALSE),1),0)</f>
        <v>7999171.5999999996</v>
      </c>
      <c r="Z42" s="9">
        <f>IFERROR(Ohj.lask.[[#This Row],[Painotetut pisteet 6]]/Ohj.lask.[[#Totals],[Painotetut pisteet 6]],0)</f>
        <v>2.3568082549610594E-2</v>
      </c>
      <c r="AA42" s="16">
        <f>ROUND(IFERROR('1.1 Jakotaulu'!M$20*Ohj.lask.[[#This Row],[%-osuus 6]],0),0)</f>
        <v>569663</v>
      </c>
      <c r="AB42" s="132">
        <f>IFERROR(ROUND(VLOOKUP($A42,'2.7 Työpaikkakysely'!B:H,COLUMN('2.7 Työpaikkakysely'!F:F),FALSE),1),0)</f>
        <v>4041418.1</v>
      </c>
      <c r="AC42" s="9">
        <f>IFERROR(Ohj.lask.[[#This Row],[Pisteet 7]]/Ohj.lask.[[#Totals],[Pisteet 7]],0)</f>
        <v>2.190149274018462E-2</v>
      </c>
      <c r="AD42" s="16">
        <f>ROUND(IFERROR('1.1 Jakotaulu'!M$21*Ohj.lask.[[#This Row],[%-osuus 7]],0),0)</f>
        <v>176460</v>
      </c>
      <c r="AE42" s="12">
        <f>IFERROR(Ohj.lask.[[#This Row],[Jaettava € 8]]/Ohj.lask.[[#Totals],[Jaettava € 8]],"")</f>
        <v>1.4668612860377904E-2</v>
      </c>
      <c r="AF4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31151073</v>
      </c>
      <c r="AG42" s="102">
        <v>0</v>
      </c>
      <c r="AH42" s="102">
        <v>0</v>
      </c>
      <c r="AI42" s="102">
        <v>0</v>
      </c>
      <c r="AJ42" s="102">
        <v>0</v>
      </c>
      <c r="AK42" s="102">
        <v>54000</v>
      </c>
      <c r="AL42" s="107">
        <v>0</v>
      </c>
      <c r="AM42" s="107">
        <v>113946</v>
      </c>
      <c r="AN4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167946</v>
      </c>
      <c r="AO42" s="10">
        <f>Ohj.lask.[[#This Row],[Jaettava € 1]]+Ohj.lask.[[#This Row],[Harkinnanvarainen korotus 8, €]]</f>
        <v>21567763</v>
      </c>
      <c r="AP42" s="102">
        <f>Ohj.lask.[[#This Row],[Jaettava € 2]]</f>
        <v>6076053</v>
      </c>
      <c r="AQ42" s="10">
        <f>Ohj.lask.[[#This Row],[Jaettava € 3]]+Ohj.lask.[[#This Row],[Jaettava € 4]]+Ohj.lask.[[#This Row],[Jaettava € 5]]+Ohj.lask.[[#This Row],[Jaettava € 6]]+Ohj.lask.[[#This Row],[Jaettava € 7]]</f>
        <v>3675203</v>
      </c>
      <c r="AR42" s="33">
        <f>Ohj.lask.[[#This Row],[Jaettava € 8]]+Ohj.lask.[[#This Row],[Harkinnanvarainen korotus 8, €]]</f>
        <v>31319019</v>
      </c>
      <c r="AS42" s="33">
        <v>0</v>
      </c>
      <c r="AT42" s="16">
        <f>Ohj.lask.[[#This Row],[Perus-, suoritus- ja vaikuttavuusrahoitus yhteensä, €]]+Ohj.lask.[[#This Row],[Alv-korvaus, €]]</f>
        <v>31319019</v>
      </c>
    </row>
    <row r="43" spans="1:46" ht="12.75" x14ac:dyDescent="0.2">
      <c r="A43" s="3" t="s">
        <v>283</v>
      </c>
      <c r="B43" s="7" t="s">
        <v>149</v>
      </c>
      <c r="C43" s="7" t="s">
        <v>180</v>
      </c>
      <c r="D43" s="7" t="s">
        <v>325</v>
      </c>
      <c r="E43" s="7" t="s">
        <v>373</v>
      </c>
      <c r="F43" s="105">
        <v>88</v>
      </c>
      <c r="G43" s="106">
        <f>Ohj.lask.[[#This Row],[Tavoitteelliset opiskelija-vuodet]]-Ohj.lask.[[#This Row],[Järjestämisluvan opisk.vuosien vähimmäismäärä]]</f>
        <v>1</v>
      </c>
      <c r="H43" s="32">
        <v>89</v>
      </c>
      <c r="I43" s="8">
        <f>IFERROR(VLOOKUP($A43,'2.1 Toteut. op.vuodet'!$A:$T,COLUMN('2.1 Toteut. op.vuodet'!S:S),FALSE),0)</f>
        <v>1.172488348088941</v>
      </c>
      <c r="J43" s="74">
        <f t="shared" si="1"/>
        <v>104.4</v>
      </c>
      <c r="K43" s="9">
        <f>IFERROR(Ohj.lask.[[#This Row],[Painotetut opiskelija-vuodet]]/Ohj.lask.[[#Totals],[Painotetut opiskelija-vuodet]],0)</f>
        <v>4.8168801196653283E-4</v>
      </c>
      <c r="L43" s="10">
        <f>ROUND(IFERROR('1.1 Jakotaulu'!L$12*Ohj.lask.[[#This Row],[%-osuus 1]],0),0)</f>
        <v>712463</v>
      </c>
      <c r="M43" s="132">
        <f>IFERROR(ROUND(VLOOKUP($A43,'2.2 Tutk. ja osien pain. pist.'!$A:$Q,COLUMN('2.2 Tutk. ja osien pain. pist.'!O:O),FALSE),1),0)</f>
        <v>7989.6</v>
      </c>
      <c r="N43" s="9">
        <f>IFERROR(Ohj.lask.[[#This Row],[Painotetut pisteet 2]]/Ohj.lask.[[#Totals],[Painotetut pisteet 2]],0)</f>
        <v>5.2155571028496826E-4</v>
      </c>
      <c r="O43" s="16">
        <f>ROUND(IFERROR('1.1 Jakotaulu'!K$13*Ohj.lask.[[#This Row],[%-osuus 2]],0),0)</f>
        <v>224116</v>
      </c>
      <c r="P43" s="133">
        <f>IFERROR(ROUND(VLOOKUP($A43,'2.3 Työll. ja jatko-opisk.'!$A:$Z,COLUMN('2.3 Työll. ja jatko-opisk.'!L:L),FALSE),1),0)</f>
        <v>222.1</v>
      </c>
      <c r="Q43" s="9">
        <f>IFERROR(Ohj.lask.[[#This Row],[Painotetut pisteet 3]]/Ohj.lask.[[#Totals],[Painotetut pisteet 3]],0)</f>
        <v>7.1063813448690684E-4</v>
      </c>
      <c r="R43" s="10">
        <f>ROUND(IFERROR('1.1 Jakotaulu'!L$15*Ohj.lask.[[#This Row],[%-osuus 3]],0),0)</f>
        <v>106878</v>
      </c>
      <c r="S43" s="132">
        <f>IFERROR(ROUND(VLOOKUP($A43,'2.4 Aloittaneet palaute'!$A:$I,COLUMN('2.4 Aloittaneet palaute'!H:H),FALSE),1),0)</f>
        <v>1443.6</v>
      </c>
      <c r="T43" s="13">
        <f>IFERROR(Ohj.lask.[[#This Row],[Painotetut pisteet 4]]/Ohj.lask.[[#Totals],[Painotetut pisteet 4]],0)</f>
        <v>8.6604130037936993E-4</v>
      </c>
      <c r="U43" s="16">
        <f>ROUND(IFERROR('1.1 Jakotaulu'!M$17*Ohj.lask.[[#This Row],[%-osuus 4]],0),0)</f>
        <v>6978</v>
      </c>
      <c r="V43" s="132">
        <f>IFERROR(ROUND(VLOOKUP($A43,'2.5 Päättäneet palaute'!$A:$Z,COLUMN('2.5 Päättäneet palaute'!X:X),FALSE),1),0)</f>
        <v>7642</v>
      </c>
      <c r="W43" s="13">
        <f>IFERROR(Ohj.lask.[[#This Row],[Painotetut pisteet 5]]/Ohj.lask.[[#Totals],[Painotetut pisteet 5]],0)</f>
        <v>7.4720616320517685E-4</v>
      </c>
      <c r="X43" s="16">
        <f>ROUND(IFERROR('1.1 Jakotaulu'!M$18*Ohj.lask.[[#This Row],[%-osuus 5]],0),0)</f>
        <v>18061</v>
      </c>
      <c r="Y43" s="132">
        <f>IFERROR(ROUND(VLOOKUP($A43,'2.6 Työpaikkaohjaajakysely'!B:J,COLUMN('2.6 Työpaikkaohjaajakysely'!H:H),FALSE),1),0)</f>
        <v>494866.3</v>
      </c>
      <c r="Z43" s="9">
        <f>IFERROR(Ohj.lask.[[#This Row],[Painotetut pisteet 6]]/Ohj.lask.[[#Totals],[Painotetut pisteet 6]],0)</f>
        <v>1.4580322054124155E-3</v>
      </c>
      <c r="AA43" s="16">
        <f>ROUND(IFERROR('1.1 Jakotaulu'!M$20*Ohj.lask.[[#This Row],[%-osuus 6]],0),0)</f>
        <v>35242</v>
      </c>
      <c r="AB43" s="132">
        <f>IFERROR(ROUND(VLOOKUP($A43,'2.7 Työpaikkakysely'!B:H,COLUMN('2.7 Työpaikkakysely'!F:F),FALSE),1),0)</f>
        <v>181276</v>
      </c>
      <c r="AC43" s="9">
        <f>IFERROR(Ohj.lask.[[#This Row],[Pisteet 7]]/Ohj.lask.[[#Totals],[Pisteet 7]],0)</f>
        <v>9.8238165409555295E-4</v>
      </c>
      <c r="AD43" s="16">
        <f>ROUND(IFERROR('1.1 Jakotaulu'!M$21*Ohj.lask.[[#This Row],[%-osuus 7]],0),0)</f>
        <v>7915</v>
      </c>
      <c r="AE43" s="12">
        <f>IFERROR(Ohj.lask.[[#This Row],[Jaettava € 8]]/Ohj.lask.[[#Totals],[Jaettava € 8]],"")</f>
        <v>5.2346214501432036E-4</v>
      </c>
      <c r="AF4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1111653</v>
      </c>
      <c r="AG43" s="102">
        <v>0</v>
      </c>
      <c r="AH43" s="102">
        <v>0</v>
      </c>
      <c r="AI43" s="102">
        <v>0</v>
      </c>
      <c r="AJ43" s="102">
        <v>0</v>
      </c>
      <c r="AK43" s="102">
        <v>5000</v>
      </c>
      <c r="AL43" s="107">
        <v>0</v>
      </c>
      <c r="AM43" s="107">
        <v>0</v>
      </c>
      <c r="AN4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5000</v>
      </c>
      <c r="AO43" s="10">
        <f>Ohj.lask.[[#This Row],[Jaettava € 1]]+Ohj.lask.[[#This Row],[Harkinnanvarainen korotus 8, €]]</f>
        <v>717463</v>
      </c>
      <c r="AP43" s="102">
        <f>Ohj.lask.[[#This Row],[Jaettava € 2]]</f>
        <v>224116</v>
      </c>
      <c r="AQ43" s="10">
        <f>Ohj.lask.[[#This Row],[Jaettava € 3]]+Ohj.lask.[[#This Row],[Jaettava € 4]]+Ohj.lask.[[#This Row],[Jaettava € 5]]+Ohj.lask.[[#This Row],[Jaettava € 6]]+Ohj.lask.[[#This Row],[Jaettava € 7]]</f>
        <v>175074</v>
      </c>
      <c r="AR43" s="33">
        <f>Ohj.lask.[[#This Row],[Jaettava € 8]]+Ohj.lask.[[#This Row],[Harkinnanvarainen korotus 8, €]]</f>
        <v>1116653</v>
      </c>
      <c r="AS43" s="33">
        <v>47595</v>
      </c>
      <c r="AT43" s="16">
        <f>Ohj.lask.[[#This Row],[Perus-, suoritus- ja vaikuttavuusrahoitus yhteensä, €]]+Ohj.lask.[[#This Row],[Alv-korvaus, €]]</f>
        <v>1164248</v>
      </c>
    </row>
    <row r="44" spans="1:46" ht="12.75" x14ac:dyDescent="0.2">
      <c r="A44" s="3" t="s">
        <v>282</v>
      </c>
      <c r="B44" s="7" t="s">
        <v>45</v>
      </c>
      <c r="C44" s="7" t="s">
        <v>173</v>
      </c>
      <c r="D44" s="7" t="s">
        <v>325</v>
      </c>
      <c r="E44" s="7" t="s">
        <v>373</v>
      </c>
      <c r="F44" s="105">
        <v>85</v>
      </c>
      <c r="G44" s="106">
        <f>Ohj.lask.[[#This Row],[Tavoitteelliset opiskelija-vuodet]]-Ohj.lask.[[#This Row],[Järjestämisluvan opisk.vuosien vähimmäismäärä]]</f>
        <v>3</v>
      </c>
      <c r="H44" s="32">
        <v>88</v>
      </c>
      <c r="I44" s="8">
        <f>IFERROR(VLOOKUP($A44,'2.1 Toteut. op.vuodet'!$A:$T,COLUMN('2.1 Toteut. op.vuodet'!S:S),FALSE),0)</f>
        <v>1.2713335115528464</v>
      </c>
      <c r="J44" s="74">
        <f t="shared" si="1"/>
        <v>111.9</v>
      </c>
      <c r="K44" s="9">
        <f>IFERROR(Ohj.lask.[[#This Row],[Painotetut opiskelija-vuodet]]/Ohj.lask.[[#Totals],[Painotetut opiskelija-vuodet]],0)</f>
        <v>5.1629203581470332E-4</v>
      </c>
      <c r="L44" s="10">
        <f>ROUND(IFERROR('1.1 Jakotaulu'!L$12*Ohj.lask.[[#This Row],[%-osuus 1]],0),0)</f>
        <v>763645</v>
      </c>
      <c r="M44" s="132">
        <f>IFERROR(ROUND(VLOOKUP($A44,'2.2 Tutk. ja osien pain. pist.'!$A:$Q,COLUMN('2.2 Tutk. ja osien pain. pist.'!O:O),FALSE),1),0)</f>
        <v>9516.7999999999993</v>
      </c>
      <c r="N44" s="9">
        <f>IFERROR(Ohj.lask.[[#This Row],[Painotetut pisteet 2]]/Ohj.lask.[[#Totals],[Painotetut pisteet 2]],0)</f>
        <v>6.2125029834284387E-4</v>
      </c>
      <c r="O44" s="16">
        <f>ROUND(IFERROR('1.1 Jakotaulu'!K$13*Ohj.lask.[[#This Row],[%-osuus 2]],0),0)</f>
        <v>266955</v>
      </c>
      <c r="P44" s="133">
        <f>IFERROR(ROUND(VLOOKUP($A44,'2.3 Työll. ja jatko-opisk.'!$A:$Z,COLUMN('2.3 Työll. ja jatko-opisk.'!L:L),FALSE),1),0)</f>
        <v>247.8</v>
      </c>
      <c r="Q44" s="9">
        <f>IFERROR(Ohj.lask.[[#This Row],[Painotetut pisteet 3]]/Ohj.lask.[[#Totals],[Painotetut pisteet 3]],0)</f>
        <v>7.9286866153019148E-4</v>
      </c>
      <c r="R44" s="10">
        <f>ROUND(IFERROR('1.1 Jakotaulu'!L$15*Ohj.lask.[[#This Row],[%-osuus 3]],0),0)</f>
        <v>119245</v>
      </c>
      <c r="S44" s="132">
        <f>IFERROR(ROUND(VLOOKUP($A44,'2.4 Aloittaneet palaute'!$A:$I,COLUMN('2.4 Aloittaneet palaute'!H:H),FALSE),1),0)</f>
        <v>525.6</v>
      </c>
      <c r="T44" s="13">
        <f>IFERROR(Ohj.lask.[[#This Row],[Painotetut pisteet 4]]/Ohj.lask.[[#Totals],[Painotetut pisteet 4]],0)</f>
        <v>3.1531678268176565E-4</v>
      </c>
      <c r="U44" s="16">
        <f>ROUND(IFERROR('1.1 Jakotaulu'!M$17*Ohj.lask.[[#This Row],[%-osuus 4]],0),0)</f>
        <v>2541</v>
      </c>
      <c r="V44" s="132">
        <f>IFERROR(ROUND(VLOOKUP($A44,'2.5 Päättäneet palaute'!$A:$Z,COLUMN('2.5 Päättäneet palaute'!X:X),FALSE),1),0)</f>
        <v>4768.7</v>
      </c>
      <c r="W44" s="13">
        <f>IFERROR(Ohj.lask.[[#This Row],[Painotetut pisteet 5]]/Ohj.lask.[[#Totals],[Painotetut pisteet 5]],0)</f>
        <v>4.6626564125576116E-4</v>
      </c>
      <c r="X44" s="16">
        <f>ROUND(IFERROR('1.1 Jakotaulu'!M$18*Ohj.lask.[[#This Row],[%-osuus 5]],0),0)</f>
        <v>11270</v>
      </c>
      <c r="Y44" s="132">
        <f>IFERROR(ROUND(VLOOKUP($A44,'2.6 Työpaikkaohjaajakysely'!B:J,COLUMN('2.6 Työpaikkaohjaajakysely'!H:H),FALSE),1),0)</f>
        <v>405870.6</v>
      </c>
      <c r="Z44" s="9">
        <f>IFERROR(Ohj.lask.[[#This Row],[Painotetut pisteet 6]]/Ohj.lask.[[#Totals],[Painotetut pisteet 6]],0)</f>
        <v>1.1958228031087594E-3</v>
      </c>
      <c r="AA44" s="16">
        <f>ROUND(IFERROR('1.1 Jakotaulu'!M$20*Ohj.lask.[[#This Row],[%-osuus 6]],0),0)</f>
        <v>28904</v>
      </c>
      <c r="AB44" s="132">
        <f>IFERROR(ROUND(VLOOKUP($A44,'2.7 Työpaikkakysely'!B:H,COLUMN('2.7 Työpaikkakysely'!F:F),FALSE),1),0)</f>
        <v>160965</v>
      </c>
      <c r="AC44" s="9">
        <f>IFERROR(Ohj.lask.[[#This Row],[Pisteet 7]]/Ohj.lask.[[#Totals],[Pisteet 7]],0)</f>
        <v>8.7231107786739945E-4</v>
      </c>
      <c r="AD44" s="16">
        <f>ROUND(IFERROR('1.1 Jakotaulu'!M$21*Ohj.lask.[[#This Row],[%-osuus 7]],0),0)</f>
        <v>7028</v>
      </c>
      <c r="AE44" s="12">
        <f>IFERROR(Ohj.lask.[[#This Row],[Jaettava € 8]]/Ohj.lask.[[#Totals],[Jaettava € 8]],"")</f>
        <v>5.6486952998232231E-4</v>
      </c>
      <c r="AF4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1199588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7">
        <v>0</v>
      </c>
      <c r="AM44" s="107">
        <v>0</v>
      </c>
      <c r="AN4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44" s="10">
        <f>Ohj.lask.[[#This Row],[Jaettava € 1]]+Ohj.lask.[[#This Row],[Harkinnanvarainen korotus 8, €]]</f>
        <v>763645</v>
      </c>
      <c r="AP44" s="102">
        <f>Ohj.lask.[[#This Row],[Jaettava € 2]]</f>
        <v>266955</v>
      </c>
      <c r="AQ44" s="10">
        <f>Ohj.lask.[[#This Row],[Jaettava € 3]]+Ohj.lask.[[#This Row],[Jaettava € 4]]+Ohj.lask.[[#This Row],[Jaettava € 5]]+Ohj.lask.[[#This Row],[Jaettava € 6]]+Ohj.lask.[[#This Row],[Jaettava € 7]]</f>
        <v>168988</v>
      </c>
      <c r="AR44" s="33">
        <f>Ohj.lask.[[#This Row],[Jaettava € 8]]+Ohj.lask.[[#This Row],[Harkinnanvarainen korotus 8, €]]</f>
        <v>1199588</v>
      </c>
      <c r="AS44" s="33">
        <v>53949</v>
      </c>
      <c r="AT44" s="16">
        <f>Ohj.lask.[[#This Row],[Perus-, suoritus- ja vaikuttavuusrahoitus yhteensä, €]]+Ohj.lask.[[#This Row],[Alv-korvaus, €]]</f>
        <v>1253537</v>
      </c>
    </row>
    <row r="45" spans="1:46" ht="12.75" x14ac:dyDescent="0.2">
      <c r="A45" s="3" t="s">
        <v>281</v>
      </c>
      <c r="B45" s="7" t="s">
        <v>46</v>
      </c>
      <c r="C45" s="7" t="s">
        <v>173</v>
      </c>
      <c r="D45" s="7" t="s">
        <v>325</v>
      </c>
      <c r="E45" s="7" t="s">
        <v>373</v>
      </c>
      <c r="F45" s="105">
        <v>63</v>
      </c>
      <c r="G45" s="106">
        <f>Ohj.lask.[[#This Row],[Tavoitteelliset opiskelija-vuodet]]-Ohj.lask.[[#This Row],[Järjestämisluvan opisk.vuosien vähimmäismäärä]]</f>
        <v>0</v>
      </c>
      <c r="H45" s="32">
        <v>63</v>
      </c>
      <c r="I45" s="8">
        <f>IFERROR(VLOOKUP($A45,'2.1 Toteut. op.vuodet'!$A:$T,COLUMN('2.1 Toteut. op.vuodet'!S:S),FALSE),0)</f>
        <v>0.92480693736932484</v>
      </c>
      <c r="J45" s="74">
        <f t="shared" si="1"/>
        <v>58.3</v>
      </c>
      <c r="K45" s="9">
        <f>IFERROR(Ohj.lask.[[#This Row],[Painotetut opiskelija-vuodet]]/Ohj.lask.[[#Totals],[Painotetut opiskelija-vuodet]],0)</f>
        <v>2.68988612046445E-4</v>
      </c>
      <c r="L45" s="10">
        <f>ROUND(IFERROR('1.1 Jakotaulu'!L$12*Ohj.lask.[[#This Row],[%-osuus 1]],0),0)</f>
        <v>397860</v>
      </c>
      <c r="M45" s="132">
        <f>IFERROR(ROUND(VLOOKUP($A45,'2.2 Tutk. ja osien pain. pist.'!$A:$Q,COLUMN('2.2 Tutk. ja osien pain. pist.'!O:O),FALSE),1),0)</f>
        <v>1220.5999999999999</v>
      </c>
      <c r="N45" s="9">
        <f>IFERROR(Ohj.lask.[[#This Row],[Painotetut pisteet 2]]/Ohj.lask.[[#Totals],[Painotetut pisteet 2]],0)</f>
        <v>7.9679946427084239E-5</v>
      </c>
      <c r="O45" s="16">
        <f>ROUND(IFERROR('1.1 Jakotaulu'!K$13*Ohj.lask.[[#This Row],[%-osuus 2]],0),0)</f>
        <v>34239</v>
      </c>
      <c r="P45" s="133">
        <f>IFERROR(ROUND(VLOOKUP($A45,'2.3 Työll. ja jatko-opisk.'!$A:$Z,COLUMN('2.3 Työll. ja jatko-opisk.'!L:L),FALSE),1),0)</f>
        <v>47.1</v>
      </c>
      <c r="Q45" s="9">
        <f>IFERROR(Ohj.lask.[[#This Row],[Painotetut pisteet 3]]/Ohj.lask.[[#Totals],[Painotetut pisteet 3]],0)</f>
        <v>1.5070263905598069E-4</v>
      </c>
      <c r="R45" s="10">
        <f>ROUND(IFERROR('1.1 Jakotaulu'!L$15*Ohj.lask.[[#This Row],[%-osuus 3]],0),0)</f>
        <v>22665</v>
      </c>
      <c r="S45" s="132">
        <f>IFERROR(ROUND(VLOOKUP($A45,'2.4 Aloittaneet palaute'!$A:$I,COLUMN('2.4 Aloittaneet palaute'!H:H),FALSE),1),0)</f>
        <v>434.8</v>
      </c>
      <c r="T45" s="13">
        <f>IFERROR(Ohj.lask.[[#This Row],[Painotetut pisteet 4]]/Ohj.lask.[[#Totals],[Painotetut pisteet 4]],0)</f>
        <v>2.6084424868727491E-4</v>
      </c>
      <c r="U45" s="16">
        <f>ROUND(IFERROR('1.1 Jakotaulu'!M$17*Ohj.lask.[[#This Row],[%-osuus 4]],0),0)</f>
        <v>2102</v>
      </c>
      <c r="V45" s="132">
        <f>IFERROR(ROUND(VLOOKUP($A45,'2.5 Päättäneet palaute'!$A:$Z,COLUMN('2.5 Päättäneet palaute'!X:X),FALSE),1),0)</f>
        <v>1939</v>
      </c>
      <c r="W45" s="13">
        <f>IFERROR(Ohj.lask.[[#This Row],[Painotetut pisteet 5]]/Ohj.lask.[[#Totals],[Painotetut pisteet 5]],0)</f>
        <v>1.8958816415268751E-4</v>
      </c>
      <c r="X45" s="16">
        <f>ROUND(IFERROR('1.1 Jakotaulu'!M$18*Ohj.lask.[[#This Row],[%-osuus 5]],0),0)</f>
        <v>4583</v>
      </c>
      <c r="Y45" s="132">
        <f>IFERROR(ROUND(VLOOKUP($A45,'2.6 Työpaikkaohjaajakysely'!B:J,COLUMN('2.6 Työpaikkaohjaajakysely'!H:H),FALSE),1),0)</f>
        <v>39449.800000000003</v>
      </c>
      <c r="Z45" s="9">
        <f>IFERROR(Ohj.lask.[[#This Row],[Painotetut pisteet 6]]/Ohj.lask.[[#Totals],[Painotetut pisteet 6]],0)</f>
        <v>1.1623155364808376E-4</v>
      </c>
      <c r="AA45" s="16">
        <f>ROUND(IFERROR('1.1 Jakotaulu'!M$20*Ohj.lask.[[#This Row],[%-osuus 6]],0),0)</f>
        <v>2809</v>
      </c>
      <c r="AB45" s="132">
        <f>IFERROR(ROUND(VLOOKUP($A45,'2.7 Työpaikkakysely'!B:H,COLUMN('2.7 Työpaikkakysely'!F:F),FALSE),1),0)</f>
        <v>38263</v>
      </c>
      <c r="AC45" s="9">
        <f>IFERROR(Ohj.lask.[[#This Row],[Pisteet 7]]/Ohj.lask.[[#Totals],[Pisteet 7]],0)</f>
        <v>2.073571196995639E-4</v>
      </c>
      <c r="AD45" s="16">
        <f>ROUND(IFERROR('1.1 Jakotaulu'!M$21*Ohj.lask.[[#This Row],[%-osuus 7]],0),0)</f>
        <v>1671</v>
      </c>
      <c r="AE45" s="12">
        <f>IFERROR(Ohj.lask.[[#This Row],[Jaettava € 8]]/Ohj.lask.[[#Totals],[Jaettava € 8]],"")</f>
        <v>2.1939957321608205E-4</v>
      </c>
      <c r="AF4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465929</v>
      </c>
      <c r="AG45" s="102">
        <v>0</v>
      </c>
      <c r="AH45" s="102">
        <v>0</v>
      </c>
      <c r="AI45" s="102">
        <v>0</v>
      </c>
      <c r="AJ45" s="102">
        <v>0</v>
      </c>
      <c r="AK45" s="102">
        <v>0</v>
      </c>
      <c r="AL45" s="107">
        <v>0</v>
      </c>
      <c r="AM45" s="107">
        <v>0</v>
      </c>
      <c r="AN4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45" s="10">
        <f>Ohj.lask.[[#This Row],[Jaettava € 1]]+Ohj.lask.[[#This Row],[Harkinnanvarainen korotus 8, €]]</f>
        <v>397860</v>
      </c>
      <c r="AP45" s="102">
        <f>Ohj.lask.[[#This Row],[Jaettava € 2]]</f>
        <v>34239</v>
      </c>
      <c r="AQ45" s="10">
        <f>Ohj.lask.[[#This Row],[Jaettava € 3]]+Ohj.lask.[[#This Row],[Jaettava € 4]]+Ohj.lask.[[#This Row],[Jaettava € 5]]+Ohj.lask.[[#This Row],[Jaettava € 6]]+Ohj.lask.[[#This Row],[Jaettava € 7]]</f>
        <v>33830</v>
      </c>
      <c r="AR45" s="33">
        <f>Ohj.lask.[[#This Row],[Jaettava € 8]]+Ohj.lask.[[#This Row],[Harkinnanvarainen korotus 8, €]]</f>
        <v>465929</v>
      </c>
      <c r="AS45" s="33">
        <v>0</v>
      </c>
      <c r="AT45" s="16">
        <f>Ohj.lask.[[#This Row],[Perus-, suoritus- ja vaikuttavuusrahoitus yhteensä, €]]+Ohj.lask.[[#This Row],[Alv-korvaus, €]]</f>
        <v>465929</v>
      </c>
    </row>
    <row r="46" spans="1:46" ht="12.75" x14ac:dyDescent="0.2">
      <c r="A46" s="3" t="s">
        <v>280</v>
      </c>
      <c r="B46" s="7" t="s">
        <v>47</v>
      </c>
      <c r="C46" s="7" t="s">
        <v>175</v>
      </c>
      <c r="D46" s="7" t="s">
        <v>325</v>
      </c>
      <c r="E46" s="7" t="s">
        <v>373</v>
      </c>
      <c r="F46" s="105">
        <v>23</v>
      </c>
      <c r="G46" s="106">
        <f>Ohj.lask.[[#This Row],[Tavoitteelliset opiskelija-vuodet]]-Ohj.lask.[[#This Row],[Järjestämisluvan opisk.vuosien vähimmäismäärä]]</f>
        <v>0</v>
      </c>
      <c r="H46" s="32">
        <v>23</v>
      </c>
      <c r="I46" s="8">
        <f>IFERROR(VLOOKUP($A46,'2.1 Toteut. op.vuodet'!$A:$T,COLUMN('2.1 Toteut. op.vuodet'!S:S),FALSE),0)</f>
        <v>0.76611015008903349</v>
      </c>
      <c r="J46" s="74">
        <f t="shared" si="1"/>
        <v>17.600000000000001</v>
      </c>
      <c r="K46" s="9">
        <f>IFERROR(Ohj.lask.[[#This Row],[Painotetut opiskelija-vuodet]]/Ohj.lask.[[#Totals],[Painotetut opiskelija-vuodet]],0)</f>
        <v>8.1204109297040023E-5</v>
      </c>
      <c r="L46" s="10">
        <f>ROUND(IFERROR('1.1 Jakotaulu'!L$12*Ohj.lask.[[#This Row],[%-osuus 1]],0),0)</f>
        <v>120109</v>
      </c>
      <c r="M46" s="132">
        <f>IFERROR(ROUND(VLOOKUP($A46,'2.2 Tutk. ja osien pain. pist.'!$A:$Q,COLUMN('2.2 Tutk. ja osien pain. pist.'!O:O),FALSE),1),0)</f>
        <v>635.79999999999995</v>
      </c>
      <c r="N46" s="9">
        <f>IFERROR(Ohj.lask.[[#This Row],[Painotetut pisteet 2]]/Ohj.lask.[[#Totals],[Painotetut pisteet 2]],0)</f>
        <v>4.150459604976254E-5</v>
      </c>
      <c r="O46" s="16">
        <f>ROUND(IFERROR('1.1 Jakotaulu'!K$13*Ohj.lask.[[#This Row],[%-osuus 2]],0),0)</f>
        <v>17835</v>
      </c>
      <c r="P46" s="133">
        <f>IFERROR(ROUND(VLOOKUP($A46,'2.3 Työll. ja jatko-opisk.'!$A:$Z,COLUMN('2.3 Työll. ja jatko-opisk.'!L:L),FALSE),1),0)</f>
        <v>20.7</v>
      </c>
      <c r="Q46" s="9">
        <f>IFERROR(Ohj.lask.[[#This Row],[Painotetut pisteet 3]]/Ohj.lask.[[#Totals],[Painotetut pisteet 3]],0)</f>
        <v>6.6232370030972401E-5</v>
      </c>
      <c r="R46" s="10">
        <f>ROUND(IFERROR('1.1 Jakotaulu'!L$15*Ohj.lask.[[#This Row],[%-osuus 3]],0),0)</f>
        <v>9961</v>
      </c>
      <c r="S46" s="132">
        <f>IFERROR(ROUND(VLOOKUP($A46,'2.4 Aloittaneet palaute'!$A:$I,COLUMN('2.4 Aloittaneet palaute'!H:H),FALSE),1),0)</f>
        <v>208.1</v>
      </c>
      <c r="T46" s="13">
        <f>IFERROR(Ohj.lask.[[#This Row],[Painotetut pisteet 4]]/Ohj.lask.[[#Totals],[Painotetut pisteet 4]],0)</f>
        <v>1.2484288903362903E-4</v>
      </c>
      <c r="U46" s="16">
        <f>ROUND(IFERROR('1.1 Jakotaulu'!M$17*Ohj.lask.[[#This Row],[%-osuus 4]],0),0)</f>
        <v>1006</v>
      </c>
      <c r="V46" s="132">
        <f>IFERROR(ROUND(VLOOKUP($A46,'2.5 Päättäneet palaute'!$A:$Z,COLUMN('2.5 Päättäneet palaute'!X:X),FALSE),1),0)</f>
        <v>1735.6</v>
      </c>
      <c r="W46" s="13">
        <f>IFERROR(Ohj.lask.[[#This Row],[Painotetut pisteet 5]]/Ohj.lask.[[#Totals],[Painotetut pisteet 5]],0)</f>
        <v>1.6970047328695431E-4</v>
      </c>
      <c r="X46" s="16">
        <f>ROUND(IFERROR('1.1 Jakotaulu'!M$18*Ohj.lask.[[#This Row],[%-osuus 5]],0),0)</f>
        <v>4102</v>
      </c>
      <c r="Y46" s="132">
        <f>IFERROR(ROUND(VLOOKUP($A46,'2.6 Työpaikkaohjaajakysely'!B:J,COLUMN('2.6 Työpaikkaohjaajakysely'!H:H),FALSE),1),0)</f>
        <v>45842.2</v>
      </c>
      <c r="Z46" s="9">
        <f>IFERROR(Ohj.lask.[[#This Row],[Painotetut pisteet 6]]/Ohj.lask.[[#Totals],[Painotetut pisteet 6]],0)</f>
        <v>1.3506558027280709E-4</v>
      </c>
      <c r="AA46" s="16">
        <f>ROUND(IFERROR('1.1 Jakotaulu'!M$20*Ohj.lask.[[#This Row],[%-osuus 6]],0),0)</f>
        <v>3265</v>
      </c>
      <c r="AB46" s="132">
        <f>IFERROR(ROUND(VLOOKUP($A46,'2.7 Työpaikkakysely'!B:H,COLUMN('2.7 Työpaikkakysely'!F:F),FALSE),1),0)</f>
        <v>64830</v>
      </c>
      <c r="AC46" s="9">
        <f>IFERROR(Ohj.lask.[[#This Row],[Pisteet 7]]/Ohj.lask.[[#Totals],[Pisteet 7]],0)</f>
        <v>3.5133058228896657E-4</v>
      </c>
      <c r="AD46" s="16">
        <f>ROUND(IFERROR('1.1 Jakotaulu'!M$21*Ohj.lask.[[#This Row],[%-osuus 7]],0),0)</f>
        <v>2831</v>
      </c>
      <c r="AE46" s="12">
        <f>IFERROR(Ohj.lask.[[#This Row],[Jaettava € 8]]/Ohj.lask.[[#Totals],[Jaettava € 8]],"")</f>
        <v>7.4922245009084214E-5</v>
      </c>
      <c r="AF4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159109</v>
      </c>
      <c r="AG46" s="102">
        <v>0</v>
      </c>
      <c r="AH46" s="102">
        <v>0</v>
      </c>
      <c r="AI46" s="102">
        <v>0</v>
      </c>
      <c r="AJ46" s="102">
        <v>0</v>
      </c>
      <c r="AK46" s="102">
        <v>0</v>
      </c>
      <c r="AL46" s="107">
        <v>0</v>
      </c>
      <c r="AM46" s="107">
        <v>0</v>
      </c>
      <c r="AN4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46" s="10">
        <f>Ohj.lask.[[#This Row],[Jaettava € 1]]+Ohj.lask.[[#This Row],[Harkinnanvarainen korotus 8, €]]</f>
        <v>120109</v>
      </c>
      <c r="AP46" s="102">
        <f>Ohj.lask.[[#This Row],[Jaettava € 2]]</f>
        <v>17835</v>
      </c>
      <c r="AQ46" s="10">
        <f>Ohj.lask.[[#This Row],[Jaettava € 3]]+Ohj.lask.[[#This Row],[Jaettava € 4]]+Ohj.lask.[[#This Row],[Jaettava € 5]]+Ohj.lask.[[#This Row],[Jaettava € 6]]+Ohj.lask.[[#This Row],[Jaettava € 7]]</f>
        <v>21165</v>
      </c>
      <c r="AR46" s="33">
        <f>Ohj.lask.[[#This Row],[Jaettava € 8]]+Ohj.lask.[[#This Row],[Harkinnanvarainen korotus 8, €]]</f>
        <v>159109</v>
      </c>
      <c r="AS46" s="33">
        <v>8810</v>
      </c>
      <c r="AT46" s="16">
        <f>Ohj.lask.[[#This Row],[Perus-, suoritus- ja vaikuttavuusrahoitus yhteensä, €]]+Ohj.lask.[[#This Row],[Alv-korvaus, €]]</f>
        <v>167919</v>
      </c>
    </row>
    <row r="47" spans="1:46" ht="12.75" x14ac:dyDescent="0.2">
      <c r="A47" s="3" t="s">
        <v>278</v>
      </c>
      <c r="B47" s="7" t="s">
        <v>48</v>
      </c>
      <c r="C47" s="7" t="s">
        <v>173</v>
      </c>
      <c r="D47" s="7" t="s">
        <v>325</v>
      </c>
      <c r="E47" s="7" t="s">
        <v>373</v>
      </c>
      <c r="F47" s="105">
        <v>83</v>
      </c>
      <c r="G47" s="106">
        <f>Ohj.lask.[[#This Row],[Tavoitteelliset opiskelija-vuodet]]-Ohj.lask.[[#This Row],[Järjestämisluvan opisk.vuosien vähimmäismäärä]]</f>
        <v>4</v>
      </c>
      <c r="H47" s="32">
        <v>87</v>
      </c>
      <c r="I47" s="8">
        <f>IFERROR(VLOOKUP($A47,'2.1 Toteut. op.vuodet'!$A:$T,COLUMN('2.1 Toteut. op.vuodet'!S:S),FALSE),0)</f>
        <v>1.0585069285124327</v>
      </c>
      <c r="J47" s="74">
        <f t="shared" si="1"/>
        <v>92.1</v>
      </c>
      <c r="K47" s="9">
        <f>IFERROR(Ohj.lask.[[#This Row],[Painotetut opiskelija-vuodet]]/Ohj.lask.[[#Totals],[Painotetut opiskelija-vuodet]],0)</f>
        <v>4.249374128555332E-4</v>
      </c>
      <c r="L47" s="10">
        <f>ROUND(IFERROR('1.1 Jakotaulu'!L$12*Ohj.lask.[[#This Row],[%-osuus 1]],0),0)</f>
        <v>628523</v>
      </c>
      <c r="M47" s="132">
        <f>IFERROR(ROUND(VLOOKUP($A47,'2.2 Tutk. ja osien pain. pist.'!$A:$Q,COLUMN('2.2 Tutk. ja osien pain. pist.'!O:O),FALSE),1),0)</f>
        <v>4470.1000000000004</v>
      </c>
      <c r="N47" s="9">
        <f>IFERROR(Ohj.lask.[[#This Row],[Painotetut pisteet 2]]/Ohj.lask.[[#Totals],[Painotetut pisteet 2]],0)</f>
        <v>2.9180511922309463E-4</v>
      </c>
      <c r="O47" s="16">
        <f>ROUND(IFERROR('1.1 Jakotaulu'!K$13*Ohj.lask.[[#This Row],[%-osuus 2]],0),0)</f>
        <v>125390</v>
      </c>
      <c r="P47" s="133">
        <f>IFERROR(ROUND(VLOOKUP($A47,'2.3 Työll. ja jatko-opisk.'!$A:$Z,COLUMN('2.3 Työll. ja jatko-opisk.'!L:L),FALSE),1),0)</f>
        <v>117.3</v>
      </c>
      <c r="Q47" s="9">
        <f>IFERROR(Ohj.lask.[[#This Row],[Painotetut pisteet 3]]/Ohj.lask.[[#Totals],[Painotetut pisteet 3]],0)</f>
        <v>3.7531676350884366E-4</v>
      </c>
      <c r="R47" s="10">
        <f>ROUND(IFERROR('1.1 Jakotaulu'!L$15*Ohj.lask.[[#This Row],[%-osuus 3]],0),0)</f>
        <v>56447</v>
      </c>
      <c r="S47" s="132">
        <f>IFERROR(ROUND(VLOOKUP($A47,'2.4 Aloittaneet palaute'!$A:$I,COLUMN('2.4 Aloittaneet palaute'!H:H),FALSE),1),0)</f>
        <v>589.70000000000005</v>
      </c>
      <c r="T47" s="13">
        <f>IFERROR(Ohj.lask.[[#This Row],[Painotetut pisteet 4]]/Ohj.lask.[[#Totals],[Painotetut pisteet 4]],0)</f>
        <v>3.5377151207655478E-4</v>
      </c>
      <c r="U47" s="16">
        <f>ROUND(IFERROR('1.1 Jakotaulu'!M$17*Ohj.lask.[[#This Row],[%-osuus 4]],0),0)</f>
        <v>2850</v>
      </c>
      <c r="V47" s="132">
        <f>IFERROR(ROUND(VLOOKUP($A47,'2.5 Päättäneet palaute'!$A:$Z,COLUMN('2.5 Päättäneet palaute'!X:X),FALSE),1),0)</f>
        <v>4214.3999999999996</v>
      </c>
      <c r="W47" s="13">
        <f>IFERROR(Ohj.lask.[[#This Row],[Painotetut pisteet 5]]/Ohj.lask.[[#Totals],[Painotetut pisteet 5]],0)</f>
        <v>4.1206826147761015E-4</v>
      </c>
      <c r="X47" s="16">
        <f>ROUND(IFERROR('1.1 Jakotaulu'!M$18*Ohj.lask.[[#This Row],[%-osuus 5]],0),0)</f>
        <v>9960</v>
      </c>
      <c r="Y47" s="132">
        <f>IFERROR(ROUND(VLOOKUP($A47,'2.6 Työpaikkaohjaajakysely'!B:J,COLUMN('2.6 Työpaikkaohjaajakysely'!H:H),FALSE),1),0)</f>
        <v>67311.100000000006</v>
      </c>
      <c r="Z47" s="9">
        <f>IFERROR(Ohj.lask.[[#This Row],[Painotetut pisteet 6]]/Ohj.lask.[[#Totals],[Painotetut pisteet 6]],0)</f>
        <v>1.983197311712995E-4</v>
      </c>
      <c r="AA47" s="16">
        <f>ROUND(IFERROR('1.1 Jakotaulu'!M$20*Ohj.lask.[[#This Row],[%-osuus 6]],0),0)</f>
        <v>4794</v>
      </c>
      <c r="AB47" s="132">
        <f>IFERROR(ROUND(VLOOKUP($A47,'2.7 Työpaikkakysely'!B:H,COLUMN('2.7 Työpaikkakysely'!F:F),FALSE),1),0)</f>
        <v>63831</v>
      </c>
      <c r="AC47" s="9">
        <f>IFERROR(Ohj.lask.[[#This Row],[Pisteet 7]]/Ohj.lask.[[#Totals],[Pisteet 7]],0)</f>
        <v>3.4591674221945125E-4</v>
      </c>
      <c r="AD47" s="16">
        <f>ROUND(IFERROR('1.1 Jakotaulu'!M$21*Ohj.lask.[[#This Row],[%-osuus 7]],0),0)</f>
        <v>2787</v>
      </c>
      <c r="AE47" s="12">
        <f>IFERROR(Ohj.lask.[[#This Row],[Jaettava € 8]]/Ohj.lask.[[#Totals],[Jaettava € 8]],"")</f>
        <v>3.9118924739355861E-4</v>
      </c>
      <c r="AF4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830751</v>
      </c>
      <c r="AG47" s="102">
        <v>0</v>
      </c>
      <c r="AH47" s="102">
        <v>0</v>
      </c>
      <c r="AI47" s="102">
        <v>0</v>
      </c>
      <c r="AJ47" s="102">
        <v>0</v>
      </c>
      <c r="AK47" s="102">
        <v>0</v>
      </c>
      <c r="AL47" s="107">
        <v>0</v>
      </c>
      <c r="AM47" s="107">
        <v>0</v>
      </c>
      <c r="AN4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47" s="10">
        <f>Ohj.lask.[[#This Row],[Jaettava € 1]]+Ohj.lask.[[#This Row],[Harkinnanvarainen korotus 8, €]]</f>
        <v>628523</v>
      </c>
      <c r="AP47" s="102">
        <f>Ohj.lask.[[#This Row],[Jaettava € 2]]</f>
        <v>125390</v>
      </c>
      <c r="AQ47" s="10">
        <f>Ohj.lask.[[#This Row],[Jaettava € 3]]+Ohj.lask.[[#This Row],[Jaettava € 4]]+Ohj.lask.[[#This Row],[Jaettava € 5]]+Ohj.lask.[[#This Row],[Jaettava € 6]]+Ohj.lask.[[#This Row],[Jaettava € 7]]</f>
        <v>76838</v>
      </c>
      <c r="AR47" s="33">
        <f>Ohj.lask.[[#This Row],[Jaettava € 8]]+Ohj.lask.[[#This Row],[Harkinnanvarainen korotus 8, €]]</f>
        <v>830751</v>
      </c>
      <c r="AS47" s="33">
        <v>39348</v>
      </c>
      <c r="AT47" s="16">
        <f>Ohj.lask.[[#This Row],[Perus-, suoritus- ja vaikuttavuusrahoitus yhteensä, €]]+Ohj.lask.[[#This Row],[Alv-korvaus, €]]</f>
        <v>870099</v>
      </c>
    </row>
    <row r="48" spans="1:46" ht="12.75" x14ac:dyDescent="0.2">
      <c r="A48" s="3" t="s">
        <v>277</v>
      </c>
      <c r="B48" s="7" t="s">
        <v>49</v>
      </c>
      <c r="C48" s="96" t="s">
        <v>222</v>
      </c>
      <c r="D48" s="96" t="s">
        <v>324</v>
      </c>
      <c r="E48" s="96" t="s">
        <v>373</v>
      </c>
      <c r="F48" s="104">
        <v>2434</v>
      </c>
      <c r="G48" s="106">
        <f>Ohj.lask.[[#This Row],[Tavoitteelliset opiskelija-vuodet]]-Ohj.lask.[[#This Row],[Järjestämisluvan opisk.vuosien vähimmäismäärä]]</f>
        <v>60</v>
      </c>
      <c r="H48" s="32">
        <v>2494</v>
      </c>
      <c r="I48" s="8">
        <f>IFERROR(VLOOKUP($A48,'2.1 Toteut. op.vuodet'!$A:$T,COLUMN('2.1 Toteut. op.vuodet'!S:S),FALSE),0)</f>
        <v>1.1630547284122112</v>
      </c>
      <c r="J48" s="74">
        <f t="shared" si="1"/>
        <v>2900.7</v>
      </c>
      <c r="K48" s="9">
        <f>IFERROR(Ohj.lask.[[#This Row],[Painotetut opiskelija-vuodet]]/Ohj.lask.[[#Totals],[Painotetut opiskelija-vuodet]],0)</f>
        <v>1.3383452263518406E-2</v>
      </c>
      <c r="L48" s="10">
        <f>ROUND(IFERROR('1.1 Jakotaulu'!L$12*Ohj.lask.[[#This Row],[%-osuus 1]],0),0)</f>
        <v>19795411</v>
      </c>
      <c r="M48" s="132">
        <f>IFERROR(ROUND(VLOOKUP($A48,'2.2 Tutk. ja osien pain. pist.'!$A:$Q,COLUMN('2.2 Tutk. ja osien pain. pist.'!O:O),FALSE),1),0)</f>
        <v>173036.79999999999</v>
      </c>
      <c r="N48" s="9">
        <f>IFERROR(Ohj.lask.[[#This Row],[Painotetut pisteet 2]]/Ohj.lask.[[#Totals],[Painotetut pisteet 2]],0)</f>
        <v>1.1295725834764944E-2</v>
      </c>
      <c r="O48" s="16">
        <f>ROUND(IFERROR('1.1 Jakotaulu'!K$13*Ohj.lask.[[#This Row],[%-osuus 2]],0),0)</f>
        <v>4853841</v>
      </c>
      <c r="P48" s="133">
        <f>IFERROR(ROUND(VLOOKUP($A48,'2.3 Työll. ja jatko-opisk.'!$A:$Z,COLUMN('2.3 Työll. ja jatko-opisk.'!L:L),FALSE),1),0)</f>
        <v>4309.3</v>
      </c>
      <c r="Q48" s="13">
        <f>IFERROR(Ohj.lask.[[#This Row],[Painotetut pisteet 3]]/Ohj.lask.[[#Totals],[Painotetut pisteet 3]],0)</f>
        <v>1.3788171602631372E-2</v>
      </c>
      <c r="R48" s="10">
        <f>ROUND(IFERROR('1.1 Jakotaulu'!L$15*Ohj.lask.[[#This Row],[%-osuus 3]],0),0)</f>
        <v>2073701</v>
      </c>
      <c r="S48" s="132">
        <f>IFERROR(ROUND(VLOOKUP($A48,'2.4 Aloittaneet palaute'!$A:$I,COLUMN('2.4 Aloittaneet palaute'!H:H),FALSE),1),0)</f>
        <v>23687.3</v>
      </c>
      <c r="T48" s="13">
        <f>IFERROR(Ohj.lask.[[#This Row],[Painotetut pisteet 4]]/Ohj.lask.[[#Totals],[Painotetut pisteet 4]],0)</f>
        <v>1.4210432318146473E-2</v>
      </c>
      <c r="U48" s="16">
        <f>ROUND(IFERROR('1.1 Jakotaulu'!M$17*Ohj.lask.[[#This Row],[%-osuus 4]],0),0)</f>
        <v>114493</v>
      </c>
      <c r="V48" s="132">
        <f>IFERROR(ROUND(VLOOKUP($A48,'2.5 Päättäneet palaute'!$A:$Z,COLUMN('2.5 Päättäneet palaute'!X:X),FALSE),1),0)</f>
        <v>122484.8</v>
      </c>
      <c r="W48" s="13">
        <f>IFERROR(Ohj.lask.[[#This Row],[Painotetut pisteet 5]]/Ohj.lask.[[#Totals],[Painotetut pisteet 5]],0)</f>
        <v>1.1976105398973234E-2</v>
      </c>
      <c r="X48" s="16">
        <f>ROUND(IFERROR('1.1 Jakotaulu'!M$18*Ohj.lask.[[#This Row],[%-osuus 5]],0),0)</f>
        <v>289474</v>
      </c>
      <c r="Y48" s="132">
        <f>IFERROR(ROUND(VLOOKUP($A48,'2.6 Työpaikkaohjaajakysely'!B:J,COLUMN('2.6 Työpaikkaohjaajakysely'!H:H),FALSE),1),0)</f>
        <v>4110391.3</v>
      </c>
      <c r="Z48" s="9">
        <f>IFERROR(Ohj.lask.[[#This Row],[Painotetut pisteet 6]]/Ohj.lask.[[#Totals],[Painotetut pisteet 6]],0)</f>
        <v>1.2110509226930598E-2</v>
      </c>
      <c r="AA48" s="16">
        <f>ROUND(IFERROR('1.1 Jakotaulu'!M$20*Ohj.lask.[[#This Row],[%-osuus 6]],0),0)</f>
        <v>292723</v>
      </c>
      <c r="AB48" s="132">
        <f>IFERROR(ROUND(VLOOKUP($A48,'2.7 Työpaikkakysely'!B:H,COLUMN('2.7 Työpaikkakysely'!F:F),FALSE),1),0)</f>
        <v>2508614</v>
      </c>
      <c r="AC48" s="9">
        <f>IFERROR(Ohj.lask.[[#This Row],[Pisteet 7]]/Ohj.lask.[[#Totals],[Pisteet 7]],0)</f>
        <v>1.3594829821969051E-2</v>
      </c>
      <c r="AD48" s="16">
        <f>ROUND(IFERROR('1.1 Jakotaulu'!M$21*Ohj.lask.[[#This Row],[%-osuus 7]],0),0)</f>
        <v>109533</v>
      </c>
      <c r="AE48" s="12">
        <f>IFERROR(Ohj.lask.[[#This Row],[Jaettava € 8]]/Ohj.lask.[[#Totals],[Jaettava € 8]],"")</f>
        <v>1.2963111258132482E-2</v>
      </c>
      <c r="AF4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27529176</v>
      </c>
      <c r="AG48" s="102">
        <v>0</v>
      </c>
      <c r="AH48" s="102">
        <v>0</v>
      </c>
      <c r="AI48" s="102">
        <v>0</v>
      </c>
      <c r="AJ48" s="102">
        <v>0</v>
      </c>
      <c r="AK48" s="102">
        <v>27000</v>
      </c>
      <c r="AL48" s="107">
        <v>0</v>
      </c>
      <c r="AM48" s="107">
        <v>78646</v>
      </c>
      <c r="AN4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105646</v>
      </c>
      <c r="AO48" s="10">
        <f>Ohj.lask.[[#This Row],[Jaettava € 1]]+Ohj.lask.[[#This Row],[Harkinnanvarainen korotus 8, €]]</f>
        <v>19901057</v>
      </c>
      <c r="AP48" s="102">
        <f>Ohj.lask.[[#This Row],[Jaettava € 2]]</f>
        <v>4853841</v>
      </c>
      <c r="AQ48" s="10">
        <f>Ohj.lask.[[#This Row],[Jaettava € 3]]+Ohj.lask.[[#This Row],[Jaettava € 4]]+Ohj.lask.[[#This Row],[Jaettava € 5]]+Ohj.lask.[[#This Row],[Jaettava € 6]]+Ohj.lask.[[#This Row],[Jaettava € 7]]</f>
        <v>2879924</v>
      </c>
      <c r="AR48" s="33">
        <f>Ohj.lask.[[#This Row],[Jaettava € 8]]+Ohj.lask.[[#This Row],[Harkinnanvarainen korotus 8, €]]</f>
        <v>27634822</v>
      </c>
      <c r="AS48" s="33">
        <v>0</v>
      </c>
      <c r="AT48" s="16">
        <f>Ohj.lask.[[#This Row],[Perus-, suoritus- ja vaikuttavuusrahoitus yhteensä, €]]+Ohj.lask.[[#This Row],[Alv-korvaus, €]]</f>
        <v>27634822</v>
      </c>
    </row>
    <row r="49" spans="1:46" ht="12.75" x14ac:dyDescent="0.2">
      <c r="A49" s="3" t="s">
        <v>267</v>
      </c>
      <c r="B49" s="7" t="s">
        <v>435</v>
      </c>
      <c r="C49" s="7" t="s">
        <v>265</v>
      </c>
      <c r="D49" s="7" t="s">
        <v>325</v>
      </c>
      <c r="E49" s="7" t="s">
        <v>373</v>
      </c>
      <c r="F49" s="105">
        <v>43</v>
      </c>
      <c r="G49" s="106">
        <f>Ohj.lask.[[#This Row],[Tavoitteelliset opiskelija-vuodet]]-Ohj.lask.[[#This Row],[Järjestämisluvan opisk.vuosien vähimmäismäärä]]</f>
        <v>6</v>
      </c>
      <c r="H49" s="32">
        <v>49</v>
      </c>
      <c r="I49" s="8">
        <f>IFERROR(VLOOKUP($A49,'2.1 Toteut. op.vuodet'!$A:$T,COLUMN('2.1 Toteut. op.vuodet'!S:S),FALSE),0)</f>
        <v>1.4851237065110914</v>
      </c>
      <c r="J49" s="74">
        <f t="shared" si="1"/>
        <v>72.8</v>
      </c>
      <c r="K49" s="9">
        <f>IFERROR(Ohj.lask.[[#This Row],[Painotetut opiskelija-vuodet]]/Ohj.lask.[[#Totals],[Painotetut opiskelija-vuodet]],0)</f>
        <v>3.3588972481957455E-4</v>
      </c>
      <c r="L49" s="10">
        <f>ROUND(IFERROR('1.1 Jakotaulu'!L$12*Ohj.lask.[[#This Row],[%-osuus 1]],0),0)</f>
        <v>496813</v>
      </c>
      <c r="M49" s="132">
        <f>IFERROR(ROUND(VLOOKUP($A49,'2.2 Tutk. ja osien pain. pist.'!$A:$Q,COLUMN('2.2 Tutk. ja osien pain. pist.'!O:O),FALSE),1),0)</f>
        <v>4505.5</v>
      </c>
      <c r="N49" s="9">
        <f>IFERROR(Ohj.lask.[[#This Row],[Painotetut pisteet 2]]/Ohj.lask.[[#Totals],[Painotetut pisteet 2]],0)</f>
        <v>2.9411600739573E-4</v>
      </c>
      <c r="O49" s="16">
        <f>ROUND(IFERROR('1.1 Jakotaulu'!K$13*Ohj.lask.[[#This Row],[%-osuus 2]],0),0)</f>
        <v>126383</v>
      </c>
      <c r="P49" s="133">
        <f>IFERROR(ROUND(VLOOKUP($A49,'2.3 Työll. ja jatko-opisk.'!$A:$Z,COLUMN('2.3 Työll. ja jatko-opisk.'!L:L),FALSE),1),0)</f>
        <v>99.2</v>
      </c>
      <c r="Q49" s="9">
        <f>IFERROR(Ohj.lask.[[#This Row],[Painotetut pisteet 3]]/Ohj.lask.[[#Totals],[Painotetut pisteet 3]],0)</f>
        <v>3.1740343512427359E-4</v>
      </c>
      <c r="R49" s="10">
        <f>ROUND(IFERROR('1.1 Jakotaulu'!L$15*Ohj.lask.[[#This Row],[%-osuus 3]],0),0)</f>
        <v>47737</v>
      </c>
      <c r="S49" s="132">
        <f>IFERROR(ROUND(VLOOKUP($A49,'2.4 Aloittaneet palaute'!$A:$I,COLUMN('2.4 Aloittaneet palaute'!H:H),FALSE),1),0)</f>
        <v>378.7</v>
      </c>
      <c r="T49" s="13">
        <f>IFERROR(Ohj.lask.[[#This Row],[Painotetut pisteet 4]]/Ohj.lask.[[#Totals],[Painotetut pisteet 4]],0)</f>
        <v>2.2718886149464352E-4</v>
      </c>
      <c r="U49" s="16">
        <f>ROUND(IFERROR('1.1 Jakotaulu'!M$17*Ohj.lask.[[#This Row],[%-osuus 4]],0),0)</f>
        <v>1830</v>
      </c>
      <c r="V49" s="132">
        <f>IFERROR(ROUND(VLOOKUP($A49,'2.5 Päättäneet palaute'!$A:$Z,COLUMN('2.5 Päättäneet palaute'!X:X),FALSE),1),0)</f>
        <v>1903.6</v>
      </c>
      <c r="W49" s="13">
        <f>IFERROR(Ohj.lask.[[#This Row],[Painotetut pisteet 5]]/Ohj.lask.[[#Totals],[Painotetut pisteet 5]],0)</f>
        <v>1.8612688462148319E-4</v>
      </c>
      <c r="X49" s="16">
        <f>ROUND(IFERROR('1.1 Jakotaulu'!M$18*Ohj.lask.[[#This Row],[%-osuus 5]],0),0)</f>
        <v>4499</v>
      </c>
      <c r="Y49" s="132">
        <f>IFERROR(ROUND(VLOOKUP($A49,'2.6 Työpaikkaohjaajakysely'!B:J,COLUMN('2.6 Työpaikkaohjaajakysely'!H:H),FALSE),1),0)</f>
        <v>0</v>
      </c>
      <c r="Z49" s="9">
        <f>IFERROR(Ohj.lask.[[#This Row],[Painotetut pisteet 6]]/Ohj.lask.[[#Totals],[Painotetut pisteet 6]],0)</f>
        <v>0</v>
      </c>
      <c r="AA49" s="16">
        <f>ROUND(IFERROR('1.1 Jakotaulu'!M$20*Ohj.lask.[[#This Row],[%-osuus 6]],0),0)</f>
        <v>0</v>
      </c>
      <c r="AB49" s="132">
        <f>IFERROR(ROUND(VLOOKUP($A49,'2.7 Työpaikkakysely'!B:H,COLUMN('2.7 Työpaikkakysely'!F:F),FALSE),1),0)</f>
        <v>0</v>
      </c>
      <c r="AC49" s="9">
        <f>IFERROR(Ohj.lask.[[#This Row],[Pisteet 7]]/Ohj.lask.[[#Totals],[Pisteet 7]],0)</f>
        <v>0</v>
      </c>
      <c r="AD49" s="16">
        <f>ROUND(IFERROR('1.1 Jakotaulu'!M$21*Ohj.lask.[[#This Row],[%-osuus 7]],0),0)</f>
        <v>0</v>
      </c>
      <c r="AE49" s="12">
        <f>IFERROR(Ohj.lask.[[#This Row],[Jaettava € 8]]/Ohj.lask.[[#Totals],[Jaettava € 8]],"")</f>
        <v>3.18913383273997E-4</v>
      </c>
      <c r="AF4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677262</v>
      </c>
      <c r="AG49" s="102">
        <v>0</v>
      </c>
      <c r="AH49" s="102">
        <v>0</v>
      </c>
      <c r="AI49" s="102">
        <v>0</v>
      </c>
      <c r="AJ49" s="102">
        <v>0</v>
      </c>
      <c r="AK49" s="102">
        <v>0</v>
      </c>
      <c r="AL49" s="107">
        <v>0</v>
      </c>
      <c r="AM49" s="107">
        <v>0</v>
      </c>
      <c r="AN4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49" s="10">
        <f>Ohj.lask.[[#This Row],[Jaettava € 1]]+Ohj.lask.[[#This Row],[Harkinnanvarainen korotus 8, €]]</f>
        <v>496813</v>
      </c>
      <c r="AP49" s="102">
        <f>Ohj.lask.[[#This Row],[Jaettava € 2]]</f>
        <v>126383</v>
      </c>
      <c r="AQ49" s="10">
        <f>Ohj.lask.[[#This Row],[Jaettava € 3]]+Ohj.lask.[[#This Row],[Jaettava € 4]]+Ohj.lask.[[#This Row],[Jaettava € 5]]+Ohj.lask.[[#This Row],[Jaettava € 6]]+Ohj.lask.[[#This Row],[Jaettava € 7]]</f>
        <v>54066</v>
      </c>
      <c r="AR49" s="33">
        <f>Ohj.lask.[[#This Row],[Jaettava € 8]]+Ohj.lask.[[#This Row],[Harkinnanvarainen korotus 8, €]]</f>
        <v>677262</v>
      </c>
      <c r="AS49" s="33">
        <v>16174</v>
      </c>
      <c r="AT49" s="16">
        <f>Ohj.lask.[[#This Row],[Perus-, suoritus- ja vaikuttavuusrahoitus yhteensä, €]]+Ohj.lask.[[#This Row],[Alv-korvaus, €]]</f>
        <v>693436</v>
      </c>
    </row>
    <row r="50" spans="1:46" ht="12.75" x14ac:dyDescent="0.2">
      <c r="A50" s="3" t="s">
        <v>266</v>
      </c>
      <c r="B50" s="7" t="s">
        <v>51</v>
      </c>
      <c r="C50" s="7" t="s">
        <v>265</v>
      </c>
      <c r="D50" s="7" t="s">
        <v>324</v>
      </c>
      <c r="E50" s="7" t="s">
        <v>373</v>
      </c>
      <c r="F50" s="105">
        <v>2572</v>
      </c>
      <c r="G50" s="106">
        <f>Ohj.lask.[[#This Row],[Tavoitteelliset opiskelija-vuodet]]-Ohj.lask.[[#This Row],[Järjestämisluvan opisk.vuosien vähimmäismäärä]]</f>
        <v>68</v>
      </c>
      <c r="H50" s="32">
        <v>2640</v>
      </c>
      <c r="I50" s="8">
        <f>IFERROR(VLOOKUP($A50,'2.1 Toteut. op.vuodet'!$A:$T,COLUMN('2.1 Toteut. op.vuodet'!S:S),FALSE),0)</f>
        <v>1.2050283601552358</v>
      </c>
      <c r="J50" s="74">
        <f t="shared" si="1"/>
        <v>3181.3</v>
      </c>
      <c r="K50" s="9">
        <f>IFERROR(Ohj.lask.[[#This Row],[Painotetut opiskelija-vuodet]]/Ohj.lask.[[#Totals],[Painotetut opiskelija-vuodet]],0)</f>
        <v>1.4678104142424625E-2</v>
      </c>
      <c r="L50" s="10">
        <f>ROUND(IFERROR('1.1 Jakotaulu'!L$12*Ohj.lask.[[#This Row],[%-osuus 1]],0),0)</f>
        <v>21710325</v>
      </c>
      <c r="M50" s="132">
        <f>IFERROR(ROUND(VLOOKUP($A50,'2.2 Tutk. ja osien pain. pist.'!$A:$Q,COLUMN('2.2 Tutk. ja osien pain. pist.'!O:O),FALSE),1),0)</f>
        <v>255414.1</v>
      </c>
      <c r="N50" s="9">
        <f>IFERROR(Ohj.lask.[[#This Row],[Painotetut pisteet 2]]/Ohj.lask.[[#Totals],[Painotetut pisteet 2]],0)</f>
        <v>1.6673260531477913E-2</v>
      </c>
      <c r="O50" s="16">
        <f>ROUND(IFERROR('1.1 Jakotaulu'!K$13*Ohj.lask.[[#This Row],[%-osuus 2]],0),0)</f>
        <v>7164600</v>
      </c>
      <c r="P50" s="133">
        <f>IFERROR(ROUND(VLOOKUP($A50,'2.3 Työll. ja jatko-opisk.'!$A:$Z,COLUMN('2.3 Työll. ja jatko-opisk.'!L:L),FALSE),1),0)</f>
        <v>5430.4</v>
      </c>
      <c r="Q50" s="9">
        <f>IFERROR(Ohj.lask.[[#This Row],[Painotetut pisteet 3]]/Ohj.lask.[[#Totals],[Painotetut pisteet 3]],0)</f>
        <v>1.7375278367932005E-2</v>
      </c>
      <c r="R50" s="10">
        <f>ROUND(IFERROR('1.1 Jakotaulu'!L$15*Ohj.lask.[[#This Row],[%-osuus 3]],0),0)</f>
        <v>2613191</v>
      </c>
      <c r="S50" s="132">
        <f>IFERROR(ROUND(VLOOKUP($A50,'2.4 Aloittaneet palaute'!$A:$I,COLUMN('2.4 Aloittaneet palaute'!H:H),FALSE),1),0)</f>
        <v>27156.1</v>
      </c>
      <c r="T50" s="13">
        <f>IFERROR(Ohj.lask.[[#This Row],[Painotetut pisteet 4]]/Ohj.lask.[[#Totals],[Painotetut pisteet 4]],0)</f>
        <v>1.6291427097002084E-2</v>
      </c>
      <c r="U50" s="16">
        <f>ROUND(IFERROR('1.1 Jakotaulu'!M$17*Ohj.lask.[[#This Row],[%-osuus 4]],0),0)</f>
        <v>131260</v>
      </c>
      <c r="V50" s="132">
        <f>IFERROR(ROUND(VLOOKUP($A50,'2.5 Päättäneet palaute'!$A:$Z,COLUMN('2.5 Päättäneet palaute'!X:X),FALSE),1),0)</f>
        <v>177302.2</v>
      </c>
      <c r="W50" s="13">
        <f>IFERROR(Ohj.lask.[[#This Row],[Painotetut pisteet 5]]/Ohj.lask.[[#Totals],[Painotetut pisteet 5]],0)</f>
        <v>1.7335945641172065E-2</v>
      </c>
      <c r="X50" s="16">
        <f>ROUND(IFERROR('1.1 Jakotaulu'!M$18*Ohj.lask.[[#This Row],[%-osuus 5]],0),0)</f>
        <v>419027</v>
      </c>
      <c r="Y50" s="132">
        <f>IFERROR(ROUND(VLOOKUP($A50,'2.6 Työpaikkaohjaajakysely'!B:J,COLUMN('2.6 Työpaikkaohjaajakysely'!H:H),FALSE),1),0)</f>
        <v>7881434.7000000002</v>
      </c>
      <c r="Z50" s="9">
        <f>IFERROR(Ohj.lask.[[#This Row],[Painotetut pisteet 6]]/Ohj.lask.[[#Totals],[Painotetut pisteet 6]],0)</f>
        <v>2.3221192506854761E-2</v>
      </c>
      <c r="AA50" s="16">
        <f>ROUND(IFERROR('1.1 Jakotaulu'!M$20*Ohj.lask.[[#This Row],[%-osuus 6]],0),0)</f>
        <v>561279</v>
      </c>
      <c r="AB50" s="132">
        <f>IFERROR(ROUND(VLOOKUP($A50,'2.7 Työpaikkakysely'!B:H,COLUMN('2.7 Työpaikkakysely'!F:F),FALSE),1),0)</f>
        <v>7926424.5999999996</v>
      </c>
      <c r="AC50" s="9">
        <f>IFERROR(Ohj.lask.[[#This Row],[Pisteet 7]]/Ohj.lask.[[#Totals],[Pisteet 7]],0)</f>
        <v>4.2955350457929795E-2</v>
      </c>
      <c r="AD50" s="16">
        <f>ROUND(IFERROR('1.1 Jakotaulu'!M$21*Ohj.lask.[[#This Row],[%-osuus 7]],0),0)</f>
        <v>346091</v>
      </c>
      <c r="AE50" s="12">
        <f>IFERROR(Ohj.lask.[[#This Row],[Jaettava € 8]]/Ohj.lask.[[#Totals],[Jaettava € 8]],"")</f>
        <v>1.5513712465791824E-2</v>
      </c>
      <c r="AF5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32945773</v>
      </c>
      <c r="AG50" s="102">
        <v>0</v>
      </c>
      <c r="AH50" s="102">
        <v>0</v>
      </c>
      <c r="AI50" s="102">
        <v>0</v>
      </c>
      <c r="AJ50" s="102">
        <v>0</v>
      </c>
      <c r="AK50" s="102">
        <v>41000</v>
      </c>
      <c r="AL50" s="107">
        <v>4000</v>
      </c>
      <c r="AM50" s="107">
        <v>100067</v>
      </c>
      <c r="AN5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145067</v>
      </c>
      <c r="AO50" s="10">
        <f>Ohj.lask.[[#This Row],[Jaettava € 1]]+Ohj.lask.[[#This Row],[Harkinnanvarainen korotus 8, €]]</f>
        <v>21855392</v>
      </c>
      <c r="AP50" s="102">
        <f>Ohj.lask.[[#This Row],[Jaettava € 2]]</f>
        <v>7164600</v>
      </c>
      <c r="AQ50" s="10">
        <f>Ohj.lask.[[#This Row],[Jaettava € 3]]+Ohj.lask.[[#This Row],[Jaettava € 4]]+Ohj.lask.[[#This Row],[Jaettava € 5]]+Ohj.lask.[[#This Row],[Jaettava € 6]]+Ohj.lask.[[#This Row],[Jaettava € 7]]</f>
        <v>4070848</v>
      </c>
      <c r="AR50" s="33">
        <f>Ohj.lask.[[#This Row],[Jaettava € 8]]+Ohj.lask.[[#This Row],[Harkinnanvarainen korotus 8, €]]</f>
        <v>33090840</v>
      </c>
      <c r="AS50" s="33">
        <v>0</v>
      </c>
      <c r="AT50" s="16">
        <f>Ohj.lask.[[#This Row],[Perus-, suoritus- ja vaikuttavuusrahoitus yhteensä, €]]+Ohj.lask.[[#This Row],[Alv-korvaus, €]]</f>
        <v>33090840</v>
      </c>
    </row>
    <row r="51" spans="1:46" ht="12.75" x14ac:dyDescent="0.2">
      <c r="A51" s="3" t="s">
        <v>260</v>
      </c>
      <c r="B51" s="7" t="s">
        <v>52</v>
      </c>
      <c r="C51" s="7" t="s">
        <v>173</v>
      </c>
      <c r="D51" s="7" t="s">
        <v>324</v>
      </c>
      <c r="E51" s="7" t="s">
        <v>373</v>
      </c>
      <c r="F51" s="105">
        <v>5059</v>
      </c>
      <c r="G51" s="106">
        <f>Ohj.lask.[[#This Row],[Tavoitteelliset opiskelija-vuodet]]-Ohj.lask.[[#This Row],[Järjestämisluvan opisk.vuosien vähimmäismäärä]]</f>
        <v>1459</v>
      </c>
      <c r="H51" s="32">
        <v>6518</v>
      </c>
      <c r="I51" s="8">
        <f>IFERROR(VLOOKUP($A51,'2.1 Toteut. op.vuodet'!$A:$T,COLUMN('2.1 Toteut. op.vuodet'!S:S),FALSE),0)</f>
        <v>1.1060038379040942</v>
      </c>
      <c r="J51" s="74">
        <f t="shared" si="1"/>
        <v>7208.9</v>
      </c>
      <c r="K51" s="9">
        <f>IFERROR(Ohj.lask.[[#This Row],[Painotetut opiskelija-vuodet]]/Ohj.lask.[[#Totals],[Painotetut opiskelija-vuodet]],0)</f>
        <v>3.3260926335876802E-2</v>
      </c>
      <c r="L51" s="10">
        <f>ROUND(IFERROR('1.1 Jakotaulu'!L$12*Ohj.lask.[[#This Row],[%-osuus 1]],0),0)</f>
        <v>49196103</v>
      </c>
      <c r="M51" s="132">
        <f>IFERROR(ROUND(VLOOKUP($A51,'2.2 Tutk. ja osien pain. pist.'!$A:$Q,COLUMN('2.2 Tutk. ja osien pain. pist.'!O:O),FALSE),1),0)</f>
        <v>522983.1</v>
      </c>
      <c r="N51" s="9">
        <f>IFERROR(Ohj.lask.[[#This Row],[Painotetut pisteet 2]]/Ohj.lask.[[#Totals],[Painotetut pisteet 2]],0)</f>
        <v>3.4139984753621531E-2</v>
      </c>
      <c r="O51" s="16">
        <f>ROUND(IFERROR('1.1 Jakotaulu'!K$13*Ohj.lask.[[#This Row],[%-osuus 2]],0),0)</f>
        <v>14670156</v>
      </c>
      <c r="P51" s="133">
        <f>IFERROR(ROUND(VLOOKUP($A51,'2.3 Työll. ja jatko-opisk.'!$A:$Z,COLUMN('2.3 Työll. ja jatko-opisk.'!L:L),FALSE),1),0)</f>
        <v>10925.1</v>
      </c>
      <c r="Q51" s="9">
        <f>IFERROR(Ohj.lask.[[#This Row],[Painotetut pisteet 3]]/Ohj.lask.[[#Totals],[Painotetut pisteet 3]],0)</f>
        <v>3.495629303504235E-2</v>
      </c>
      <c r="R51" s="10">
        <f>ROUND(IFERROR('1.1 Jakotaulu'!L$15*Ohj.lask.[[#This Row],[%-osuus 3]],0),0)</f>
        <v>5257325</v>
      </c>
      <c r="S51" s="132">
        <f>IFERROR(ROUND(VLOOKUP($A51,'2.4 Aloittaneet palaute'!$A:$I,COLUMN('2.4 Aloittaneet palaute'!H:H),FALSE),1),0)</f>
        <v>70012.7</v>
      </c>
      <c r="T51" s="13">
        <f>IFERROR(Ohj.lask.[[#This Row],[Painotetut pisteet 4]]/Ohj.lask.[[#Totals],[Painotetut pisteet 4]],0)</f>
        <v>4.2001863224626429E-2</v>
      </c>
      <c r="U51" s="16">
        <f>ROUND(IFERROR('1.1 Jakotaulu'!M$17*Ohj.lask.[[#This Row],[%-osuus 4]],0),0)</f>
        <v>338409</v>
      </c>
      <c r="V51" s="132">
        <f>IFERROR(ROUND(VLOOKUP($A51,'2.5 Päättäneet palaute'!$A:$Z,COLUMN('2.5 Päättäneet palaute'!X:X),FALSE),1),0)</f>
        <v>366077.1</v>
      </c>
      <c r="W51" s="13">
        <f>IFERROR(Ohj.lask.[[#This Row],[Painotetut pisteet 5]]/Ohj.lask.[[#Totals],[Painotetut pisteet 5]],0)</f>
        <v>3.5793648956853941E-2</v>
      </c>
      <c r="X51" s="16">
        <f>ROUND(IFERROR('1.1 Jakotaulu'!M$18*Ohj.lask.[[#This Row],[%-osuus 5]],0),0)</f>
        <v>865167</v>
      </c>
      <c r="Y51" s="132">
        <f>IFERROR(ROUND(VLOOKUP($A51,'2.6 Työpaikkaohjaajakysely'!B:J,COLUMN('2.6 Työpaikkaohjaajakysely'!H:H),FALSE),1),0)</f>
        <v>9035310.4000000004</v>
      </c>
      <c r="Z51" s="9">
        <f>IFERROR(Ohj.lask.[[#This Row],[Painotetut pisteet 6]]/Ohj.lask.[[#Totals],[Painotetut pisteet 6]],0)</f>
        <v>2.6620874262599282E-2</v>
      </c>
      <c r="AA51" s="16">
        <f>ROUND(IFERROR('1.1 Jakotaulu'!M$20*Ohj.lask.[[#This Row],[%-osuus 6]],0),0)</f>
        <v>643452</v>
      </c>
      <c r="AB51" s="132">
        <f>IFERROR(ROUND(VLOOKUP($A51,'2.7 Työpaikkakysely'!B:H,COLUMN('2.7 Työpaikkakysely'!F:F),FALSE),1),0)</f>
        <v>4169415.4</v>
      </c>
      <c r="AC51" s="9">
        <f>IFERROR(Ohj.lask.[[#This Row],[Pisteet 7]]/Ohj.lask.[[#Totals],[Pisteet 7]],0)</f>
        <v>2.2595143302276483E-2</v>
      </c>
      <c r="AD51" s="16">
        <f>ROUND(IFERROR('1.1 Jakotaulu'!M$21*Ohj.lask.[[#This Row],[%-osuus 7]],0),0)</f>
        <v>182049</v>
      </c>
      <c r="AE51" s="12">
        <f>IFERROR(Ohj.lask.[[#This Row],[Jaettava € 8]]/Ohj.lask.[[#Totals],[Jaettava € 8]],"")</f>
        <v>3.3504811798768838E-2</v>
      </c>
      <c r="AF5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71152661</v>
      </c>
      <c r="AG51" s="102">
        <v>0</v>
      </c>
      <c r="AH51" s="102">
        <v>0</v>
      </c>
      <c r="AI51" s="102">
        <v>0</v>
      </c>
      <c r="AJ51" s="102">
        <v>0</v>
      </c>
      <c r="AK51" s="102">
        <v>86000</v>
      </c>
      <c r="AL51" s="107">
        <v>0</v>
      </c>
      <c r="AM51" s="107">
        <v>208464</v>
      </c>
      <c r="AN5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294464</v>
      </c>
      <c r="AO51" s="10">
        <f>Ohj.lask.[[#This Row],[Jaettava € 1]]+Ohj.lask.[[#This Row],[Harkinnanvarainen korotus 8, €]]</f>
        <v>49490567</v>
      </c>
      <c r="AP51" s="102">
        <f>Ohj.lask.[[#This Row],[Jaettava € 2]]</f>
        <v>14670156</v>
      </c>
      <c r="AQ51" s="10">
        <f>Ohj.lask.[[#This Row],[Jaettava € 3]]+Ohj.lask.[[#This Row],[Jaettava € 4]]+Ohj.lask.[[#This Row],[Jaettava € 5]]+Ohj.lask.[[#This Row],[Jaettava € 6]]+Ohj.lask.[[#This Row],[Jaettava € 7]]</f>
        <v>7286402</v>
      </c>
      <c r="AR51" s="33">
        <f>Ohj.lask.[[#This Row],[Jaettava € 8]]+Ohj.lask.[[#This Row],[Harkinnanvarainen korotus 8, €]]</f>
        <v>71447125</v>
      </c>
      <c r="AS51" s="33">
        <v>0</v>
      </c>
      <c r="AT51" s="16">
        <f>Ohj.lask.[[#This Row],[Perus-, suoritus- ja vaikuttavuusrahoitus yhteensä, €]]+Ohj.lask.[[#This Row],[Alv-korvaus, €]]</f>
        <v>71447125</v>
      </c>
    </row>
    <row r="52" spans="1:46" ht="12.75" x14ac:dyDescent="0.2">
      <c r="A52" s="3" t="s">
        <v>276</v>
      </c>
      <c r="B52" s="7" t="s">
        <v>53</v>
      </c>
      <c r="C52" s="7" t="s">
        <v>173</v>
      </c>
      <c r="D52" s="7" t="s">
        <v>325</v>
      </c>
      <c r="E52" s="7" t="s">
        <v>373</v>
      </c>
      <c r="F52" s="105">
        <v>330</v>
      </c>
      <c r="G52" s="106">
        <f>Ohj.lask.[[#This Row],[Tavoitteelliset opiskelija-vuodet]]-Ohj.lask.[[#This Row],[Järjestämisluvan opisk.vuosien vähimmäismäärä]]</f>
        <v>0</v>
      </c>
      <c r="H52" s="32">
        <v>330</v>
      </c>
      <c r="I52" s="8">
        <f>IFERROR(VLOOKUP($A52,'2.1 Toteut. op.vuodet'!$A:$T,COLUMN('2.1 Toteut. op.vuodet'!S:S),FALSE),0)</f>
        <v>0.86913871872245141</v>
      </c>
      <c r="J52" s="74">
        <f t="shared" si="1"/>
        <v>286.8</v>
      </c>
      <c r="K52" s="9">
        <f>IFERROR(Ohj.lask.[[#This Row],[Painotetut opiskelija-vuodet]]/Ohj.lask.[[#Totals],[Painotetut opiskelija-vuodet]],0)</f>
        <v>1.3232578719540385E-3</v>
      </c>
      <c r="L52" s="10">
        <f>ROUND(IFERROR('1.1 Jakotaulu'!L$12*Ohj.lask.[[#This Row],[%-osuus 1]],0),0)</f>
        <v>1957225</v>
      </c>
      <c r="M52" s="132">
        <f>IFERROR(ROUND(VLOOKUP($A52,'2.2 Tutk. ja osien pain. pist.'!$A:$Q,COLUMN('2.2 Tutk. ja osien pain. pist.'!O:O),FALSE),1),0)</f>
        <v>15424</v>
      </c>
      <c r="N52" s="9">
        <f>IFERROR(Ohj.lask.[[#This Row],[Painotetut pisteet 2]]/Ohj.lask.[[#Totals],[Painotetut pisteet 2]],0)</f>
        <v>1.0068683382691687E-3</v>
      </c>
      <c r="O52" s="16">
        <f>ROUND(IFERROR('1.1 Jakotaulu'!K$13*Ohj.lask.[[#This Row],[%-osuus 2]],0),0)</f>
        <v>432657</v>
      </c>
      <c r="P52" s="133">
        <f>IFERROR(ROUND(VLOOKUP($A52,'2.3 Työll. ja jatko-opisk.'!$A:$Z,COLUMN('2.3 Työll. ja jatko-opisk.'!L:L),FALSE),1),0)</f>
        <v>344</v>
      </c>
      <c r="Q52" s="9">
        <f>IFERROR(Ohj.lask.[[#This Row],[Painotetut pisteet 3]]/Ohj.lask.[[#Totals],[Painotetut pisteet 3]],0)</f>
        <v>1.1006732024470777E-3</v>
      </c>
      <c r="R52" s="10">
        <f>ROUND(IFERROR('1.1 Jakotaulu'!L$15*Ohj.lask.[[#This Row],[%-osuus 3]],0),0)</f>
        <v>165538</v>
      </c>
      <c r="S52" s="132">
        <f>IFERROR(ROUND(VLOOKUP($A52,'2.4 Aloittaneet palaute'!$A:$I,COLUMN('2.4 Aloittaneet palaute'!H:H),FALSE),1),0)</f>
        <v>3007.8</v>
      </c>
      <c r="T52" s="13">
        <f>IFERROR(Ohj.lask.[[#This Row],[Painotetut pisteet 4]]/Ohj.lask.[[#Totals],[Painotetut pisteet 4]],0)</f>
        <v>1.8044326844562685E-3</v>
      </c>
      <c r="U52" s="16">
        <f>ROUND(IFERROR('1.1 Jakotaulu'!M$17*Ohj.lask.[[#This Row],[%-osuus 4]],0),0)</f>
        <v>14538</v>
      </c>
      <c r="V52" s="132">
        <f>IFERROR(ROUND(VLOOKUP($A52,'2.5 Päättäneet palaute'!$A:$Z,COLUMN('2.5 Päättäneet palaute'!X:X),FALSE),1),0)</f>
        <v>22965.3</v>
      </c>
      <c r="W52" s="13">
        <f>IFERROR(Ohj.lask.[[#This Row],[Painotetut pisteet 5]]/Ohj.lask.[[#Totals],[Painotetut pisteet 5]],0)</f>
        <v>2.2454610965527149E-3</v>
      </c>
      <c r="X52" s="16">
        <f>ROUND(IFERROR('1.1 Jakotaulu'!M$18*Ohj.lask.[[#This Row],[%-osuus 5]],0),0)</f>
        <v>54275</v>
      </c>
      <c r="Y52" s="132">
        <f>IFERROR(ROUND(VLOOKUP($A52,'2.6 Työpaikkaohjaajakysely'!B:J,COLUMN('2.6 Työpaikkaohjaajakysely'!H:H),FALSE),1),0)</f>
        <v>83337.5</v>
      </c>
      <c r="Z52" s="9">
        <f>IFERROR(Ohj.lask.[[#This Row],[Painotetut pisteet 6]]/Ohj.lask.[[#Totals],[Painotetut pisteet 6]],0)</f>
        <v>2.4553856045270649E-4</v>
      </c>
      <c r="AA52" s="16">
        <f>ROUND(IFERROR('1.1 Jakotaulu'!M$20*Ohj.lask.[[#This Row],[%-osuus 6]],0),0)</f>
        <v>5935</v>
      </c>
      <c r="AB52" s="132">
        <f>IFERROR(ROUND(VLOOKUP($A52,'2.7 Työpaikkakysely'!B:H,COLUMN('2.7 Työpaikkakysely'!F:F),FALSE),1),0)</f>
        <v>17019</v>
      </c>
      <c r="AC52" s="9">
        <f>IFERROR(Ohj.lask.[[#This Row],[Pisteet 7]]/Ohj.lask.[[#Totals],[Pisteet 7]],0)</f>
        <v>9.2230374517598672E-5</v>
      </c>
      <c r="AD52" s="16">
        <f>ROUND(IFERROR('1.1 Jakotaulu'!M$21*Ohj.lask.[[#This Row],[%-osuus 7]],0),0)</f>
        <v>743</v>
      </c>
      <c r="AE52" s="12">
        <f>IFERROR(Ohj.lask.[[#This Row],[Jaettava € 8]]/Ohj.lask.[[#Totals],[Jaettava € 8]],"")</f>
        <v>1.2388598918923175E-3</v>
      </c>
      <c r="AF5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2630911</v>
      </c>
      <c r="AG52" s="102">
        <v>0</v>
      </c>
      <c r="AH52" s="102">
        <v>0</v>
      </c>
      <c r="AI52" s="102">
        <v>0</v>
      </c>
      <c r="AJ52" s="102">
        <v>0</v>
      </c>
      <c r="AK52" s="102">
        <v>0</v>
      </c>
      <c r="AL52" s="107">
        <v>0</v>
      </c>
      <c r="AM52" s="107">
        <v>0</v>
      </c>
      <c r="AN5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52" s="10">
        <f>Ohj.lask.[[#This Row],[Jaettava € 1]]+Ohj.lask.[[#This Row],[Harkinnanvarainen korotus 8, €]]</f>
        <v>1957225</v>
      </c>
      <c r="AP52" s="102">
        <f>Ohj.lask.[[#This Row],[Jaettava € 2]]</f>
        <v>432657</v>
      </c>
      <c r="AQ52" s="10">
        <f>Ohj.lask.[[#This Row],[Jaettava € 3]]+Ohj.lask.[[#This Row],[Jaettava € 4]]+Ohj.lask.[[#This Row],[Jaettava € 5]]+Ohj.lask.[[#This Row],[Jaettava € 6]]+Ohj.lask.[[#This Row],[Jaettava € 7]]</f>
        <v>241029</v>
      </c>
      <c r="AR52" s="33">
        <f>Ohj.lask.[[#This Row],[Jaettava € 8]]+Ohj.lask.[[#This Row],[Harkinnanvarainen korotus 8, €]]</f>
        <v>2630911</v>
      </c>
      <c r="AS52" s="33">
        <v>441814</v>
      </c>
      <c r="AT52" s="16">
        <f>Ohj.lask.[[#This Row],[Perus-, suoritus- ja vaikuttavuusrahoitus yhteensä, €]]+Ohj.lask.[[#This Row],[Alv-korvaus, €]]</f>
        <v>3072725</v>
      </c>
    </row>
    <row r="53" spans="1:46" ht="12.75" x14ac:dyDescent="0.2">
      <c r="A53" s="3" t="s">
        <v>275</v>
      </c>
      <c r="B53" s="7" t="s">
        <v>54</v>
      </c>
      <c r="C53" s="7" t="s">
        <v>255</v>
      </c>
      <c r="D53" s="7" t="s">
        <v>325</v>
      </c>
      <c r="E53" s="7" t="s">
        <v>373</v>
      </c>
      <c r="F53" s="105">
        <v>582</v>
      </c>
      <c r="G53" s="106">
        <f>Ohj.lask.[[#This Row],[Tavoitteelliset opiskelija-vuodet]]-Ohj.lask.[[#This Row],[Järjestämisluvan opisk.vuosien vähimmäismäärä]]</f>
        <v>143</v>
      </c>
      <c r="H53" s="32">
        <v>725</v>
      </c>
      <c r="I53" s="8">
        <f>IFERROR(VLOOKUP($A53,'2.1 Toteut. op.vuodet'!$A:$T,COLUMN('2.1 Toteut. op.vuodet'!S:S),FALSE),0)</f>
        <v>5.7058523057126926</v>
      </c>
      <c r="J53" s="74">
        <f t="shared" si="1"/>
        <v>4136.7</v>
      </c>
      <c r="K53" s="9">
        <f>IFERROR(Ohj.lask.[[#This Row],[Painotetut opiskelija-vuodet]]/Ohj.lask.[[#Totals],[Painotetut opiskelija-vuodet]],0)</f>
        <v>1.9086195393696898E-2</v>
      </c>
      <c r="L53" s="10">
        <f>ROUND(IFERROR('1.1 Jakotaulu'!L$12*Ohj.lask.[[#This Row],[%-osuus 1]],0),0)</f>
        <v>28230315</v>
      </c>
      <c r="M53" s="132">
        <f>IFERROR(ROUND(VLOOKUP($A53,'2.2 Tutk. ja osien pain. pist.'!$A:$Q,COLUMN('2.2 Tutk. ja osien pain. pist.'!O:O),FALSE),1),0)</f>
        <v>165816.20000000001</v>
      </c>
      <c r="N53" s="9">
        <f>IFERROR(Ohj.lask.[[#This Row],[Painotetut pisteet 2]]/Ohj.lask.[[#Totals],[Painotetut pisteet 2]],0)</f>
        <v>1.0824369926874232E-2</v>
      </c>
      <c r="O53" s="16">
        <f>ROUND(IFERROR('1.1 Jakotaulu'!K$13*Ohj.lask.[[#This Row],[%-osuus 2]],0),0)</f>
        <v>4651297</v>
      </c>
      <c r="P53" s="133">
        <f>IFERROR(ROUND(VLOOKUP($A53,'2.3 Työll. ja jatko-opisk.'!$A:$Z,COLUMN('2.3 Työll. ja jatko-opisk.'!L:L),FALSE),1),0)</f>
        <v>714.8</v>
      </c>
      <c r="Q53" s="9">
        <f>IFERROR(Ohj.lask.[[#This Row],[Painotetut pisteet 3]]/Ohj.lask.[[#Totals],[Painotetut pisteet 3]],0)</f>
        <v>2.2870965264801483E-3</v>
      </c>
      <c r="R53" s="10">
        <f>ROUND(IFERROR('1.1 Jakotaulu'!L$15*Ohj.lask.[[#This Row],[%-osuus 3]],0),0)</f>
        <v>343973</v>
      </c>
      <c r="S53" s="132">
        <f>IFERROR(ROUND(VLOOKUP($A53,'2.4 Aloittaneet palaute'!$A:$I,COLUMN('2.4 Aloittaneet palaute'!H:H),FALSE),1),0)</f>
        <v>5736.1</v>
      </c>
      <c r="T53" s="13">
        <f>IFERROR(Ohj.lask.[[#This Row],[Painotetut pisteet 4]]/Ohj.lask.[[#Totals],[Painotetut pisteet 4]],0)</f>
        <v>3.4411883507246498E-3</v>
      </c>
      <c r="U53" s="16">
        <f>ROUND(IFERROR('1.1 Jakotaulu'!M$17*Ohj.lask.[[#This Row],[%-osuus 4]],0),0)</f>
        <v>27726</v>
      </c>
      <c r="V53" s="132">
        <f>IFERROR(ROUND(VLOOKUP($A53,'2.5 Päättäneet palaute'!$A:$Z,COLUMN('2.5 Päättäneet palaute'!X:X),FALSE),1),0)</f>
        <v>24231.200000000001</v>
      </c>
      <c r="W53" s="13">
        <f>IFERROR(Ohj.lask.[[#This Row],[Painotetut pisteet 5]]/Ohj.lask.[[#Totals],[Painotetut pisteet 5]],0)</f>
        <v>2.369236061483549E-3</v>
      </c>
      <c r="X53" s="16">
        <f>ROUND(IFERROR('1.1 Jakotaulu'!M$18*Ohj.lask.[[#This Row],[%-osuus 5]],0),0)</f>
        <v>57267</v>
      </c>
      <c r="Y53" s="132">
        <f>IFERROR(ROUND(VLOOKUP($A53,'2.6 Työpaikkaohjaajakysely'!B:J,COLUMN('2.6 Työpaikkaohjaajakysely'!H:H),FALSE),1),0)</f>
        <v>1129193.2</v>
      </c>
      <c r="Z53" s="9">
        <f>IFERROR(Ohj.lask.[[#This Row],[Painotetut pisteet 6]]/Ohj.lask.[[#Totals],[Painotetut pisteet 6]],0)</f>
        <v>3.3269593256455387E-3</v>
      </c>
      <c r="AA53" s="16">
        <f>ROUND(IFERROR('1.1 Jakotaulu'!M$20*Ohj.lask.[[#This Row],[%-osuus 6]],0),0)</f>
        <v>80416</v>
      </c>
      <c r="AB53" s="132">
        <f>IFERROR(ROUND(VLOOKUP($A53,'2.7 Työpaikkakysely'!B:H,COLUMN('2.7 Työpaikkakysely'!F:F),FALSE),1),0)</f>
        <v>595281</v>
      </c>
      <c r="AC53" s="9">
        <f>IFERROR(Ohj.lask.[[#This Row],[Pisteet 7]]/Ohj.lask.[[#Totals],[Pisteet 7]],0)</f>
        <v>3.2259821125336773E-3</v>
      </c>
      <c r="AD53" s="16">
        <f>ROUND(IFERROR('1.1 Jakotaulu'!M$21*Ohj.lask.[[#This Row],[%-osuus 7]],0),0)</f>
        <v>25992</v>
      </c>
      <c r="AE53" s="12">
        <f>IFERROR(Ohj.lask.[[#This Row],[Jaettava € 8]]/Ohj.lask.[[#Totals],[Jaettava € 8]],"")</f>
        <v>1.5735600202107593E-2</v>
      </c>
      <c r="AF5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33416986</v>
      </c>
      <c r="AG53" s="102">
        <v>0</v>
      </c>
      <c r="AH53" s="102">
        <v>0</v>
      </c>
      <c r="AI53" s="102">
        <v>0</v>
      </c>
      <c r="AJ53" s="102">
        <v>0</v>
      </c>
      <c r="AK53" s="102">
        <v>0</v>
      </c>
      <c r="AL53" s="107">
        <v>0</v>
      </c>
      <c r="AM53" s="107">
        <v>0</v>
      </c>
      <c r="AN5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53" s="10">
        <f>Ohj.lask.[[#This Row],[Jaettava € 1]]+Ohj.lask.[[#This Row],[Harkinnanvarainen korotus 8, €]]</f>
        <v>28230315</v>
      </c>
      <c r="AP53" s="102">
        <f>Ohj.lask.[[#This Row],[Jaettava € 2]]</f>
        <v>4651297</v>
      </c>
      <c r="AQ53" s="10">
        <f>Ohj.lask.[[#This Row],[Jaettava € 3]]+Ohj.lask.[[#This Row],[Jaettava € 4]]+Ohj.lask.[[#This Row],[Jaettava € 5]]+Ohj.lask.[[#This Row],[Jaettava € 6]]+Ohj.lask.[[#This Row],[Jaettava € 7]]</f>
        <v>535374</v>
      </c>
      <c r="AR53" s="33">
        <f>Ohj.lask.[[#This Row],[Jaettava € 8]]+Ohj.lask.[[#This Row],[Harkinnanvarainen korotus 8, €]]</f>
        <v>33416986</v>
      </c>
      <c r="AS53" s="33">
        <v>1677848</v>
      </c>
      <c r="AT53" s="16">
        <f>Ohj.lask.[[#This Row],[Perus-, suoritus- ja vaikuttavuusrahoitus yhteensä, €]]+Ohj.lask.[[#This Row],[Alv-korvaus, €]]</f>
        <v>35094834</v>
      </c>
    </row>
    <row r="54" spans="1:46" ht="12.75" x14ac:dyDescent="0.2">
      <c r="A54" s="3" t="s">
        <v>274</v>
      </c>
      <c r="B54" s="7" t="s">
        <v>55</v>
      </c>
      <c r="C54" s="96" t="s">
        <v>173</v>
      </c>
      <c r="D54" s="96" t="s">
        <v>325</v>
      </c>
      <c r="E54" s="96" t="s">
        <v>373</v>
      </c>
      <c r="F54" s="104">
        <v>1459</v>
      </c>
      <c r="G54" s="106">
        <f>Ohj.lask.[[#This Row],[Tavoitteelliset opiskelija-vuodet]]-Ohj.lask.[[#This Row],[Järjestämisluvan opisk.vuosien vähimmäismäärä]]</f>
        <v>247</v>
      </c>
      <c r="H54" s="32">
        <v>1706</v>
      </c>
      <c r="I54" s="8">
        <f>IFERROR(VLOOKUP($A54,'2.1 Toteut. op.vuodet'!$A:$T,COLUMN('2.1 Toteut. op.vuodet'!S:S),FALSE),0)</f>
        <v>1.049383604435651</v>
      </c>
      <c r="J54" s="74">
        <f t="shared" si="1"/>
        <v>1790.2</v>
      </c>
      <c r="K54" s="9">
        <f>IFERROR(Ohj.lask.[[#This Row],[Painotetut opiskelija-vuodet]]/Ohj.lask.[[#Totals],[Painotetut opiskelija-vuodet]],0)</f>
        <v>8.2597497990659682E-3</v>
      </c>
      <c r="L54" s="10">
        <f>ROUND(IFERROR('1.1 Jakotaulu'!L$12*Ohj.lask.[[#This Row],[%-osuus 1]],0),0)</f>
        <v>12216963</v>
      </c>
      <c r="M54" s="132">
        <f>IFERROR(ROUND(VLOOKUP($A54,'2.2 Tutk. ja osien pain. pist.'!$A:$Q,COLUMN('2.2 Tutk. ja osien pain. pist.'!O:O),FALSE),1),0)</f>
        <v>147228</v>
      </c>
      <c r="N54" s="9">
        <f>IFERROR(Ohj.lask.[[#This Row],[Painotetut pisteet 2]]/Ohj.lask.[[#Totals],[Painotetut pisteet 2]],0)</f>
        <v>9.6109447423945258E-3</v>
      </c>
      <c r="O54" s="16">
        <f>ROUND(IFERROR('1.1 Jakotaulu'!K$13*Ohj.lask.[[#This Row],[%-osuus 2]],0),0)</f>
        <v>4129881</v>
      </c>
      <c r="P54" s="133">
        <f>IFERROR(ROUND(VLOOKUP($A54,'2.3 Työll. ja jatko-opisk.'!$A:$Z,COLUMN('2.3 Työll. ja jatko-opisk.'!L:L),FALSE),1),0)</f>
        <v>3145</v>
      </c>
      <c r="Q54" s="13">
        <f>IFERROR(Ohj.lask.[[#This Row],[Painotetut pisteet 3]]/Ohj.lask.[[#Totals],[Painotetut pisteet 3]],0)</f>
        <v>1.0062840760744358E-2</v>
      </c>
      <c r="R54" s="10">
        <f>ROUND(IFERROR('1.1 Jakotaulu'!L$15*Ohj.lask.[[#This Row],[%-osuus 3]],0),0)</f>
        <v>1513422</v>
      </c>
      <c r="S54" s="132">
        <f>IFERROR(ROUND(VLOOKUP($A54,'2.4 Aloittaneet palaute'!$A:$I,COLUMN('2.4 Aloittaneet palaute'!H:H),FALSE),1),0)</f>
        <v>15232.7</v>
      </c>
      <c r="T54" s="13">
        <f>IFERROR(Ohj.lask.[[#This Row],[Painotetut pisteet 4]]/Ohj.lask.[[#Totals],[Painotetut pisteet 4]],0)</f>
        <v>9.1383674953510879E-3</v>
      </c>
      <c r="U54" s="16">
        <f>ROUND(IFERROR('1.1 Jakotaulu'!M$17*Ohj.lask.[[#This Row],[%-osuus 4]],0),0)</f>
        <v>73628</v>
      </c>
      <c r="V54" s="132">
        <f>IFERROR(ROUND(VLOOKUP($A54,'2.5 Päättäneet palaute'!$A:$Z,COLUMN('2.5 Päättäneet palaute'!X:X),FALSE),1),0)</f>
        <v>119936.8</v>
      </c>
      <c r="W54" s="13">
        <f>IFERROR(Ohj.lask.[[#This Row],[Painotetut pisteet 5]]/Ohj.lask.[[#Totals],[Painotetut pisteet 5]],0)</f>
        <v>1.1726971493732878E-2</v>
      </c>
      <c r="X54" s="16">
        <f>ROUND(IFERROR('1.1 Jakotaulu'!M$18*Ohj.lask.[[#This Row],[%-osuus 5]],0),0)</f>
        <v>283452</v>
      </c>
      <c r="Y54" s="132">
        <f>IFERROR(ROUND(VLOOKUP($A54,'2.6 Työpaikkaohjaajakysely'!B:J,COLUMN('2.6 Työpaikkaohjaajakysely'!H:H),FALSE),1),0)</f>
        <v>4694058.5</v>
      </c>
      <c r="Z54" s="9">
        <f>IFERROR(Ohj.lask.[[#This Row],[Painotetut pisteet 6]]/Ohj.lask.[[#Totals],[Painotetut pisteet 6]],0)</f>
        <v>1.3830176892404868E-2</v>
      </c>
      <c r="AA54" s="16">
        <f>ROUND(IFERROR('1.1 Jakotaulu'!M$20*Ohj.lask.[[#This Row],[%-osuus 6]],0),0)</f>
        <v>334289</v>
      </c>
      <c r="AB54" s="132">
        <f>IFERROR(ROUND(VLOOKUP($A54,'2.7 Työpaikkakysely'!B:H,COLUMN('2.7 Työpaikkakysely'!F:F),FALSE),1),0)</f>
        <v>1919557.3</v>
      </c>
      <c r="AC54" s="9">
        <f>IFERROR(Ohj.lask.[[#This Row],[Pisteet 7]]/Ohj.lask.[[#Totals],[Pisteet 7]],0)</f>
        <v>1.0402578805275899E-2</v>
      </c>
      <c r="AD54" s="16">
        <f>ROUND(IFERROR('1.1 Jakotaulu'!M$21*Ohj.lask.[[#This Row],[%-osuus 7]],0),0)</f>
        <v>83813</v>
      </c>
      <c r="AE54" s="12">
        <f>IFERROR(Ohj.lask.[[#This Row],[Jaettava € 8]]/Ohj.lask.[[#Totals],[Jaettava € 8]],"")</f>
        <v>8.7751767713331631E-3</v>
      </c>
      <c r="AF5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18635448</v>
      </c>
      <c r="AG54" s="102">
        <v>0</v>
      </c>
      <c r="AH54" s="102">
        <v>0</v>
      </c>
      <c r="AI54" s="102">
        <v>0</v>
      </c>
      <c r="AJ54" s="102">
        <v>0</v>
      </c>
      <c r="AK54" s="102">
        <v>35000</v>
      </c>
      <c r="AL54" s="107">
        <v>0</v>
      </c>
      <c r="AM54" s="107">
        <v>35622</v>
      </c>
      <c r="AN5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70622</v>
      </c>
      <c r="AO54" s="10">
        <f>Ohj.lask.[[#This Row],[Jaettava € 1]]+Ohj.lask.[[#This Row],[Harkinnanvarainen korotus 8, €]]</f>
        <v>12287585</v>
      </c>
      <c r="AP54" s="102">
        <f>Ohj.lask.[[#This Row],[Jaettava € 2]]</f>
        <v>4129881</v>
      </c>
      <c r="AQ54" s="10">
        <f>Ohj.lask.[[#This Row],[Jaettava € 3]]+Ohj.lask.[[#This Row],[Jaettava € 4]]+Ohj.lask.[[#This Row],[Jaettava € 5]]+Ohj.lask.[[#This Row],[Jaettava € 6]]+Ohj.lask.[[#This Row],[Jaettava € 7]]</f>
        <v>2288604</v>
      </c>
      <c r="AR54" s="33">
        <f>Ohj.lask.[[#This Row],[Jaettava € 8]]+Ohj.lask.[[#This Row],[Harkinnanvarainen korotus 8, €]]</f>
        <v>18706070</v>
      </c>
      <c r="AS54" s="33">
        <v>2043783</v>
      </c>
      <c r="AT54" s="16">
        <f>Ohj.lask.[[#This Row],[Perus-, suoritus- ja vaikuttavuusrahoitus yhteensä, €]]+Ohj.lask.[[#This Row],[Alv-korvaus, €]]</f>
        <v>20749853</v>
      </c>
    </row>
    <row r="55" spans="1:46" ht="12.75" x14ac:dyDescent="0.2">
      <c r="A55" s="3" t="s">
        <v>196</v>
      </c>
      <c r="B55" s="7" t="s">
        <v>438</v>
      </c>
      <c r="C55" s="7" t="s">
        <v>173</v>
      </c>
      <c r="D55" s="7" t="s">
        <v>325</v>
      </c>
      <c r="E55" s="7" t="s">
        <v>373</v>
      </c>
      <c r="F55" s="105">
        <v>5</v>
      </c>
      <c r="G55" s="106">
        <f>Ohj.lask.[[#This Row],[Tavoitteelliset opiskelija-vuodet]]-Ohj.lask.[[#This Row],[Järjestämisluvan opisk.vuosien vähimmäismäärä]]</f>
        <v>0</v>
      </c>
      <c r="H55" s="32">
        <v>5</v>
      </c>
      <c r="I55" s="8">
        <f>IFERROR(VLOOKUP($A55,'2.1 Toteut. op.vuodet'!$A:$T,COLUMN('2.1 Toteut. op.vuodet'!S:S),FALSE),0)</f>
        <v>0.72539999999999927</v>
      </c>
      <c r="J55" s="74">
        <f t="shared" si="1"/>
        <v>3.6</v>
      </c>
      <c r="K55" s="9">
        <f>IFERROR(Ohj.lask.[[#This Row],[Painotetut opiskelija-vuodet]]/Ohj.lask.[[#Totals],[Painotetut opiskelija-vuodet]],0)</f>
        <v>1.6609931447121821E-5</v>
      </c>
      <c r="L55" s="10">
        <f>ROUND(IFERROR('1.1 Jakotaulu'!L$12*Ohj.lask.[[#This Row],[%-osuus 1]],0),0)</f>
        <v>24568</v>
      </c>
      <c r="M55" s="132">
        <f>IFERROR(ROUND(VLOOKUP($A55,'2.2 Tutk. ja osien pain. pist.'!$A:$Q,COLUMN('2.2 Tutk. ja osien pain. pist.'!O:O),FALSE),1),0)</f>
        <v>441.1</v>
      </c>
      <c r="N55" s="9">
        <f>IFERROR(Ohj.lask.[[#This Row],[Painotetut pisteet 2]]/Ohj.lask.[[#Totals],[Painotetut pisteet 2]],0)</f>
        <v>2.8794711100267787E-5</v>
      </c>
      <c r="O55" s="16">
        <f>ROUND(IFERROR('1.1 Jakotaulu'!K$13*Ohj.lask.[[#This Row],[%-osuus 2]],0),0)</f>
        <v>12373</v>
      </c>
      <c r="P55" s="133">
        <f>IFERROR(ROUND(VLOOKUP($A55,'2.3 Työll. ja jatko-opisk.'!$A:$Z,COLUMN('2.3 Työll. ja jatko-opisk.'!L:L),FALSE),1),0)</f>
        <v>0</v>
      </c>
      <c r="Q55" s="9">
        <f>IFERROR(Ohj.lask.[[#This Row],[Painotetut pisteet 3]]/Ohj.lask.[[#Totals],[Painotetut pisteet 3]],0)</f>
        <v>0</v>
      </c>
      <c r="R55" s="10">
        <f>ROUND(IFERROR('1.1 Jakotaulu'!L$15*Ohj.lask.[[#This Row],[%-osuus 3]],0),0)</f>
        <v>0</v>
      </c>
      <c r="S55" s="132">
        <f>IFERROR(ROUND(VLOOKUP($A55,'2.4 Aloittaneet palaute'!$A:$I,COLUMN('2.4 Aloittaneet palaute'!H:H),FALSE),1),0)</f>
        <v>0</v>
      </c>
      <c r="T55" s="13">
        <f>IFERROR(Ohj.lask.[[#This Row],[Painotetut pisteet 4]]/Ohj.lask.[[#Totals],[Painotetut pisteet 4]],0)</f>
        <v>0</v>
      </c>
      <c r="U55" s="16">
        <f>ROUND(IFERROR('1.1 Jakotaulu'!M$17*Ohj.lask.[[#This Row],[%-osuus 4]],0),0)</f>
        <v>0</v>
      </c>
      <c r="V55" s="132">
        <f>IFERROR(ROUND(VLOOKUP($A55,'2.5 Päättäneet palaute'!$A:$Z,COLUMN('2.5 Päättäneet palaute'!X:X),FALSE),1),0)</f>
        <v>279.10000000000002</v>
      </c>
      <c r="W55" s="13">
        <f>IFERROR(Ohj.lask.[[#This Row],[Painotetut pisteet 5]]/Ohj.lask.[[#Totals],[Painotetut pisteet 5]],0)</f>
        <v>2.7289353592065542E-5</v>
      </c>
      <c r="X55" s="16">
        <f>ROUND(IFERROR('1.1 Jakotaulu'!M$18*Ohj.lask.[[#This Row],[%-osuus 5]],0),0)</f>
        <v>660</v>
      </c>
      <c r="Y55" s="132">
        <f>IFERROR(ROUND(VLOOKUP($A55,'2.6 Työpaikkaohjaajakysely'!B:J,COLUMN('2.6 Työpaikkaohjaajakysely'!H:H),FALSE),1),0)</f>
        <v>0</v>
      </c>
      <c r="Z55" s="9">
        <f>IFERROR(Ohj.lask.[[#This Row],[Painotetut pisteet 6]]/Ohj.lask.[[#Totals],[Painotetut pisteet 6]],0)</f>
        <v>0</v>
      </c>
      <c r="AA55" s="16">
        <f>ROUND(IFERROR('1.1 Jakotaulu'!M$20*Ohj.lask.[[#This Row],[%-osuus 6]],0),0)</f>
        <v>0</v>
      </c>
      <c r="AB55" s="132">
        <f>IFERROR(ROUND(VLOOKUP($A55,'2.7 Työpaikkakysely'!B:H,COLUMN('2.7 Työpaikkakysely'!F:F),FALSE),1),0)</f>
        <v>0</v>
      </c>
      <c r="AC55" s="9">
        <f>IFERROR(Ohj.lask.[[#This Row],[Pisteet 7]]/Ohj.lask.[[#Totals],[Pisteet 7]],0)</f>
        <v>0</v>
      </c>
      <c r="AD55" s="16">
        <f>ROUND(IFERROR('1.1 Jakotaulu'!M$21*Ohj.lask.[[#This Row],[%-osuus 7]],0),0)</f>
        <v>0</v>
      </c>
      <c r="AE55" s="12">
        <f>IFERROR(Ohj.lask.[[#This Row],[Jaettava € 8]]/Ohj.lask.[[#Totals],[Jaettava € 8]],"")</f>
        <v>1.7705794986999954E-5</v>
      </c>
      <c r="AF5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37601</v>
      </c>
      <c r="AG55" s="102">
        <v>0</v>
      </c>
      <c r="AH55" s="102">
        <v>0</v>
      </c>
      <c r="AI55" s="102">
        <v>0</v>
      </c>
      <c r="AJ55" s="102">
        <v>0</v>
      </c>
      <c r="AK55" s="102">
        <v>0</v>
      </c>
      <c r="AL55" s="107">
        <v>0</v>
      </c>
      <c r="AM55" s="107">
        <v>0</v>
      </c>
      <c r="AN5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55" s="10">
        <f>Ohj.lask.[[#This Row],[Jaettava € 1]]+Ohj.lask.[[#This Row],[Harkinnanvarainen korotus 8, €]]</f>
        <v>24568</v>
      </c>
      <c r="AP55" s="102">
        <f>Ohj.lask.[[#This Row],[Jaettava € 2]]</f>
        <v>12373</v>
      </c>
      <c r="AQ55" s="10">
        <f>Ohj.lask.[[#This Row],[Jaettava € 3]]+Ohj.lask.[[#This Row],[Jaettava € 4]]+Ohj.lask.[[#This Row],[Jaettava € 5]]+Ohj.lask.[[#This Row],[Jaettava € 6]]+Ohj.lask.[[#This Row],[Jaettava € 7]]</f>
        <v>660</v>
      </c>
      <c r="AR55" s="33">
        <f>Ohj.lask.[[#This Row],[Jaettava € 8]]+Ohj.lask.[[#This Row],[Harkinnanvarainen korotus 8, €]]</f>
        <v>37601</v>
      </c>
      <c r="AS55" s="33">
        <v>0</v>
      </c>
      <c r="AT55" s="16">
        <f>Ohj.lask.[[#This Row],[Perus-, suoritus- ja vaikuttavuusrahoitus yhteensä, €]]+Ohj.lask.[[#This Row],[Alv-korvaus, €]]</f>
        <v>37601</v>
      </c>
    </row>
    <row r="56" spans="1:46" ht="12.75" x14ac:dyDescent="0.2">
      <c r="A56" s="3" t="s">
        <v>273</v>
      </c>
      <c r="B56" s="7" t="s">
        <v>56</v>
      </c>
      <c r="C56" s="7" t="s">
        <v>241</v>
      </c>
      <c r="D56" s="7" t="s">
        <v>325</v>
      </c>
      <c r="E56" s="7" t="s">
        <v>373</v>
      </c>
      <c r="F56" s="105">
        <v>19</v>
      </c>
      <c r="G56" s="106">
        <f>Ohj.lask.[[#This Row],[Tavoitteelliset opiskelija-vuodet]]-Ohj.lask.[[#This Row],[Järjestämisluvan opisk.vuosien vähimmäismäärä]]</f>
        <v>4</v>
      </c>
      <c r="H56" s="32">
        <v>23</v>
      </c>
      <c r="I56" s="8">
        <f>IFERROR(VLOOKUP($A56,'2.1 Toteut. op.vuodet'!$A:$T,COLUMN('2.1 Toteut. op.vuodet'!S:S),FALSE),0)</f>
        <v>0.85246443498112512</v>
      </c>
      <c r="J56" s="74">
        <f t="shared" si="1"/>
        <v>19.600000000000001</v>
      </c>
      <c r="K56" s="9">
        <f>IFERROR(Ohj.lask.[[#This Row],[Painotetut opiskelija-vuodet]]/Ohj.lask.[[#Totals],[Painotetut opiskelija-vuodet]],0)</f>
        <v>9.0431848989885476E-5</v>
      </c>
      <c r="L56" s="10">
        <f>ROUND(IFERROR('1.1 Jakotaulu'!L$12*Ohj.lask.[[#This Row],[%-osuus 1]],0),0)</f>
        <v>133757</v>
      </c>
      <c r="M56" s="132">
        <f>IFERROR(ROUND(VLOOKUP($A56,'2.2 Tutk. ja osien pain. pist.'!$A:$Q,COLUMN('2.2 Tutk. ja osien pain. pist.'!O:O),FALSE),1),0)</f>
        <v>1555.7</v>
      </c>
      <c r="N56" s="9">
        <f>IFERROR(Ohj.lask.[[#This Row],[Painotetut pisteet 2]]/Ohj.lask.[[#Totals],[Painotetut pisteet 2]],0)</f>
        <v>1.0155504887482792E-4</v>
      </c>
      <c r="O56" s="16">
        <f>ROUND(IFERROR('1.1 Jakotaulu'!K$13*Ohj.lask.[[#This Row],[%-osuus 2]],0),0)</f>
        <v>43639</v>
      </c>
      <c r="P56" s="133">
        <f>IFERROR(ROUND(VLOOKUP($A56,'2.3 Työll. ja jatko-opisk.'!$A:$Z,COLUMN('2.3 Työll. ja jatko-opisk.'!L:L),FALSE),1),0)</f>
        <v>39.6</v>
      </c>
      <c r="Q56" s="9">
        <f>IFERROR(Ohj.lask.[[#This Row],[Painotetut pisteet 3]]/Ohj.lask.[[#Totals],[Painotetut pisteet 3]],0)</f>
        <v>1.2670540353751245E-4</v>
      </c>
      <c r="R56" s="10">
        <f>ROUND(IFERROR('1.1 Jakotaulu'!L$15*Ohj.lask.[[#This Row],[%-osuus 3]],0),0)</f>
        <v>19056</v>
      </c>
      <c r="S56" s="132">
        <f>IFERROR(ROUND(VLOOKUP($A56,'2.4 Aloittaneet palaute'!$A:$I,COLUMN('2.4 Aloittaneet palaute'!H:H),FALSE),1),0)</f>
        <v>589.9</v>
      </c>
      <c r="T56" s="13">
        <f>IFERROR(Ohj.lask.[[#This Row],[Painotetut pisteet 4]]/Ohj.lask.[[#Totals],[Painotetut pisteet 4]],0)</f>
        <v>3.5389149563160868E-4</v>
      </c>
      <c r="U56" s="16">
        <f>ROUND(IFERROR('1.1 Jakotaulu'!M$17*Ohj.lask.[[#This Row],[%-osuus 4]],0),0)</f>
        <v>2851</v>
      </c>
      <c r="V56" s="132">
        <f>IFERROR(ROUND(VLOOKUP($A56,'2.5 Päättäneet palaute'!$A:$Z,COLUMN('2.5 Päättäneet palaute'!X:X),FALSE),1),0)</f>
        <v>2624.4</v>
      </c>
      <c r="W56" s="13">
        <f>IFERROR(Ohj.lask.[[#This Row],[Painotetut pisteet 5]]/Ohj.lask.[[#Totals],[Painotetut pisteet 5]],0)</f>
        <v>2.5660401134724759E-4</v>
      </c>
      <c r="X56" s="16">
        <f>ROUND(IFERROR('1.1 Jakotaulu'!M$18*Ohj.lask.[[#This Row],[%-osuus 5]],0),0)</f>
        <v>6202</v>
      </c>
      <c r="Y56" s="132">
        <f>IFERROR(ROUND(VLOOKUP($A56,'2.6 Työpaikkaohjaajakysely'!B:J,COLUMN('2.6 Työpaikkaohjaajakysely'!H:H),FALSE),1),0)</f>
        <v>75616.5</v>
      </c>
      <c r="Z56" s="9">
        <f>IFERROR(Ohj.lask.[[#This Row],[Painotetut pisteet 6]]/Ohj.lask.[[#Totals],[Painotetut pisteet 6]],0)</f>
        <v>2.2279005917470623E-4</v>
      </c>
      <c r="AA56" s="16">
        <f>ROUND(IFERROR('1.1 Jakotaulu'!M$20*Ohj.lask.[[#This Row],[%-osuus 6]],0),0)</f>
        <v>5385</v>
      </c>
      <c r="AB56" s="132">
        <f>IFERROR(ROUND(VLOOKUP($A56,'2.7 Työpaikkakysely'!B:H,COLUMN('2.7 Työpaikkakysely'!F:F),FALSE),1),0)</f>
        <v>74155</v>
      </c>
      <c r="AC56" s="9">
        <f>IFERROR(Ohj.lask.[[#This Row],[Pisteet 7]]/Ohj.lask.[[#Totals],[Pisteet 7]],0)</f>
        <v>4.0186517553043833E-4</v>
      </c>
      <c r="AD56" s="16">
        <f>ROUND(IFERROR('1.1 Jakotaulu'!M$21*Ohj.lask.[[#This Row],[%-osuus 7]],0),0)</f>
        <v>3238</v>
      </c>
      <c r="AE56" s="12">
        <f>IFERROR(Ohj.lask.[[#This Row],[Jaettava € 8]]/Ohj.lask.[[#Totals],[Jaettava € 8]],"")</f>
        <v>1.0082993720848716E-4</v>
      </c>
      <c r="AF5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214128</v>
      </c>
      <c r="AG56" s="102">
        <v>0</v>
      </c>
      <c r="AH56" s="102">
        <v>0</v>
      </c>
      <c r="AI56" s="102">
        <v>0</v>
      </c>
      <c r="AJ56" s="102">
        <v>0</v>
      </c>
      <c r="AK56" s="102">
        <v>0</v>
      </c>
      <c r="AL56" s="107">
        <v>0</v>
      </c>
      <c r="AM56" s="107">
        <v>0</v>
      </c>
      <c r="AN5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56" s="10">
        <f>Ohj.lask.[[#This Row],[Jaettava € 1]]+Ohj.lask.[[#This Row],[Harkinnanvarainen korotus 8, €]]</f>
        <v>133757</v>
      </c>
      <c r="AP56" s="102">
        <f>Ohj.lask.[[#This Row],[Jaettava € 2]]</f>
        <v>43639</v>
      </c>
      <c r="AQ56" s="10">
        <f>Ohj.lask.[[#This Row],[Jaettava € 3]]+Ohj.lask.[[#This Row],[Jaettava € 4]]+Ohj.lask.[[#This Row],[Jaettava € 5]]+Ohj.lask.[[#This Row],[Jaettava € 6]]+Ohj.lask.[[#This Row],[Jaettava € 7]]</f>
        <v>36732</v>
      </c>
      <c r="AR56" s="33">
        <f>Ohj.lask.[[#This Row],[Jaettava € 8]]+Ohj.lask.[[#This Row],[Harkinnanvarainen korotus 8, €]]</f>
        <v>214128</v>
      </c>
      <c r="AS56" s="33">
        <v>22164</v>
      </c>
      <c r="AT56" s="16">
        <f>Ohj.lask.[[#This Row],[Perus-, suoritus- ja vaikuttavuusrahoitus yhteensä, €]]+Ohj.lask.[[#This Row],[Alv-korvaus, €]]</f>
        <v>236292</v>
      </c>
    </row>
    <row r="57" spans="1:46" ht="12.75" x14ac:dyDescent="0.2">
      <c r="A57" s="3" t="s">
        <v>490</v>
      </c>
      <c r="B57" s="7" t="s">
        <v>491</v>
      </c>
      <c r="C57" s="96" t="s">
        <v>173</v>
      </c>
      <c r="D57" s="96" t="s">
        <v>325</v>
      </c>
      <c r="E57" s="96" t="s">
        <v>373</v>
      </c>
      <c r="F57" s="104">
        <v>263</v>
      </c>
      <c r="G57" s="106">
        <f>Ohj.lask.[[#This Row],[Tavoitteelliset opiskelija-vuodet]]-Ohj.lask.[[#This Row],[Järjestämisluvan opisk.vuosien vähimmäismäärä]]</f>
        <v>60</v>
      </c>
      <c r="H57" s="32">
        <v>323</v>
      </c>
      <c r="I57" s="8">
        <f>IFERROR(VLOOKUP($A57,'2.1 Toteut. op.vuodet'!$A:$T,COLUMN('2.1 Toteut. op.vuodet'!S:S),FALSE),0)</f>
        <v>1.4666037354949359</v>
      </c>
      <c r="J57" s="74">
        <f t="shared" si="1"/>
        <v>473.7</v>
      </c>
      <c r="K57" s="9">
        <f>IFERROR(Ohj.lask.[[#This Row],[Painotetut opiskelija-vuodet]]/Ohj.lask.[[#Totals],[Painotetut opiskelija-vuodet]],0)</f>
        <v>2.1855901462504461E-3</v>
      </c>
      <c r="L57" s="10">
        <f>ROUND(IFERROR('1.1 Jakotaulu'!L$12*Ohj.lask.[[#This Row],[%-osuus 1]],0),0)</f>
        <v>3232698</v>
      </c>
      <c r="M57" s="132">
        <f>IFERROR(ROUND(VLOOKUP($A57,'2.2 Tutk. ja osien pain. pist.'!$A:$Q,COLUMN('2.2 Tutk. ja osien pain. pist.'!O:O),FALSE),1),0)</f>
        <v>32555.4</v>
      </c>
      <c r="N57" s="9">
        <f>IFERROR(Ohj.lask.[[#This Row],[Painotetut pisteet 2]]/Ohj.lask.[[#Totals],[Painotetut pisteet 2]],0)</f>
        <v>2.125194599305504E-3</v>
      </c>
      <c r="O57" s="16">
        <f>ROUND(IFERROR('1.1 Jakotaulu'!K$13*Ohj.lask.[[#This Row],[%-osuus 2]],0),0)</f>
        <v>913209</v>
      </c>
      <c r="P57" s="133">
        <f>IFERROR(ROUND(VLOOKUP($A57,'2.3 Työll. ja jatko-opisk.'!$A:$Z,COLUMN('2.3 Työll. ja jatko-opisk.'!L:L),FALSE),1),0)</f>
        <v>582.5</v>
      </c>
      <c r="Q57" s="13">
        <f>IFERROR(Ohj.lask.[[#This Row],[Painotetut pisteet 3]]/Ohj.lask.[[#Totals],[Painotetut pisteet 3]],0)</f>
        <v>1.8637852919343686E-3</v>
      </c>
      <c r="R57" s="10">
        <f>ROUND(IFERROR('1.1 Jakotaulu'!L$15*Ohj.lask.[[#This Row],[%-osuus 3]],0),0)</f>
        <v>280308</v>
      </c>
      <c r="S57" s="132">
        <f>IFERROR(ROUND(VLOOKUP($A57,'2.4 Aloittaneet palaute'!$A:$I,COLUMN('2.4 Aloittaneet palaute'!H:H),FALSE),1),0)</f>
        <v>1516.1</v>
      </c>
      <c r="T57" s="13">
        <f>IFERROR(Ohj.lask.[[#This Row],[Painotetut pisteet 4]]/Ohj.lask.[[#Totals],[Painotetut pisteet 4]],0)</f>
        <v>9.0953533908642468E-4</v>
      </c>
      <c r="U57" s="16">
        <f>ROUND(IFERROR('1.1 Jakotaulu'!M$17*Ohj.lask.[[#This Row],[%-osuus 4]],0),0)</f>
        <v>7328</v>
      </c>
      <c r="V57" s="132">
        <f>IFERROR(ROUND(VLOOKUP($A57,'2.5 Päättäneet palaute'!$A:$Z,COLUMN('2.5 Päättäneet palaute'!X:X),FALSE),1),0)</f>
        <v>12419.8</v>
      </c>
      <c r="W57" s="13">
        <f>IFERROR(Ohj.lask.[[#This Row],[Painotetut pisteet 5]]/Ohj.lask.[[#Totals],[Painotetut pisteet 5]],0)</f>
        <v>1.214361568408225E-3</v>
      </c>
      <c r="X57" s="16">
        <f>ROUND(IFERROR('1.1 Jakotaulu'!M$18*Ohj.lask.[[#This Row],[%-osuus 5]],0),0)</f>
        <v>29352</v>
      </c>
      <c r="Y57" s="132">
        <f>IFERROR(ROUND(VLOOKUP($A57,'2.6 Työpaikkaohjaajakysely'!B:J,COLUMN('2.6 Työpaikkaohjaajakysely'!H:H),FALSE),1),0)</f>
        <v>836764</v>
      </c>
      <c r="Z57" s="9">
        <f>IFERROR(Ohj.lask.[[#This Row],[Painotetut pisteet 6]]/Ohj.lask.[[#Totals],[Painotetut pisteet 6]],0)</f>
        <v>2.4653706674504093E-3</v>
      </c>
      <c r="AA57" s="16">
        <f>ROUND(IFERROR('1.1 Jakotaulu'!M$20*Ohj.lask.[[#This Row],[%-osuus 6]],0),0)</f>
        <v>59590</v>
      </c>
      <c r="AB57" s="132">
        <f>IFERROR(ROUND(VLOOKUP($A57,'2.7 Työpaikkakysely'!B:H,COLUMN('2.7 Työpaikkakysely'!F:F),FALSE),1),0)</f>
        <v>482537</v>
      </c>
      <c r="AC57" s="9">
        <f>IFERROR(Ohj.lask.[[#This Row],[Pisteet 7]]/Ohj.lask.[[#Totals],[Pisteet 7]],0)</f>
        <v>2.6149931387624719E-3</v>
      </c>
      <c r="AD57" s="16">
        <f>ROUND(IFERROR('1.1 Jakotaulu'!M$21*Ohj.lask.[[#This Row],[%-osuus 7]],0),0)</f>
        <v>21069</v>
      </c>
      <c r="AE57" s="12">
        <f>IFERROR(Ohj.lask.[[#This Row],[Jaettava € 8]]/Ohj.lask.[[#Totals],[Jaettava € 8]],"")</f>
        <v>2.1394972377427085E-3</v>
      </c>
      <c r="AF5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4543554</v>
      </c>
      <c r="AG57" s="102">
        <v>0</v>
      </c>
      <c r="AH57" s="102">
        <v>0</v>
      </c>
      <c r="AI57" s="102">
        <v>0</v>
      </c>
      <c r="AJ57" s="102">
        <v>0</v>
      </c>
      <c r="AK57" s="102">
        <v>5000</v>
      </c>
      <c r="AL57" s="107">
        <v>18000</v>
      </c>
      <c r="AM57" s="107">
        <v>11877</v>
      </c>
      <c r="AN5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34877</v>
      </c>
      <c r="AO57" s="10">
        <f>Ohj.lask.[[#This Row],[Jaettava € 1]]+Ohj.lask.[[#This Row],[Harkinnanvarainen korotus 8, €]]</f>
        <v>3267575</v>
      </c>
      <c r="AP57" s="102">
        <f>Ohj.lask.[[#This Row],[Jaettava € 2]]</f>
        <v>913209</v>
      </c>
      <c r="AQ57" s="10">
        <f>Ohj.lask.[[#This Row],[Jaettava € 3]]+Ohj.lask.[[#This Row],[Jaettava € 4]]+Ohj.lask.[[#This Row],[Jaettava € 5]]+Ohj.lask.[[#This Row],[Jaettava € 6]]+Ohj.lask.[[#This Row],[Jaettava € 7]]</f>
        <v>397647</v>
      </c>
      <c r="AR57" s="33">
        <f>Ohj.lask.[[#This Row],[Jaettava € 8]]+Ohj.lask.[[#This Row],[Harkinnanvarainen korotus 8, €]]</f>
        <v>4578431</v>
      </c>
      <c r="AS57" s="33">
        <v>226296</v>
      </c>
      <c r="AT57" s="16">
        <f>Ohj.lask.[[#This Row],[Perus-, suoritus- ja vaikuttavuusrahoitus yhteensä, €]]+Ohj.lask.[[#This Row],[Alv-korvaus, €]]</f>
        <v>4804727</v>
      </c>
    </row>
    <row r="58" spans="1:46" ht="12.75" x14ac:dyDescent="0.2">
      <c r="A58" s="3" t="s">
        <v>272</v>
      </c>
      <c r="B58" s="7" t="s">
        <v>129</v>
      </c>
      <c r="C58" s="7" t="s">
        <v>173</v>
      </c>
      <c r="D58" s="7" t="s">
        <v>325</v>
      </c>
      <c r="E58" s="7" t="s">
        <v>373</v>
      </c>
      <c r="F58" s="105">
        <v>33</v>
      </c>
      <c r="G58" s="106">
        <f>Ohj.lask.[[#This Row],[Tavoitteelliset opiskelija-vuodet]]-Ohj.lask.[[#This Row],[Järjestämisluvan opisk.vuosien vähimmäismäärä]]</f>
        <v>0</v>
      </c>
      <c r="H58" s="32">
        <v>33</v>
      </c>
      <c r="I58" s="8">
        <f>IFERROR(VLOOKUP($A58,'2.1 Toteut. op.vuodet'!$A:$T,COLUMN('2.1 Toteut. op.vuodet'!S:S),FALSE),0)</f>
        <v>0.72539999999999938</v>
      </c>
      <c r="J58" s="74">
        <f t="shared" si="1"/>
        <v>23.9</v>
      </c>
      <c r="K58" s="9">
        <f>IFERROR(Ohj.lask.[[#This Row],[Painotetut opiskelija-vuodet]]/Ohj.lask.[[#Totals],[Painotetut opiskelija-vuodet]],0)</f>
        <v>1.1027148932950319E-4</v>
      </c>
      <c r="L58" s="10">
        <f>ROUND(IFERROR('1.1 Jakotaulu'!L$12*Ohj.lask.[[#This Row],[%-osuus 1]],0),0)</f>
        <v>163102</v>
      </c>
      <c r="M58" s="132">
        <f>IFERROR(ROUND(VLOOKUP($A58,'2.2 Tutk. ja osien pain. pist.'!$A:$Q,COLUMN('2.2 Tutk. ja osien pain. pist.'!O:O),FALSE),1),0)</f>
        <v>900.4</v>
      </c>
      <c r="N58" s="9">
        <f>IFERROR(Ohj.lask.[[#This Row],[Painotetut pisteet 2]]/Ohj.lask.[[#Totals],[Painotetut pisteet 2]],0)</f>
        <v>5.8777505950308576E-5</v>
      </c>
      <c r="O58" s="16">
        <f>ROUND(IFERROR('1.1 Jakotaulu'!K$13*Ohj.lask.[[#This Row],[%-osuus 2]],0),0)</f>
        <v>25257</v>
      </c>
      <c r="P58" s="133">
        <f>IFERROR(ROUND(VLOOKUP($A58,'2.3 Työll. ja jatko-opisk.'!$A:$Z,COLUMN('2.3 Työll. ja jatko-opisk.'!L:L),FALSE),1),0)</f>
        <v>42</v>
      </c>
      <c r="Q58" s="9">
        <f>IFERROR(Ohj.lask.[[#This Row],[Painotetut pisteet 3]]/Ohj.lask.[[#Totals],[Painotetut pisteet 3]],0)</f>
        <v>1.3438451890342227E-4</v>
      </c>
      <c r="R58" s="10">
        <f>ROUND(IFERROR('1.1 Jakotaulu'!L$15*Ohj.lask.[[#This Row],[%-osuus 3]],0),0)</f>
        <v>20211</v>
      </c>
      <c r="S58" s="132">
        <f>IFERROR(ROUND(VLOOKUP($A58,'2.4 Aloittaneet palaute'!$A:$I,COLUMN('2.4 Aloittaneet palaute'!H:H),FALSE),1),0)</f>
        <v>366.3</v>
      </c>
      <c r="T58" s="13">
        <f>IFERROR(Ohj.lask.[[#This Row],[Painotetut pisteet 4]]/Ohj.lask.[[#Totals],[Painotetut pisteet 4]],0)</f>
        <v>2.19749881081299E-4</v>
      </c>
      <c r="U58" s="16">
        <f>ROUND(IFERROR('1.1 Jakotaulu'!M$17*Ohj.lask.[[#This Row],[%-osuus 4]],0),0)</f>
        <v>1771</v>
      </c>
      <c r="V58" s="132">
        <f>IFERROR(ROUND(VLOOKUP($A58,'2.5 Päättäneet palaute'!$A:$Z,COLUMN('2.5 Päättäneet palaute'!X:X),FALSE),1),0)</f>
        <v>2148.4</v>
      </c>
      <c r="W58" s="13">
        <f>IFERROR(Ohj.lask.[[#This Row],[Painotetut pisteet 5]]/Ohj.lask.[[#Totals],[Painotetut pisteet 5]],0)</f>
        <v>2.1006251256608244E-4</v>
      </c>
      <c r="X58" s="16">
        <f>ROUND(IFERROR('1.1 Jakotaulu'!M$18*Ohj.lask.[[#This Row],[%-osuus 5]],0),0)</f>
        <v>5077</v>
      </c>
      <c r="Y58" s="132">
        <f>IFERROR(ROUND(VLOOKUP($A58,'2.6 Työpaikkaohjaajakysely'!B:J,COLUMN('2.6 Työpaikkaohjaajakysely'!H:H),FALSE),1),0)</f>
        <v>198004.7</v>
      </c>
      <c r="Z58" s="9">
        <f>IFERROR(Ohj.lask.[[#This Row],[Painotetut pisteet 6]]/Ohj.lask.[[#Totals],[Painotetut pisteet 6]],0)</f>
        <v>5.8338429879550044E-4</v>
      </c>
      <c r="AA58" s="16">
        <f>ROUND(IFERROR('1.1 Jakotaulu'!M$20*Ohj.lask.[[#This Row],[%-osuus 6]],0),0)</f>
        <v>14101</v>
      </c>
      <c r="AB58" s="132">
        <f>IFERROR(ROUND(VLOOKUP($A58,'2.7 Työpaikkakysely'!B:H,COLUMN('2.7 Työpaikkakysely'!F:F),FALSE),1),0)</f>
        <v>64534</v>
      </c>
      <c r="AC58" s="9">
        <f>IFERROR(Ohj.lask.[[#This Row],[Pisteet 7]]/Ohj.lask.[[#Totals],[Pisteet 7]],0)</f>
        <v>3.4972648152762872E-4</v>
      </c>
      <c r="AD58" s="16">
        <f>ROUND(IFERROR('1.1 Jakotaulu'!M$21*Ohj.lask.[[#This Row],[%-osuus 7]],0),0)</f>
        <v>2818</v>
      </c>
      <c r="AE58" s="12">
        <f>IFERROR(Ohj.lask.[[#This Row],[Jaettava € 8]]/Ohj.lask.[[#Totals],[Jaettava € 8]],"")</f>
        <v>1.0940430546779628E-4</v>
      </c>
      <c r="AF5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232337</v>
      </c>
      <c r="AG58" s="102">
        <v>0</v>
      </c>
      <c r="AH58" s="102">
        <v>0</v>
      </c>
      <c r="AI58" s="102">
        <v>0</v>
      </c>
      <c r="AJ58" s="102">
        <v>0</v>
      </c>
      <c r="AK58" s="102">
        <v>0</v>
      </c>
      <c r="AL58" s="107">
        <v>0</v>
      </c>
      <c r="AM58" s="107">
        <v>0</v>
      </c>
      <c r="AN5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58" s="10">
        <f>Ohj.lask.[[#This Row],[Jaettava € 1]]+Ohj.lask.[[#This Row],[Harkinnanvarainen korotus 8, €]]</f>
        <v>163102</v>
      </c>
      <c r="AP58" s="102">
        <f>Ohj.lask.[[#This Row],[Jaettava € 2]]</f>
        <v>25257</v>
      </c>
      <c r="AQ58" s="10">
        <f>Ohj.lask.[[#This Row],[Jaettava € 3]]+Ohj.lask.[[#This Row],[Jaettava € 4]]+Ohj.lask.[[#This Row],[Jaettava € 5]]+Ohj.lask.[[#This Row],[Jaettava € 6]]+Ohj.lask.[[#This Row],[Jaettava € 7]]</f>
        <v>43978</v>
      </c>
      <c r="AR58" s="33">
        <f>Ohj.lask.[[#This Row],[Jaettava € 8]]+Ohj.lask.[[#This Row],[Harkinnanvarainen korotus 8, €]]</f>
        <v>232337</v>
      </c>
      <c r="AS58" s="33">
        <v>19229</v>
      </c>
      <c r="AT58" s="16">
        <f>Ohj.lask.[[#This Row],[Perus-, suoritus- ja vaikuttavuusrahoitus yhteensä, €]]+Ohj.lask.[[#This Row],[Alv-korvaus, €]]</f>
        <v>251566</v>
      </c>
    </row>
    <row r="59" spans="1:46" ht="12.75" x14ac:dyDescent="0.2">
      <c r="A59" s="3" t="s">
        <v>271</v>
      </c>
      <c r="B59" s="7" t="s">
        <v>57</v>
      </c>
      <c r="C59" s="7" t="s">
        <v>199</v>
      </c>
      <c r="D59" s="7" t="s">
        <v>325</v>
      </c>
      <c r="E59" s="7" t="s">
        <v>373</v>
      </c>
      <c r="F59" s="105">
        <v>97</v>
      </c>
      <c r="G59" s="106">
        <f>Ohj.lask.[[#This Row],[Tavoitteelliset opiskelija-vuodet]]-Ohj.lask.[[#This Row],[Järjestämisluvan opisk.vuosien vähimmäismäärä]]</f>
        <v>7</v>
      </c>
      <c r="H59" s="32">
        <v>104</v>
      </c>
      <c r="I59" s="8">
        <f>IFERROR(VLOOKUP($A59,'2.1 Toteut. op.vuodet'!$A:$T,COLUMN('2.1 Toteut. op.vuodet'!S:S),FALSE),0)</f>
        <v>1.1508380107628151</v>
      </c>
      <c r="J59" s="74">
        <f t="shared" si="1"/>
        <v>119.7</v>
      </c>
      <c r="K59" s="9">
        <f>IFERROR(Ohj.lask.[[#This Row],[Painotetut opiskelija-vuodet]]/Ohj.lask.[[#Totals],[Painotetut opiskelija-vuodet]],0)</f>
        <v>5.5228022061680059E-4</v>
      </c>
      <c r="L59" s="10">
        <f>ROUND(IFERROR('1.1 Jakotaulu'!L$12*Ohj.lask.[[#This Row],[%-osuus 1]],0),0)</f>
        <v>816875</v>
      </c>
      <c r="M59" s="132">
        <f>IFERROR(ROUND(VLOOKUP($A59,'2.2 Tutk. ja osien pain. pist.'!$A:$Q,COLUMN('2.2 Tutk. ja osien pain. pist.'!O:O),FALSE),1),0)</f>
        <v>9714.1</v>
      </c>
      <c r="N59" s="9">
        <f>IFERROR(Ohj.lask.[[#This Row],[Painotetut pisteet 2]]/Ohj.lask.[[#Totals],[Painotetut pisteet 2]],0)</f>
        <v>6.3412990954230626E-4</v>
      </c>
      <c r="O59" s="16">
        <f>ROUND(IFERROR('1.1 Jakotaulu'!K$13*Ohj.lask.[[#This Row],[%-osuus 2]],0),0)</f>
        <v>272489</v>
      </c>
      <c r="P59" s="133">
        <f>IFERROR(ROUND(VLOOKUP($A59,'2.3 Työll. ja jatko-opisk.'!$A:$Z,COLUMN('2.3 Työll. ja jatko-opisk.'!L:L),FALSE),1),0)</f>
        <v>260.8</v>
      </c>
      <c r="Q59" s="9">
        <f>IFERROR(Ohj.lask.[[#This Row],[Painotetut pisteet 3]]/Ohj.lask.[[#Totals],[Painotetut pisteet 3]],0)</f>
        <v>8.3446386976220315E-4</v>
      </c>
      <c r="R59" s="10">
        <f>ROUND(IFERROR('1.1 Jakotaulu'!L$15*Ohj.lask.[[#This Row],[%-osuus 3]],0),0)</f>
        <v>125501</v>
      </c>
      <c r="S59" s="132">
        <f>IFERROR(ROUND(VLOOKUP($A59,'2.4 Aloittaneet palaute'!$A:$I,COLUMN('2.4 Aloittaneet palaute'!H:H),FALSE),1),0)</f>
        <v>1382.8</v>
      </c>
      <c r="T59" s="13">
        <f>IFERROR(Ohj.lask.[[#This Row],[Painotetut pisteet 4]]/Ohj.lask.[[#Totals],[Painotetut pisteet 4]],0)</f>
        <v>8.2956629964297081E-4</v>
      </c>
      <c r="U59" s="16">
        <f>ROUND(IFERROR('1.1 Jakotaulu'!M$17*Ohj.lask.[[#This Row],[%-osuus 4]],0),0)</f>
        <v>6684</v>
      </c>
      <c r="V59" s="132">
        <f>IFERROR(ROUND(VLOOKUP($A59,'2.5 Päättäneet palaute'!$A:$Z,COLUMN('2.5 Päättäneet palaute'!X:X),FALSE),1),0)</f>
        <v>7740</v>
      </c>
      <c r="W59" s="13">
        <f>IFERROR(Ohj.lask.[[#This Row],[Painotetut pisteet 5]]/Ohj.lask.[[#Totals],[Painotetut pisteet 5]],0)</f>
        <v>7.5678823648365199E-4</v>
      </c>
      <c r="X59" s="16">
        <f>ROUND(IFERROR('1.1 Jakotaulu'!M$18*Ohj.lask.[[#This Row],[%-osuus 5]],0),0)</f>
        <v>18292</v>
      </c>
      <c r="Y59" s="132">
        <f>IFERROR(ROUND(VLOOKUP($A59,'2.6 Työpaikkaohjaajakysely'!B:J,COLUMN('2.6 Työpaikkaohjaajakysely'!H:H),FALSE),1),0)</f>
        <v>435441.8</v>
      </c>
      <c r="Z59" s="9">
        <f>IFERROR(Ohj.lask.[[#This Row],[Painotetut pisteet 6]]/Ohj.lask.[[#Totals],[Painotetut pisteet 6]],0)</f>
        <v>1.2829488853509563E-3</v>
      </c>
      <c r="AA59" s="16">
        <f>ROUND(IFERROR('1.1 Jakotaulu'!M$20*Ohj.lask.[[#This Row],[%-osuus 6]],0),0)</f>
        <v>31010</v>
      </c>
      <c r="AB59" s="132">
        <f>IFERROR(ROUND(VLOOKUP($A59,'2.7 Työpaikkakysely'!B:H,COLUMN('2.7 Työpaikkakysely'!F:F),FALSE),1),0)</f>
        <v>250158</v>
      </c>
      <c r="AC59" s="9">
        <f>IFERROR(Ohj.lask.[[#This Row],[Pisteet 7]]/Ohj.lask.[[#Totals],[Pisteet 7]],0)</f>
        <v>1.3556710751849962E-3</v>
      </c>
      <c r="AD59" s="16">
        <f>ROUND(IFERROR('1.1 Jakotaulu'!M$21*Ohj.lask.[[#This Row],[%-osuus 7]],0),0)</f>
        <v>10923</v>
      </c>
      <c r="AE59" s="12">
        <f>IFERROR(Ohj.lask.[[#This Row],[Jaettava € 8]]/Ohj.lask.[[#Totals],[Jaettava € 8]],"")</f>
        <v>6.0356978973077522E-4</v>
      </c>
      <c r="AF5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1281774</v>
      </c>
      <c r="AG59" s="102">
        <v>0</v>
      </c>
      <c r="AH59" s="102">
        <v>0</v>
      </c>
      <c r="AI59" s="102">
        <v>0</v>
      </c>
      <c r="AJ59" s="102">
        <v>0</v>
      </c>
      <c r="AK59" s="102">
        <v>0</v>
      </c>
      <c r="AL59" s="107">
        <v>0</v>
      </c>
      <c r="AM59" s="107">
        <v>0</v>
      </c>
      <c r="AN5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59" s="10">
        <f>Ohj.lask.[[#This Row],[Jaettava € 1]]+Ohj.lask.[[#This Row],[Harkinnanvarainen korotus 8, €]]</f>
        <v>816875</v>
      </c>
      <c r="AP59" s="102">
        <f>Ohj.lask.[[#This Row],[Jaettava € 2]]</f>
        <v>272489</v>
      </c>
      <c r="AQ59" s="10">
        <f>Ohj.lask.[[#This Row],[Jaettava € 3]]+Ohj.lask.[[#This Row],[Jaettava € 4]]+Ohj.lask.[[#This Row],[Jaettava € 5]]+Ohj.lask.[[#This Row],[Jaettava € 6]]+Ohj.lask.[[#This Row],[Jaettava € 7]]</f>
        <v>192410</v>
      </c>
      <c r="AR59" s="33">
        <f>Ohj.lask.[[#This Row],[Jaettava € 8]]+Ohj.lask.[[#This Row],[Harkinnanvarainen korotus 8, €]]</f>
        <v>1281774</v>
      </c>
      <c r="AS59" s="33">
        <v>44047</v>
      </c>
      <c r="AT59" s="16">
        <f>Ohj.lask.[[#This Row],[Perus-, suoritus- ja vaikuttavuusrahoitus yhteensä, €]]+Ohj.lask.[[#This Row],[Alv-korvaus, €]]</f>
        <v>1325821</v>
      </c>
    </row>
    <row r="60" spans="1:46" ht="12.75" x14ac:dyDescent="0.2">
      <c r="A60" s="3" t="s">
        <v>270</v>
      </c>
      <c r="B60" s="7" t="s">
        <v>58</v>
      </c>
      <c r="C60" s="7" t="s">
        <v>187</v>
      </c>
      <c r="D60" s="7" t="s">
        <v>324</v>
      </c>
      <c r="E60" s="7" t="s">
        <v>373</v>
      </c>
      <c r="F60" s="105">
        <v>2316</v>
      </c>
      <c r="G60" s="106">
        <f>Ohj.lask.[[#This Row],[Tavoitteelliset opiskelija-vuodet]]-Ohj.lask.[[#This Row],[Järjestämisluvan opisk.vuosien vähimmäismäärä]]</f>
        <v>121</v>
      </c>
      <c r="H60" s="32">
        <v>2437</v>
      </c>
      <c r="I60" s="8">
        <f>IFERROR(VLOOKUP($A60,'2.1 Toteut. op.vuodet'!$A:$T,COLUMN('2.1 Toteut. op.vuodet'!S:S),FALSE),0)</f>
        <v>1.1279672901523015</v>
      </c>
      <c r="J60" s="74">
        <f t="shared" si="1"/>
        <v>2748.9</v>
      </c>
      <c r="K60" s="9">
        <f>IFERROR(Ohj.lask.[[#This Row],[Painotetut opiskelija-vuodet]]/Ohj.lask.[[#Totals],[Painotetut opiskelija-vuodet]],0)</f>
        <v>1.2683066820831437E-2</v>
      </c>
      <c r="L60" s="10">
        <f>ROUND(IFERROR('1.1 Jakotaulu'!L$12*Ohj.lask.[[#This Row],[%-osuus 1]],0),0)</f>
        <v>18759473</v>
      </c>
      <c r="M60" s="132">
        <f>IFERROR(ROUND(VLOOKUP($A60,'2.2 Tutk. ja osien pain. pist.'!$A:$Q,COLUMN('2.2 Tutk. ja osien pain. pist.'!O:O),FALSE),1),0)</f>
        <v>175568.4</v>
      </c>
      <c r="N60" s="9">
        <f>IFERROR(Ohj.lask.[[#This Row],[Painotetut pisteet 2]]/Ohj.lask.[[#Totals],[Painotetut pisteet 2]],0)</f>
        <v>1.146098697877183E-2</v>
      </c>
      <c r="O60" s="16">
        <f>ROUND(IFERROR('1.1 Jakotaulu'!K$13*Ohj.lask.[[#This Row],[%-osuus 2]],0),0)</f>
        <v>4924855</v>
      </c>
      <c r="P60" s="133">
        <f>IFERROR(ROUND(VLOOKUP($A60,'2.3 Työll. ja jatko-opisk.'!$A:$Z,COLUMN('2.3 Työll. ja jatko-opisk.'!L:L),FALSE),1),0)</f>
        <v>3904.4</v>
      </c>
      <c r="Q60" s="9">
        <f>IFERROR(Ohj.lask.[[#This Row],[Painotetut pisteet 3]]/Ohj.lask.[[#Totals],[Painotetut pisteet 3]],0)</f>
        <v>1.2492640847774333E-2</v>
      </c>
      <c r="R60" s="10">
        <f>ROUND(IFERROR('1.1 Jakotaulu'!L$15*Ohj.lask.[[#This Row],[%-osuus 3]],0),0)</f>
        <v>1878857</v>
      </c>
      <c r="S60" s="132">
        <f>IFERROR(ROUND(VLOOKUP($A60,'2.4 Aloittaneet palaute'!$A:$I,COLUMN('2.4 Aloittaneet palaute'!H:H),FALSE),1),0)</f>
        <v>22018.5</v>
      </c>
      <c r="T60" s="13">
        <f>IFERROR(Ohj.lask.[[#This Row],[Painotetut pisteet 4]]/Ohj.lask.[[#Totals],[Painotetut pisteet 4]],0)</f>
        <v>1.3209289534776363E-2</v>
      </c>
      <c r="U60" s="16">
        <f>ROUND(IFERROR('1.1 Jakotaulu'!M$17*Ohj.lask.[[#This Row],[%-osuus 4]],0),0)</f>
        <v>106427</v>
      </c>
      <c r="V60" s="132">
        <f>IFERROR(ROUND(VLOOKUP($A60,'2.5 Päättäneet palaute'!$A:$Z,COLUMN('2.5 Päättäneet palaute'!X:X),FALSE),1),0)</f>
        <v>104737.5</v>
      </c>
      <c r="W60" s="13">
        <f>IFERROR(Ohj.lask.[[#This Row],[Painotetut pisteet 5]]/Ohj.lask.[[#Totals],[Painotetut pisteet 5]],0)</f>
        <v>1.0240840816370349E-2</v>
      </c>
      <c r="X60" s="16">
        <f>ROUND(IFERROR('1.1 Jakotaulu'!M$18*Ohj.lask.[[#This Row],[%-osuus 5]],0),0)</f>
        <v>247531</v>
      </c>
      <c r="Y60" s="132">
        <f>IFERROR(ROUND(VLOOKUP($A60,'2.6 Työpaikkaohjaajakysely'!B:J,COLUMN('2.6 Työpaikkaohjaajakysely'!H:H),FALSE),1),0)</f>
        <v>3094290.2</v>
      </c>
      <c r="Z60" s="9">
        <f>IFERROR(Ohj.lask.[[#This Row],[Painotetut pisteet 6]]/Ohj.lask.[[#Totals],[Painotetut pisteet 6]],0)</f>
        <v>9.1167548982260954E-3</v>
      </c>
      <c r="AA60" s="16">
        <f>ROUND(IFERROR('1.1 Jakotaulu'!M$20*Ohj.lask.[[#This Row],[%-osuus 6]],0),0)</f>
        <v>220361</v>
      </c>
      <c r="AB60" s="132">
        <f>IFERROR(ROUND(VLOOKUP($A60,'2.7 Työpaikkakysely'!B:H,COLUMN('2.7 Työpaikkakysely'!F:F),FALSE),1),0)</f>
        <v>2416910.6</v>
      </c>
      <c r="AC60" s="9">
        <f>IFERROR(Ohj.lask.[[#This Row],[Pisteet 7]]/Ohj.lask.[[#Totals],[Pisteet 7]],0)</f>
        <v>1.3097865316032324E-2</v>
      </c>
      <c r="AD60" s="16">
        <f>ROUND(IFERROR('1.1 Jakotaulu'!M$21*Ohj.lask.[[#This Row],[%-osuus 7]],0),0)</f>
        <v>105529</v>
      </c>
      <c r="AE60" s="12">
        <f>IFERROR(Ohj.lask.[[#This Row],[Jaettava € 8]]/Ohj.lask.[[#Totals],[Jaettava € 8]],"")</f>
        <v>1.2357484166247556E-2</v>
      </c>
      <c r="AF6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26243033</v>
      </c>
      <c r="AG60" s="102">
        <v>0</v>
      </c>
      <c r="AH60" s="102">
        <v>0</v>
      </c>
      <c r="AI60" s="102">
        <v>0</v>
      </c>
      <c r="AJ60" s="102">
        <v>0</v>
      </c>
      <c r="AK60" s="102">
        <v>41000</v>
      </c>
      <c r="AL60" s="107">
        <v>4000</v>
      </c>
      <c r="AM60" s="107">
        <v>51411</v>
      </c>
      <c r="AN6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96411</v>
      </c>
      <c r="AO60" s="10">
        <f>Ohj.lask.[[#This Row],[Jaettava € 1]]+Ohj.lask.[[#This Row],[Harkinnanvarainen korotus 8, €]]</f>
        <v>18855884</v>
      </c>
      <c r="AP60" s="102">
        <f>Ohj.lask.[[#This Row],[Jaettava € 2]]</f>
        <v>4924855</v>
      </c>
      <c r="AQ60" s="10">
        <f>Ohj.lask.[[#This Row],[Jaettava € 3]]+Ohj.lask.[[#This Row],[Jaettava € 4]]+Ohj.lask.[[#This Row],[Jaettava € 5]]+Ohj.lask.[[#This Row],[Jaettava € 6]]+Ohj.lask.[[#This Row],[Jaettava € 7]]</f>
        <v>2558705</v>
      </c>
      <c r="AR60" s="33">
        <f>Ohj.lask.[[#This Row],[Jaettava € 8]]+Ohj.lask.[[#This Row],[Harkinnanvarainen korotus 8, €]]</f>
        <v>26339444</v>
      </c>
      <c r="AS60" s="33">
        <v>0</v>
      </c>
      <c r="AT60" s="16">
        <f>Ohj.lask.[[#This Row],[Perus-, suoritus- ja vaikuttavuusrahoitus yhteensä, €]]+Ohj.lask.[[#This Row],[Alv-korvaus, €]]</f>
        <v>26339444</v>
      </c>
    </row>
    <row r="61" spans="1:46" ht="12.75" x14ac:dyDescent="0.2">
      <c r="A61" s="3" t="s">
        <v>269</v>
      </c>
      <c r="B61" s="7" t="s">
        <v>59</v>
      </c>
      <c r="C61" s="7" t="s">
        <v>185</v>
      </c>
      <c r="D61" s="7" t="s">
        <v>324</v>
      </c>
      <c r="E61" s="7" t="s">
        <v>373</v>
      </c>
      <c r="F61" s="105">
        <v>5467</v>
      </c>
      <c r="G61" s="106">
        <f>Ohj.lask.[[#This Row],[Tavoitteelliset opiskelija-vuodet]]-Ohj.lask.[[#This Row],[Järjestämisluvan opisk.vuosien vähimmäismäärä]]</f>
        <v>425</v>
      </c>
      <c r="H61" s="32">
        <v>5892</v>
      </c>
      <c r="I61" s="8">
        <f>IFERROR(VLOOKUP($A61,'2.1 Toteut. op.vuodet'!$A:$T,COLUMN('2.1 Toteut. op.vuodet'!S:S),FALSE),0)</f>
        <v>1.0781043863718234</v>
      </c>
      <c r="J61" s="74">
        <f t="shared" si="1"/>
        <v>6352.2</v>
      </c>
      <c r="K61" s="9">
        <f>IFERROR(Ohj.lask.[[#This Row],[Painotetut opiskelija-vuodet]]/Ohj.lask.[[#Totals],[Painotetut opiskelija-vuodet]],0)</f>
        <v>2.9308224038446452E-2</v>
      </c>
      <c r="L61" s="10">
        <f>ROUND(IFERROR('1.1 Jakotaulu'!L$12*Ohj.lask.[[#This Row],[%-osuus 1]],0),0)</f>
        <v>43349677</v>
      </c>
      <c r="M61" s="132">
        <f>IFERROR(ROUND(VLOOKUP($A61,'2.2 Tutk. ja osien pain. pist.'!$A:$Q,COLUMN('2.2 Tutk. ja osien pain. pist.'!O:O),FALSE),1),0)</f>
        <v>465134.4</v>
      </c>
      <c r="N61" s="9">
        <f>IFERROR(Ohj.lask.[[#This Row],[Painotetut pisteet 2]]/Ohj.lask.[[#Totals],[Painotetut pisteet 2]],0)</f>
        <v>3.0363660554968027E-2</v>
      </c>
      <c r="O61" s="16">
        <f>ROUND(IFERROR('1.1 Jakotaulu'!K$13*Ohj.lask.[[#This Row],[%-osuus 2]],0),0)</f>
        <v>13047447</v>
      </c>
      <c r="P61" s="133">
        <f>IFERROR(ROUND(VLOOKUP($A61,'2.3 Työll. ja jatko-opisk.'!$A:$Z,COLUMN('2.3 Työll. ja jatko-opisk.'!L:L),FALSE),1),0)</f>
        <v>9799.7999999999993</v>
      </c>
      <c r="Q61" s="9">
        <f>IFERROR(Ohj.lask.[[#This Row],[Painotetut pisteet 3]]/Ohj.lask.[[#Totals],[Painotetut pisteet 3]],0)</f>
        <v>3.1355747817851366E-2</v>
      </c>
      <c r="R61" s="10">
        <f>ROUND(IFERROR('1.1 Jakotaulu'!L$15*Ohj.lask.[[#This Row],[%-osuus 3]],0),0)</f>
        <v>4715814</v>
      </c>
      <c r="S61" s="132">
        <f>IFERROR(ROUND(VLOOKUP($A61,'2.4 Aloittaneet palaute'!$A:$I,COLUMN('2.4 Aloittaneet palaute'!H:H),FALSE),1),0)</f>
        <v>63013.3</v>
      </c>
      <c r="T61" s="13">
        <f>IFERROR(Ohj.lask.[[#This Row],[Painotetut pisteet 4]]/Ohj.lask.[[#Totals],[Painotetut pisteet 4]],0)</f>
        <v>3.7802798748403546E-2</v>
      </c>
      <c r="U61" s="16">
        <f>ROUND(IFERROR('1.1 Jakotaulu'!M$17*Ohj.lask.[[#This Row],[%-osuus 4]],0),0)</f>
        <v>304577</v>
      </c>
      <c r="V61" s="132">
        <f>IFERROR(ROUND(VLOOKUP($A61,'2.5 Päättäneet palaute'!$A:$Z,COLUMN('2.5 Päättäneet palaute'!X:X),FALSE),1),0)</f>
        <v>305349.59999999998</v>
      </c>
      <c r="W61" s="13">
        <f>IFERROR(Ohj.lask.[[#This Row],[Painotetut pisteet 5]]/Ohj.lask.[[#Totals],[Painotetut pisteet 5]],0)</f>
        <v>2.9855941252582497E-2</v>
      </c>
      <c r="X61" s="16">
        <f>ROUND(IFERROR('1.1 Jakotaulu'!M$18*Ohj.lask.[[#This Row],[%-osuus 5]],0),0)</f>
        <v>721647</v>
      </c>
      <c r="Y61" s="132">
        <f>IFERROR(ROUND(VLOOKUP($A61,'2.6 Työpaikkaohjaajakysely'!B:J,COLUMN('2.6 Työpaikkaohjaajakysely'!H:H),FALSE),1),0)</f>
        <v>18848043.199999999</v>
      </c>
      <c r="Z61" s="9">
        <f>IFERROR(Ohj.lask.[[#This Row],[Painotetut pisteet 6]]/Ohj.lask.[[#Totals],[Painotetut pisteet 6]],0)</f>
        <v>5.5532280122134972E-2</v>
      </c>
      <c r="AA61" s="16">
        <f>ROUND(IFERROR('1.1 Jakotaulu'!M$20*Ohj.lask.[[#This Row],[%-osuus 6]],0),0)</f>
        <v>1342269</v>
      </c>
      <c r="AB61" s="132">
        <f>IFERROR(ROUND(VLOOKUP($A61,'2.7 Työpaikkakysely'!B:H,COLUMN('2.7 Työpaikkakysely'!F:F),FALSE),1),0)</f>
        <v>18290071.100000001</v>
      </c>
      <c r="AC61" s="9">
        <f>IFERROR(Ohj.lask.[[#This Row],[Pisteet 7]]/Ohj.lask.[[#Totals],[Pisteet 7]],0)</f>
        <v>9.9118638433897885E-2</v>
      </c>
      <c r="AD61" s="16">
        <f>ROUND(IFERROR('1.1 Jakotaulu'!M$21*Ohj.lask.[[#This Row],[%-osuus 7]],0),0)</f>
        <v>798598</v>
      </c>
      <c r="AE61" s="12">
        <f>IFERROR(Ohj.lask.[[#This Row],[Jaettava € 8]]/Ohj.lask.[[#Totals],[Jaettava € 8]],"")</f>
        <v>3.0268583687466068E-2</v>
      </c>
      <c r="AF6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64280029</v>
      </c>
      <c r="AG61" s="102">
        <v>0</v>
      </c>
      <c r="AH61" s="102">
        <v>0</v>
      </c>
      <c r="AI61" s="102">
        <v>0</v>
      </c>
      <c r="AJ61" s="102">
        <v>0</v>
      </c>
      <c r="AK61" s="102">
        <v>106000</v>
      </c>
      <c r="AL61" s="107">
        <v>36000</v>
      </c>
      <c r="AM61" s="107">
        <v>222117</v>
      </c>
      <c r="AN6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364117</v>
      </c>
      <c r="AO61" s="10">
        <f>Ohj.lask.[[#This Row],[Jaettava € 1]]+Ohj.lask.[[#This Row],[Harkinnanvarainen korotus 8, €]]</f>
        <v>43713794</v>
      </c>
      <c r="AP61" s="102">
        <f>Ohj.lask.[[#This Row],[Jaettava € 2]]</f>
        <v>13047447</v>
      </c>
      <c r="AQ61" s="10">
        <f>Ohj.lask.[[#This Row],[Jaettava € 3]]+Ohj.lask.[[#This Row],[Jaettava € 4]]+Ohj.lask.[[#This Row],[Jaettava € 5]]+Ohj.lask.[[#This Row],[Jaettava € 6]]+Ohj.lask.[[#This Row],[Jaettava € 7]]</f>
        <v>7882905</v>
      </c>
      <c r="AR61" s="33">
        <f>Ohj.lask.[[#This Row],[Jaettava € 8]]+Ohj.lask.[[#This Row],[Harkinnanvarainen korotus 8, €]]</f>
        <v>64644146</v>
      </c>
      <c r="AS61" s="33">
        <v>0</v>
      </c>
      <c r="AT61" s="16">
        <f>Ohj.lask.[[#This Row],[Perus-, suoritus- ja vaikuttavuusrahoitus yhteensä, €]]+Ohj.lask.[[#This Row],[Alv-korvaus, €]]</f>
        <v>64644146</v>
      </c>
    </row>
    <row r="62" spans="1:46" ht="12.75" x14ac:dyDescent="0.2">
      <c r="A62" s="3" t="s">
        <v>229</v>
      </c>
      <c r="B62" s="7" t="s">
        <v>470</v>
      </c>
      <c r="C62" s="7" t="s">
        <v>180</v>
      </c>
      <c r="D62" s="7" t="s">
        <v>324</v>
      </c>
      <c r="E62" s="7" t="s">
        <v>373</v>
      </c>
      <c r="F62" s="105">
        <v>890</v>
      </c>
      <c r="G62" s="106">
        <f>Ohj.lask.[[#This Row],[Tavoitteelliset opiskelija-vuodet]]-Ohj.lask.[[#This Row],[Järjestämisluvan opisk.vuosien vähimmäismäärä]]</f>
        <v>174</v>
      </c>
      <c r="H62" s="32">
        <v>1064</v>
      </c>
      <c r="I62" s="8">
        <f>IFERROR(VLOOKUP($A62,'2.1 Toteut. op.vuodet'!$A:$T,COLUMN('2.1 Toteut. op.vuodet'!S:S),FALSE),0)</f>
        <v>1.2228528754931942</v>
      </c>
      <c r="J62" s="74">
        <f t="shared" si="1"/>
        <v>1301.0999999999999</v>
      </c>
      <c r="K62" s="9">
        <f>IFERROR(Ohj.lask.[[#This Row],[Painotetut opiskelija-vuodet]]/Ohj.lask.[[#Totals],[Painotetut opiskelija-vuodet]],0)</f>
        <v>6.0031060571806112E-3</v>
      </c>
      <c r="L62" s="10">
        <f>ROUND(IFERROR('1.1 Jakotaulu'!L$12*Ohj.lask.[[#This Row],[%-osuus 1]],0),0)</f>
        <v>8879170</v>
      </c>
      <c r="M62" s="132">
        <f>IFERROR(ROUND(VLOOKUP($A62,'2.2 Tutk. ja osien pain. pist.'!$A:$Q,COLUMN('2.2 Tutk. ja osien pain. pist.'!O:O),FALSE),1),0)</f>
        <v>84881.3</v>
      </c>
      <c r="N62" s="9">
        <f>IFERROR(Ohj.lask.[[#This Row],[Painotetut pisteet 2]]/Ohj.lask.[[#Totals],[Painotetut pisteet 2]],0)</f>
        <v>5.5409941312971212E-3</v>
      </c>
      <c r="O62" s="16">
        <f>ROUND(IFERROR('1.1 Jakotaulu'!K$13*Ohj.lask.[[#This Row],[%-osuus 2]],0),0)</f>
        <v>2380998</v>
      </c>
      <c r="P62" s="133">
        <f>IFERROR(ROUND(VLOOKUP($A62,'2.3 Työll. ja jatko-opisk.'!$A:$Z,COLUMN('2.3 Työll. ja jatko-opisk.'!L:L),FALSE),1),0)</f>
        <v>1835.3</v>
      </c>
      <c r="Q62" s="9">
        <f>IFERROR(Ohj.lask.[[#This Row],[Painotetut pisteet 3]]/Ohj.lask.[[#Totals],[Painotetut pisteet 3]],0)</f>
        <v>5.8722835129393072E-3</v>
      </c>
      <c r="R62" s="10">
        <f>ROUND(IFERROR('1.1 Jakotaulu'!L$15*Ohj.lask.[[#This Row],[%-osuus 3]],0),0)</f>
        <v>883174</v>
      </c>
      <c r="S62" s="132">
        <f>IFERROR(ROUND(VLOOKUP($A62,'2.4 Aloittaneet palaute'!$A:$I,COLUMN('2.4 Aloittaneet palaute'!H:H),FALSE),1),0)</f>
        <v>9852</v>
      </c>
      <c r="T62" s="13">
        <f>IFERROR(Ohj.lask.[[#This Row],[Painotetut pisteet 4]]/Ohj.lask.[[#Totals],[Painotetut pisteet 4]],0)</f>
        <v>5.9103899219572964E-3</v>
      </c>
      <c r="U62" s="16">
        <f>ROUND(IFERROR('1.1 Jakotaulu'!M$17*Ohj.lask.[[#This Row],[%-osuus 4]],0),0)</f>
        <v>47620</v>
      </c>
      <c r="V62" s="132">
        <f>IFERROR(ROUND(VLOOKUP($A62,'2.5 Päättäneet palaute'!$A:$Z,COLUMN('2.5 Päättäneet palaute'!X:X),FALSE),1),0)</f>
        <v>57049</v>
      </c>
      <c r="W62" s="13">
        <f>IFERROR(Ohj.lask.[[#This Row],[Painotetut pisteet 5]]/Ohj.lask.[[#Totals],[Painotetut pisteet 5]],0)</f>
        <v>5.5780377394258219E-3</v>
      </c>
      <c r="X62" s="16">
        <f>ROUND(IFERROR('1.1 Jakotaulu'!M$18*Ohj.lask.[[#This Row],[%-osuus 5]],0),0)</f>
        <v>134827</v>
      </c>
      <c r="Y62" s="132">
        <f>IFERROR(ROUND(VLOOKUP($A62,'2.6 Työpaikkaohjaajakysely'!B:J,COLUMN('2.6 Työpaikkaohjaajakysely'!H:H),FALSE),1),0)</f>
        <v>1543464.5</v>
      </c>
      <c r="Z62" s="9">
        <f>IFERROR(Ohj.lask.[[#This Row],[Painotetut pisteet 6]]/Ohj.lask.[[#Totals],[Painotetut pisteet 6]],0)</f>
        <v>4.547533240616246E-3</v>
      </c>
      <c r="AA62" s="16">
        <f>ROUND(IFERROR('1.1 Jakotaulu'!M$20*Ohj.lask.[[#This Row],[%-osuus 6]],0),0)</f>
        <v>109918</v>
      </c>
      <c r="AB62" s="132">
        <f>IFERROR(ROUND(VLOOKUP($A62,'2.7 Työpaikkakysely'!B:H,COLUMN('2.7 Työpaikkakysely'!F:F),FALSE),1),0)</f>
        <v>374437</v>
      </c>
      <c r="AC62" s="9">
        <f>IFERROR(Ohj.lask.[[#This Row],[Pisteet 7]]/Ohj.lask.[[#Totals],[Pisteet 7]],0)</f>
        <v>2.0291712053144189E-3</v>
      </c>
      <c r="AD62" s="16">
        <f>ROUND(IFERROR('1.1 Jakotaulu'!M$21*Ohj.lask.[[#This Row],[%-osuus 7]],0),0)</f>
        <v>16349</v>
      </c>
      <c r="AE62" s="12">
        <f>IFERROR(Ohj.lask.[[#This Row],[Jaettava € 8]]/Ohj.lask.[[#Totals],[Jaettava € 8]],"")</f>
        <v>5.8635023191575403E-3</v>
      </c>
      <c r="AF6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12452056</v>
      </c>
      <c r="AG62" s="102">
        <v>0</v>
      </c>
      <c r="AH62" s="102">
        <v>0</v>
      </c>
      <c r="AI62" s="102">
        <v>0</v>
      </c>
      <c r="AJ62" s="102">
        <v>0</v>
      </c>
      <c r="AK62" s="102">
        <v>7000</v>
      </c>
      <c r="AL62" s="107">
        <v>0</v>
      </c>
      <c r="AM62" s="107">
        <v>53087</v>
      </c>
      <c r="AN6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60087</v>
      </c>
      <c r="AO62" s="10">
        <f>Ohj.lask.[[#This Row],[Jaettava € 1]]+Ohj.lask.[[#This Row],[Harkinnanvarainen korotus 8, €]]</f>
        <v>8939257</v>
      </c>
      <c r="AP62" s="102">
        <f>Ohj.lask.[[#This Row],[Jaettava € 2]]</f>
        <v>2380998</v>
      </c>
      <c r="AQ62" s="10">
        <f>Ohj.lask.[[#This Row],[Jaettava € 3]]+Ohj.lask.[[#This Row],[Jaettava € 4]]+Ohj.lask.[[#This Row],[Jaettava € 5]]+Ohj.lask.[[#This Row],[Jaettava € 6]]+Ohj.lask.[[#This Row],[Jaettava € 7]]</f>
        <v>1191888</v>
      </c>
      <c r="AR62" s="33">
        <f>Ohj.lask.[[#This Row],[Jaettava € 8]]+Ohj.lask.[[#This Row],[Harkinnanvarainen korotus 8, €]]</f>
        <v>12512143</v>
      </c>
      <c r="AS62" s="33">
        <v>0</v>
      </c>
      <c r="AT62" s="16">
        <f>Ohj.lask.[[#This Row],[Perus-, suoritus- ja vaikuttavuusrahoitus yhteensä, €]]+Ohj.lask.[[#This Row],[Alv-korvaus, €]]</f>
        <v>12512143</v>
      </c>
    </row>
    <row r="63" spans="1:46" ht="12.75" customHeight="1" x14ac:dyDescent="0.2">
      <c r="A63" s="3" t="s">
        <v>243</v>
      </c>
      <c r="B63" s="7" t="s">
        <v>439</v>
      </c>
      <c r="C63" s="7" t="s">
        <v>180</v>
      </c>
      <c r="D63" s="7" t="s">
        <v>324</v>
      </c>
      <c r="E63" s="7" t="s">
        <v>373</v>
      </c>
      <c r="F63" s="105">
        <v>6490</v>
      </c>
      <c r="G63" s="106">
        <f>Ohj.lask.[[#This Row],[Tavoitteelliset opiskelija-vuodet]]-Ohj.lask.[[#This Row],[Järjestämisluvan opisk.vuosien vähimmäismäärä]]</f>
        <v>266</v>
      </c>
      <c r="H63" s="32">
        <v>6756</v>
      </c>
      <c r="I63" s="8">
        <f>IFERROR(VLOOKUP($A63,'2.1 Toteut. op.vuodet'!$A:$T,COLUMN('2.1 Toteut. op.vuodet'!S:S),FALSE),0)</f>
        <v>1.1561286527063519</v>
      </c>
      <c r="J63" s="74">
        <f t="shared" si="1"/>
        <v>7810.8</v>
      </c>
      <c r="K63" s="9">
        <f>IFERROR(Ohj.lask.[[#This Row],[Painotetut opiskelija-vuodet]]/Ohj.lask.[[#Totals],[Painotetut opiskelija-vuodet]],0)</f>
        <v>3.6038014596438642E-2</v>
      </c>
      <c r="L63" s="10">
        <f>ROUND(IFERROR('1.1 Jakotaulu'!L$12*Ohj.lask.[[#This Row],[%-osuus 1]],0),0)</f>
        <v>53303683</v>
      </c>
      <c r="M63" s="132">
        <f>IFERROR(ROUND(VLOOKUP($A63,'2.2 Tutk. ja osien pain. pist.'!$A:$Q,COLUMN('2.2 Tutk. ja osien pain. pist.'!O:O),FALSE),1),0)</f>
        <v>628575.4</v>
      </c>
      <c r="N63" s="9">
        <f>IFERROR(Ohj.lask.[[#This Row],[Painotetut pisteet 2]]/Ohj.lask.[[#Totals],[Painotetut pisteet 2]],0)</f>
        <v>4.1032979024564188E-2</v>
      </c>
      <c r="O63" s="16">
        <f>ROUND(IFERROR('1.1 Jakotaulu'!K$13*Ohj.lask.[[#This Row],[%-osuus 2]],0),0)</f>
        <v>17632117</v>
      </c>
      <c r="P63" s="133">
        <f>IFERROR(ROUND(VLOOKUP($A63,'2.3 Työll. ja jatko-opisk.'!$A:$Z,COLUMN('2.3 Työll. ja jatko-opisk.'!L:L),FALSE),1),0)</f>
        <v>12942.8</v>
      </c>
      <c r="Q63" s="9">
        <f>IFERROR(Ohj.lask.[[#This Row],[Painotetut pisteet 3]]/Ohj.lask.[[#Totals],[Painotetut pisteet 3]],0)</f>
        <v>4.1412189315790805E-2</v>
      </c>
      <c r="R63" s="10">
        <f>ROUND(IFERROR('1.1 Jakotaulu'!L$15*Ohj.lask.[[#This Row],[%-osuus 3]],0),0)</f>
        <v>6228273</v>
      </c>
      <c r="S63" s="132">
        <f>IFERROR(ROUND(VLOOKUP($A63,'2.4 Aloittaneet palaute'!$A:$I,COLUMN('2.4 Aloittaneet palaute'!H:H),FALSE),1),0)</f>
        <v>53351.1</v>
      </c>
      <c r="T63" s="13">
        <f>IFERROR(Ohj.lask.[[#This Row],[Painotetut pisteet 4]]/Ohj.lask.[[#Totals],[Painotetut pisteet 4]],0)</f>
        <v>3.2006273220192435E-2</v>
      </c>
      <c r="U63" s="16">
        <f>ROUND(IFERROR('1.1 Jakotaulu'!M$17*Ohj.lask.[[#This Row],[%-osuus 4]],0),0)</f>
        <v>257874</v>
      </c>
      <c r="V63" s="132">
        <f>IFERROR(ROUND(VLOOKUP($A63,'2.5 Päättäneet palaute'!$A:$Z,COLUMN('2.5 Päättäneet palaute'!X:X),FALSE),1),0)</f>
        <v>381392.2</v>
      </c>
      <c r="W63" s="13">
        <f>IFERROR(Ohj.lask.[[#This Row],[Painotetut pisteet 5]]/Ohj.lask.[[#Totals],[Painotetut pisteet 5]],0)</f>
        <v>3.7291102124886344E-2</v>
      </c>
      <c r="X63" s="16">
        <f>ROUND(IFERROR('1.1 Jakotaulu'!M$18*Ohj.lask.[[#This Row],[%-osuus 5]],0),0)</f>
        <v>901362</v>
      </c>
      <c r="Y63" s="132">
        <f>IFERROR(ROUND(VLOOKUP($A63,'2.6 Työpaikkaohjaajakysely'!B:J,COLUMN('2.6 Työpaikkaohjaajakysely'!H:H),FALSE),1),0)</f>
        <v>14189600.699999999</v>
      </c>
      <c r="Z63" s="9">
        <f>IFERROR(Ohj.lask.[[#This Row],[Painotetut pisteet 6]]/Ohj.lask.[[#Totals],[Painotetut pisteet 6]],0)</f>
        <v>4.1807039199360622E-2</v>
      </c>
      <c r="AA63" s="16">
        <f>ROUND(IFERROR('1.1 Jakotaulu'!M$20*Ohj.lask.[[#This Row],[%-osuus 6]],0),0)</f>
        <v>1010516</v>
      </c>
      <c r="AB63" s="132">
        <f>IFERROR(ROUND(VLOOKUP($A63,'2.7 Työpaikkakysely'!B:H,COLUMN('2.7 Työpaikkakysely'!F:F),FALSE),1),0)</f>
        <v>10960558.300000001</v>
      </c>
      <c r="AC63" s="9">
        <f>IFERROR(Ohj.lask.[[#This Row],[Pisteet 7]]/Ohj.lask.[[#Totals],[Pisteet 7]],0)</f>
        <v>5.9398107816615232E-2</v>
      </c>
      <c r="AD63" s="16">
        <f>ROUND(IFERROR('1.1 Jakotaulu'!M$21*Ohj.lask.[[#This Row],[%-osuus 7]],0),0)</f>
        <v>478570</v>
      </c>
      <c r="AE63" s="12">
        <f>IFERROR(Ohj.lask.[[#This Row],[Jaettava € 8]]/Ohj.lask.[[#Totals],[Jaettava € 8]],"")</f>
        <v>3.7582561721535603E-2</v>
      </c>
      <c r="AF6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79812395</v>
      </c>
      <c r="AG63" s="102">
        <v>0</v>
      </c>
      <c r="AH63" s="102">
        <v>0</v>
      </c>
      <c r="AI63" s="102">
        <v>0</v>
      </c>
      <c r="AJ63" s="102">
        <v>0</v>
      </c>
      <c r="AK63" s="102">
        <v>103000</v>
      </c>
      <c r="AL63" s="107">
        <v>49000</v>
      </c>
      <c r="AM63" s="107">
        <v>382146</v>
      </c>
      <c r="AN6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534146</v>
      </c>
      <c r="AO63" s="10">
        <f>Ohj.lask.[[#This Row],[Jaettava € 1]]+Ohj.lask.[[#This Row],[Harkinnanvarainen korotus 8, €]]</f>
        <v>53837829</v>
      </c>
      <c r="AP63" s="102">
        <f>Ohj.lask.[[#This Row],[Jaettava € 2]]</f>
        <v>17632117</v>
      </c>
      <c r="AQ63" s="10">
        <f>Ohj.lask.[[#This Row],[Jaettava € 3]]+Ohj.lask.[[#This Row],[Jaettava € 4]]+Ohj.lask.[[#This Row],[Jaettava € 5]]+Ohj.lask.[[#This Row],[Jaettava € 6]]+Ohj.lask.[[#This Row],[Jaettava € 7]]</f>
        <v>8876595</v>
      </c>
      <c r="AR63" s="33">
        <f>Ohj.lask.[[#This Row],[Jaettava € 8]]+Ohj.lask.[[#This Row],[Harkinnanvarainen korotus 8, €]]</f>
        <v>80346541</v>
      </c>
      <c r="AS63" s="33">
        <v>0</v>
      </c>
      <c r="AT63" s="16">
        <f>Ohj.lask.[[#This Row],[Perus-, suoritus- ja vaikuttavuusrahoitus yhteensä, €]]+Ohj.lask.[[#This Row],[Alv-korvaus, €]]</f>
        <v>80346541</v>
      </c>
    </row>
    <row r="64" spans="1:46" ht="15" customHeight="1" x14ac:dyDescent="0.2">
      <c r="A64" s="3" t="s">
        <v>268</v>
      </c>
      <c r="B64" s="7" t="s">
        <v>60</v>
      </c>
      <c r="C64" s="7" t="s">
        <v>255</v>
      </c>
      <c r="D64" s="7" t="s">
        <v>324</v>
      </c>
      <c r="E64" s="7" t="s">
        <v>373</v>
      </c>
      <c r="F64" s="105">
        <v>2108</v>
      </c>
      <c r="G64" s="106">
        <f>Ohj.lask.[[#This Row],[Tavoitteelliset opiskelija-vuodet]]-Ohj.lask.[[#This Row],[Järjestämisluvan opisk.vuosien vähimmäismäärä]]</f>
        <v>197</v>
      </c>
      <c r="H64" s="32">
        <v>2305</v>
      </c>
      <c r="I64" s="8">
        <f>IFERROR(VLOOKUP($A64,'2.1 Toteut. op.vuodet'!$A:$T,COLUMN('2.1 Toteut. op.vuodet'!S:S),FALSE),0)</f>
        <v>1.0929109188840616</v>
      </c>
      <c r="J64" s="74">
        <f t="shared" si="1"/>
        <v>2519.1999999999998</v>
      </c>
      <c r="K64" s="9">
        <f>IFERROR(Ohj.lask.[[#This Row],[Painotetut opiskelija-vuodet]]/Ohj.lask.[[#Totals],[Painotetut opiskelija-vuodet]],0)</f>
        <v>1.1623260917108136E-2</v>
      </c>
      <c r="L64" s="10">
        <f>ROUND(IFERROR('1.1 Jakotaulu'!L$12*Ohj.lask.[[#This Row],[%-osuus 1]],0),0)</f>
        <v>17191919</v>
      </c>
      <c r="M64" s="132">
        <f>IFERROR(ROUND(VLOOKUP($A64,'2.2 Tutk. ja osien pain. pist.'!$A:$Q,COLUMN('2.2 Tutk. ja osien pain. pist.'!O:O),FALSE),1),0)</f>
        <v>177189.4</v>
      </c>
      <c r="N64" s="9">
        <f>IFERROR(Ohj.lask.[[#This Row],[Painotetut pisteet 2]]/Ohj.lask.[[#Totals],[Painotetut pisteet 2]],0)</f>
        <v>1.1566804767693921E-2</v>
      </c>
      <c r="O64" s="16">
        <f>ROUND(IFERROR('1.1 Jakotaulu'!K$13*Ohj.lask.[[#This Row],[%-osuus 2]],0),0)</f>
        <v>4970325</v>
      </c>
      <c r="P64" s="133">
        <f>IFERROR(ROUND(VLOOKUP($A64,'2.3 Työll. ja jatko-opisk.'!$A:$Z,COLUMN('2.3 Työll. ja jatko-opisk.'!L:L),FALSE),1),0)</f>
        <v>3720.2</v>
      </c>
      <c r="Q64" s="9">
        <f>IFERROR(Ohj.lask.[[#This Row],[Painotetut pisteet 3]]/Ohj.lask.[[#Totals],[Painotetut pisteet 3]],0)</f>
        <v>1.190326874344075E-2</v>
      </c>
      <c r="R64" s="10">
        <f>ROUND(IFERROR('1.1 Jakotaulu'!L$15*Ohj.lask.[[#This Row],[%-osuus 3]],0),0)</f>
        <v>1790217</v>
      </c>
      <c r="S64" s="132">
        <f>IFERROR(ROUND(VLOOKUP($A64,'2.4 Aloittaneet palaute'!$A:$I,COLUMN('2.4 Aloittaneet palaute'!H:H),FALSE),1),0)</f>
        <v>19846.2</v>
      </c>
      <c r="T64" s="13">
        <f>IFERROR(Ohj.lask.[[#This Row],[Painotetut pisteet 4]]/Ohj.lask.[[#Totals],[Painotetut pisteet 4]],0)</f>
        <v>1.1906088151557947E-2</v>
      </c>
      <c r="U64" s="16">
        <f>ROUND(IFERROR('1.1 Jakotaulu'!M$17*Ohj.lask.[[#This Row],[%-osuus 4]],0),0)</f>
        <v>95927</v>
      </c>
      <c r="V64" s="132">
        <f>IFERROR(ROUND(VLOOKUP($A64,'2.5 Päättäneet palaute'!$A:$Z,COLUMN('2.5 Päättäneet palaute'!X:X),FALSE),1),0)</f>
        <v>124029.6</v>
      </c>
      <c r="W64" s="13">
        <f>IFERROR(Ohj.lask.[[#This Row],[Painotetut pisteet 5]]/Ohj.lask.[[#Totals],[Painotetut pisteet 5]],0)</f>
        <v>1.2127150162244544E-2</v>
      </c>
      <c r="X64" s="16">
        <f>ROUND(IFERROR('1.1 Jakotaulu'!M$18*Ohj.lask.[[#This Row],[%-osuus 5]],0),0)</f>
        <v>293125</v>
      </c>
      <c r="Y64" s="132">
        <f>IFERROR(ROUND(VLOOKUP($A64,'2.6 Työpaikkaohjaajakysely'!B:J,COLUMN('2.6 Työpaikkaohjaajakysely'!H:H),FALSE),1),0)</f>
        <v>4220778.9000000004</v>
      </c>
      <c r="Z64" s="9">
        <f>IFERROR(Ohj.lask.[[#This Row],[Painotetut pisteet 6]]/Ohj.lask.[[#Totals],[Painotetut pisteet 6]],0)</f>
        <v>1.2435745913846205E-2</v>
      </c>
      <c r="AA64" s="16">
        <f>ROUND(IFERROR('1.1 Jakotaulu'!M$20*Ohj.lask.[[#This Row],[%-osuus 6]],0),0)</f>
        <v>300584</v>
      </c>
      <c r="AB64" s="132">
        <f>IFERROR(ROUND(VLOOKUP($A64,'2.7 Työpaikkakysely'!B:H,COLUMN('2.7 Työpaikkakysely'!F:F),FALSE),1),0)</f>
        <v>3190670.4</v>
      </c>
      <c r="AC64" s="9">
        <f>IFERROR(Ohj.lask.[[#This Row],[Pisteet 7]]/Ohj.lask.[[#Totals],[Pisteet 7]],0)</f>
        <v>1.7291070330466909E-2</v>
      </c>
      <c r="AD64" s="16">
        <f>ROUND(IFERROR('1.1 Jakotaulu'!M$21*Ohj.lask.[[#This Row],[%-osuus 7]],0),0)</f>
        <v>139314</v>
      </c>
      <c r="AE64" s="12">
        <f>IFERROR(Ohj.lask.[[#This Row],[Jaettava € 8]]/Ohj.lask.[[#Totals],[Jaettava € 8]],"")</f>
        <v>1.1669226420961822E-2</v>
      </c>
      <c r="AF6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24781411</v>
      </c>
      <c r="AG64" s="102">
        <v>0</v>
      </c>
      <c r="AH64" s="102">
        <v>0</v>
      </c>
      <c r="AI64" s="102">
        <v>0</v>
      </c>
      <c r="AJ64" s="102">
        <v>0</v>
      </c>
      <c r="AK64" s="102">
        <v>38000</v>
      </c>
      <c r="AL64" s="107">
        <v>0</v>
      </c>
      <c r="AM64" s="107">
        <v>102910</v>
      </c>
      <c r="AN6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140910</v>
      </c>
      <c r="AO64" s="10">
        <f>Ohj.lask.[[#This Row],[Jaettava € 1]]+Ohj.lask.[[#This Row],[Harkinnanvarainen korotus 8, €]]</f>
        <v>17332829</v>
      </c>
      <c r="AP64" s="102">
        <f>Ohj.lask.[[#This Row],[Jaettava € 2]]</f>
        <v>4970325</v>
      </c>
      <c r="AQ64" s="10">
        <f>Ohj.lask.[[#This Row],[Jaettava € 3]]+Ohj.lask.[[#This Row],[Jaettava € 4]]+Ohj.lask.[[#This Row],[Jaettava € 5]]+Ohj.lask.[[#This Row],[Jaettava € 6]]+Ohj.lask.[[#This Row],[Jaettava € 7]]</f>
        <v>2619167</v>
      </c>
      <c r="AR64" s="33">
        <f>Ohj.lask.[[#This Row],[Jaettava € 8]]+Ohj.lask.[[#This Row],[Harkinnanvarainen korotus 8, €]]</f>
        <v>24922321</v>
      </c>
      <c r="AS64" s="33">
        <v>0</v>
      </c>
      <c r="AT64" s="16">
        <f>Ohj.lask.[[#This Row],[Perus-, suoritus- ja vaikuttavuusrahoitus yhteensä, €]]+Ohj.lask.[[#This Row],[Alv-korvaus, €]]</f>
        <v>24922321</v>
      </c>
    </row>
    <row r="65" spans="1:46" ht="12.75" customHeight="1" x14ac:dyDescent="0.2">
      <c r="A65" s="3" t="s">
        <v>473</v>
      </c>
      <c r="B65" s="7" t="s">
        <v>474</v>
      </c>
      <c r="C65" s="7" t="s">
        <v>187</v>
      </c>
      <c r="D65" s="7" t="s">
        <v>325</v>
      </c>
      <c r="E65" s="7" t="s">
        <v>373</v>
      </c>
      <c r="F65" s="105">
        <v>2333</v>
      </c>
      <c r="G65" s="106">
        <f>Ohj.lask.[[#This Row],[Tavoitteelliset opiskelija-vuodet]]-Ohj.lask.[[#This Row],[Järjestämisluvan opisk.vuosien vähimmäismäärä]]</f>
        <v>141</v>
      </c>
      <c r="H65" s="32">
        <v>2474</v>
      </c>
      <c r="I65" s="8">
        <f>IFERROR(VLOOKUP($A65,'2.1 Toteut. op.vuodet'!$A:$T,COLUMN('2.1 Toteut. op.vuodet'!S:S),FALSE),0)</f>
        <v>1.0444036660196456</v>
      </c>
      <c r="J65" s="74">
        <f t="shared" si="1"/>
        <v>2583.9</v>
      </c>
      <c r="K65" s="9">
        <f>IFERROR(Ohj.lask.[[#This Row],[Painotetut opiskelija-vuodet]]/Ohj.lask.[[#Totals],[Painotetut opiskelija-vuodet]],0)</f>
        <v>1.1921778296171687E-2</v>
      </c>
      <c r="L65" s="10">
        <f>ROUND(IFERROR('1.1 Jakotaulu'!L$12*Ohj.lask.[[#This Row],[%-osuus 1]],0),0)</f>
        <v>17633455</v>
      </c>
      <c r="M65" s="132">
        <f>IFERROR(ROUND(VLOOKUP($A65,'2.2 Tutk. ja osien pain. pist.'!$A:$Q,COLUMN('2.2 Tutk. ja osien pain. pist.'!O:O),FALSE),1),0)</f>
        <v>184958.8</v>
      </c>
      <c r="N65" s="9">
        <f>IFERROR(Ohj.lask.[[#This Row],[Painotetut pisteet 2]]/Ohj.lask.[[#Totals],[Painotetut pisteet 2]],0)</f>
        <v>1.2073985970193175E-2</v>
      </c>
      <c r="O65" s="16">
        <f>ROUND(IFERROR('1.1 Jakotaulu'!K$13*Ohj.lask.[[#This Row],[%-osuus 2]],0),0)</f>
        <v>5188264</v>
      </c>
      <c r="P65" s="133">
        <f>IFERROR(ROUND(VLOOKUP($A65,'2.3 Työll. ja jatko-opisk.'!$A:$Z,COLUMN('2.3 Työll. ja jatko-opisk.'!L:L),FALSE),1),0)</f>
        <v>4437.2</v>
      </c>
      <c r="Q65" s="9">
        <f>IFERROR(Ohj.lask.[[#This Row],[Painotetut pisteet 3]]/Ohj.lask.[[#Totals],[Painotetut pisteet 3]],0)</f>
        <v>1.4197404459006316E-2</v>
      </c>
      <c r="R65" s="10">
        <f>ROUND(IFERROR('1.1 Jakotaulu'!L$15*Ohj.lask.[[#This Row],[%-osuus 3]],0),0)</f>
        <v>2135248</v>
      </c>
      <c r="S65" s="132">
        <f>IFERROR(ROUND(VLOOKUP($A65,'2.4 Aloittaneet palaute'!$A:$I,COLUMN('2.4 Aloittaneet palaute'!H:H),FALSE),1),0)</f>
        <v>23100.400000000001</v>
      </c>
      <c r="T65" s="13">
        <f>IFERROR(Ohj.lask.[[#This Row],[Painotetut pisteet 4]]/Ohj.lask.[[#Totals],[Painotetut pisteet 4]],0)</f>
        <v>1.3858340575840676E-2</v>
      </c>
      <c r="U65" s="16">
        <f>ROUND(IFERROR('1.1 Jakotaulu'!M$17*Ohj.lask.[[#This Row],[%-osuus 4]],0),0)</f>
        <v>111656</v>
      </c>
      <c r="V65" s="132">
        <f>IFERROR(ROUND(VLOOKUP($A65,'2.5 Päättäneet palaute'!$A:$Z,COLUMN('2.5 Päättäneet palaute'!X:X),FALSE),1),0)</f>
        <v>130762.6</v>
      </c>
      <c r="W65" s="13">
        <f>IFERROR(Ohj.lask.[[#This Row],[Painotetut pisteet 5]]/Ohj.lask.[[#Totals],[Painotetut pisteet 5]],0)</f>
        <v>1.2785477706978967E-2</v>
      </c>
      <c r="X65" s="16">
        <f>ROUND(IFERROR('1.1 Jakotaulu'!M$18*Ohj.lask.[[#This Row],[%-osuus 5]],0),0)</f>
        <v>309037</v>
      </c>
      <c r="Y65" s="132">
        <f>IFERROR(ROUND(VLOOKUP($A65,'2.6 Työpaikkaohjaajakysely'!B:J,COLUMN('2.6 Työpaikkaohjaajakysely'!H:H),FALSE),1),0)</f>
        <v>6142403.7000000002</v>
      </c>
      <c r="Z65" s="9">
        <f>IFERROR(Ohj.lask.[[#This Row],[Painotetut pisteet 6]]/Ohj.lask.[[#Totals],[Painotetut pisteet 6]],0)</f>
        <v>1.8097458673674852E-2</v>
      </c>
      <c r="AA65" s="16">
        <f>ROUND(IFERROR('1.1 Jakotaulu'!M$20*Ohj.lask.[[#This Row],[%-osuus 6]],0),0)</f>
        <v>437433</v>
      </c>
      <c r="AB65" s="132">
        <f>IFERROR(ROUND(VLOOKUP($A65,'2.7 Työpaikkakysely'!B:H,COLUMN('2.7 Työpaikkakysely'!F:F),FALSE),1),0)</f>
        <v>3201869.4</v>
      </c>
      <c r="AC65" s="9">
        <f>IFERROR(Ohj.lask.[[#This Row],[Pisteet 7]]/Ohj.lask.[[#Totals],[Pisteet 7]],0)</f>
        <v>1.7351760615690638E-2</v>
      </c>
      <c r="AD65" s="16">
        <f>ROUND(IFERROR('1.1 Jakotaulu'!M$21*Ohj.lask.[[#This Row],[%-osuus 7]],0),0)</f>
        <v>139803</v>
      </c>
      <c r="AE65" s="12">
        <f>IFERROR(Ohj.lask.[[#This Row],[Jaettava € 8]]/Ohj.lask.[[#Totals],[Jaettava € 8]],"")</f>
        <v>1.2221804406396242E-2</v>
      </c>
      <c r="AF6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25954896</v>
      </c>
      <c r="AG65" s="102">
        <v>55000</v>
      </c>
      <c r="AH65" s="102">
        <v>0</v>
      </c>
      <c r="AI65" s="102">
        <v>0</v>
      </c>
      <c r="AJ65" s="102">
        <v>0</v>
      </c>
      <c r="AK65" s="102">
        <v>41000</v>
      </c>
      <c r="AL65" s="107">
        <v>0</v>
      </c>
      <c r="AM65" s="107">
        <v>85206</v>
      </c>
      <c r="AN6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181206</v>
      </c>
      <c r="AO65" s="10">
        <f>Ohj.lask.[[#This Row],[Jaettava € 1]]+Ohj.lask.[[#This Row],[Harkinnanvarainen korotus 8, €]]</f>
        <v>17814661</v>
      </c>
      <c r="AP65" s="102">
        <f>Ohj.lask.[[#This Row],[Jaettava € 2]]</f>
        <v>5188264</v>
      </c>
      <c r="AQ65" s="10">
        <f>Ohj.lask.[[#This Row],[Jaettava € 3]]+Ohj.lask.[[#This Row],[Jaettava € 4]]+Ohj.lask.[[#This Row],[Jaettava € 5]]+Ohj.lask.[[#This Row],[Jaettava € 6]]+Ohj.lask.[[#This Row],[Jaettava € 7]]</f>
        <v>3133177</v>
      </c>
      <c r="AR65" s="33">
        <f>Ohj.lask.[[#This Row],[Jaettava € 8]]+Ohj.lask.[[#This Row],[Harkinnanvarainen korotus 8, €]]</f>
        <v>26136102</v>
      </c>
      <c r="AS65" s="33">
        <v>2541217</v>
      </c>
      <c r="AT65" s="16">
        <f>Ohj.lask.[[#This Row],[Perus-, suoritus- ja vaikuttavuusrahoitus yhteensä, €]]+Ohj.lask.[[#This Row],[Alv-korvaus, €]]</f>
        <v>28677319</v>
      </c>
    </row>
    <row r="66" spans="1:46" ht="12.75" x14ac:dyDescent="0.2">
      <c r="A66" s="3" t="s">
        <v>264</v>
      </c>
      <c r="B66" s="7" t="s">
        <v>61</v>
      </c>
      <c r="C66" s="7" t="s">
        <v>180</v>
      </c>
      <c r="D66" s="7" t="s">
        <v>325</v>
      </c>
      <c r="E66" s="7" t="s">
        <v>373</v>
      </c>
      <c r="F66" s="105">
        <v>82</v>
      </c>
      <c r="G66" s="106">
        <f>Ohj.lask.[[#This Row],[Tavoitteelliset opiskelija-vuodet]]-Ohj.lask.[[#This Row],[Järjestämisluvan opisk.vuosien vähimmäismäärä]]</f>
        <v>0</v>
      </c>
      <c r="H66" s="32">
        <v>82</v>
      </c>
      <c r="I66" s="8">
        <f>IFERROR(VLOOKUP($A66,'2.1 Toteut. op.vuodet'!$A:$T,COLUMN('2.1 Toteut. op.vuodet'!S:S),FALSE),0)</f>
        <v>0.90312745295869556</v>
      </c>
      <c r="J66" s="74">
        <f t="shared" si="1"/>
        <v>74.099999999999994</v>
      </c>
      <c r="K66" s="9">
        <f>IFERROR(Ohj.lask.[[#This Row],[Painotetut opiskelija-vuodet]]/Ohj.lask.[[#Totals],[Painotetut opiskelija-vuodet]],0)</f>
        <v>3.4188775561992414E-4</v>
      </c>
      <c r="L66" s="10">
        <f>ROUND(IFERROR('1.1 Jakotaulu'!L$12*Ohj.lask.[[#This Row],[%-osuus 1]],0),0)</f>
        <v>505685</v>
      </c>
      <c r="M66" s="132">
        <f>IFERROR(ROUND(VLOOKUP($A66,'2.2 Tutk. ja osien pain. pist.'!$A:$Q,COLUMN('2.2 Tutk. ja osien pain. pist.'!O:O),FALSE),1),0)</f>
        <v>6414.6</v>
      </c>
      <c r="N66" s="9">
        <f>IFERROR(Ohj.lask.[[#This Row],[Painotetut pisteet 2]]/Ohj.lask.[[#Totals],[Painotetut pisteet 2]],0)</f>
        <v>4.1874077040076572E-4</v>
      </c>
      <c r="O66" s="16">
        <f>ROUND(IFERROR('1.1 Jakotaulu'!K$13*Ohj.lask.[[#This Row],[%-osuus 2]],0),0)</f>
        <v>179935</v>
      </c>
      <c r="P66" s="133">
        <f>IFERROR(ROUND(VLOOKUP($A66,'2.3 Työll. ja jatko-opisk.'!$A:$Z,COLUMN('2.3 Työll. ja jatko-opisk.'!L:L),FALSE),1),0)</f>
        <v>184.6</v>
      </c>
      <c r="Q66" s="9">
        <f>IFERROR(Ohj.lask.[[#This Row],[Painotetut pisteet 3]]/Ohj.lask.[[#Totals],[Painotetut pisteet 3]],0)</f>
        <v>5.9065195689456552E-4</v>
      </c>
      <c r="R66" s="10">
        <f>ROUND(IFERROR('1.1 Jakotaulu'!L$15*Ohj.lask.[[#This Row],[%-osuus 3]],0),0)</f>
        <v>88832</v>
      </c>
      <c r="S66" s="132">
        <f>IFERROR(ROUND(VLOOKUP($A66,'2.4 Aloittaneet palaute'!$A:$I,COLUMN('2.4 Aloittaneet palaute'!H:H),FALSE),1),0)</f>
        <v>1602.5</v>
      </c>
      <c r="T66" s="13">
        <f>IFERROR(Ohj.lask.[[#This Row],[Painotetut pisteet 4]]/Ohj.lask.[[#Totals],[Painotetut pisteet 4]],0)</f>
        <v>9.6136823486972869E-4</v>
      </c>
      <c r="U66" s="16">
        <f>ROUND(IFERROR('1.1 Jakotaulu'!M$17*Ohj.lask.[[#This Row],[%-osuus 4]],0),0)</f>
        <v>7746</v>
      </c>
      <c r="V66" s="132">
        <f>IFERROR(ROUND(VLOOKUP($A66,'2.5 Päättäneet palaute'!$A:$Z,COLUMN('2.5 Päättäneet palaute'!X:X),FALSE),1),0)</f>
        <v>7580.9</v>
      </c>
      <c r="W66" s="13">
        <f>IFERROR(Ohj.lask.[[#This Row],[Painotetut pisteet 5]]/Ohj.lask.[[#Totals],[Painotetut pisteet 5]],0)</f>
        <v>7.4123203384482135E-4</v>
      </c>
      <c r="X66" s="16">
        <f>ROUND(IFERROR('1.1 Jakotaulu'!M$18*Ohj.lask.[[#This Row],[%-osuus 5]],0),0)</f>
        <v>17916</v>
      </c>
      <c r="Y66" s="132">
        <f>IFERROR(ROUND(VLOOKUP($A66,'2.6 Työpaikkaohjaajakysely'!B:J,COLUMN('2.6 Työpaikkaohjaajakysely'!H:H),FALSE),1),0)</f>
        <v>199233.7</v>
      </c>
      <c r="Z66" s="9">
        <f>IFERROR(Ohj.lask.[[#This Row],[Painotetut pisteet 6]]/Ohj.lask.[[#Totals],[Painotetut pisteet 6]],0)</f>
        <v>5.8700532043397496E-4</v>
      </c>
      <c r="AA66" s="16">
        <f>ROUND(IFERROR('1.1 Jakotaulu'!M$20*Ohj.lask.[[#This Row],[%-osuus 6]],0),0)</f>
        <v>14188</v>
      </c>
      <c r="AB66" s="132">
        <f>IFERROR(ROUND(VLOOKUP($A66,'2.7 Työpaikkakysely'!B:H,COLUMN('2.7 Työpaikkakysely'!F:F),FALSE),1),0)</f>
        <v>63951.5</v>
      </c>
      <c r="AC66" s="9">
        <f>IFERROR(Ohj.lask.[[#This Row],[Pisteet 7]]/Ohj.lask.[[#Totals],[Pisteet 7]],0)</f>
        <v>3.4656976296857696E-4</v>
      </c>
      <c r="AD66" s="16">
        <f>ROUND(IFERROR('1.1 Jakotaulu'!M$21*Ohj.lask.[[#This Row],[%-osuus 7]],0),0)</f>
        <v>2792</v>
      </c>
      <c r="AE66" s="12">
        <f>IFERROR(Ohj.lask.[[#This Row],[Jaettava € 8]]/Ohj.lask.[[#Totals],[Jaettava € 8]],"")</f>
        <v>3.8475835347750699E-4</v>
      </c>
      <c r="AF6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817094</v>
      </c>
      <c r="AG66" s="102">
        <v>0</v>
      </c>
      <c r="AH66" s="102">
        <v>0</v>
      </c>
      <c r="AI66" s="102">
        <v>0</v>
      </c>
      <c r="AJ66" s="102">
        <v>0</v>
      </c>
      <c r="AK66" s="102">
        <v>0</v>
      </c>
      <c r="AL66" s="107">
        <v>0</v>
      </c>
      <c r="AM66" s="107">
        <v>0</v>
      </c>
      <c r="AN6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66" s="10">
        <f>Ohj.lask.[[#This Row],[Jaettava € 1]]+Ohj.lask.[[#This Row],[Harkinnanvarainen korotus 8, €]]</f>
        <v>505685</v>
      </c>
      <c r="AP66" s="102">
        <f>Ohj.lask.[[#This Row],[Jaettava € 2]]</f>
        <v>179935</v>
      </c>
      <c r="AQ66" s="10">
        <f>Ohj.lask.[[#This Row],[Jaettava € 3]]+Ohj.lask.[[#This Row],[Jaettava € 4]]+Ohj.lask.[[#This Row],[Jaettava € 5]]+Ohj.lask.[[#This Row],[Jaettava € 6]]+Ohj.lask.[[#This Row],[Jaettava € 7]]</f>
        <v>131474</v>
      </c>
      <c r="AR66" s="33">
        <f>Ohj.lask.[[#This Row],[Jaettava € 8]]+Ohj.lask.[[#This Row],[Harkinnanvarainen korotus 8, €]]</f>
        <v>817094</v>
      </c>
      <c r="AS66" s="33">
        <v>36435</v>
      </c>
      <c r="AT66" s="16">
        <f>Ohj.lask.[[#This Row],[Perus-, suoritus- ja vaikuttavuusrahoitus yhteensä, €]]+Ohj.lask.[[#This Row],[Alv-korvaus, €]]</f>
        <v>853529</v>
      </c>
    </row>
    <row r="67" spans="1:46" ht="12.75" x14ac:dyDescent="0.2">
      <c r="A67" s="3" t="s">
        <v>263</v>
      </c>
      <c r="B67" s="7" t="s">
        <v>62</v>
      </c>
      <c r="C67" s="7" t="s">
        <v>177</v>
      </c>
      <c r="D67" s="7" t="s">
        <v>325</v>
      </c>
      <c r="E67" s="7" t="s">
        <v>373</v>
      </c>
      <c r="F67" s="105">
        <v>48</v>
      </c>
      <c r="G67" s="106">
        <f>Ohj.lask.[[#This Row],[Tavoitteelliset opiskelija-vuodet]]-Ohj.lask.[[#This Row],[Järjestämisluvan opisk.vuosien vähimmäismäärä]]</f>
        <v>0</v>
      </c>
      <c r="H67" s="32">
        <v>48</v>
      </c>
      <c r="I67" s="8">
        <f>IFERROR(VLOOKUP($A67,'2.1 Toteut. op.vuodet'!$A:$T,COLUMN('2.1 Toteut. op.vuodet'!S:S),FALSE),0)</f>
        <v>1.4866376242720647</v>
      </c>
      <c r="J67" s="74">
        <f t="shared" si="1"/>
        <v>71.400000000000006</v>
      </c>
      <c r="K67" s="9">
        <f>IFERROR(Ohj.lask.[[#This Row],[Painotetut opiskelija-vuodet]]/Ohj.lask.[[#Totals],[Painotetut opiskelija-vuodet]],0)</f>
        <v>3.2943030703458278E-4</v>
      </c>
      <c r="L67" s="10">
        <f>ROUND(IFERROR('1.1 Jakotaulu'!L$12*Ohj.lask.[[#This Row],[%-osuus 1]],0),0)</f>
        <v>487259</v>
      </c>
      <c r="M67" s="132">
        <f>IFERROR(ROUND(VLOOKUP($A67,'2.2 Tutk. ja osien pain. pist.'!$A:$Q,COLUMN('2.2 Tutk. ja osien pain. pist.'!O:O),FALSE),1),0)</f>
        <v>9189.4</v>
      </c>
      <c r="N67" s="9">
        <f>IFERROR(Ohj.lask.[[#This Row],[Painotetut pisteet 2]]/Ohj.lask.[[#Totals],[Painotetut pisteet 2]],0)</f>
        <v>5.9987784671231188E-4</v>
      </c>
      <c r="O67" s="16">
        <f>ROUND(IFERROR('1.1 Jakotaulu'!K$13*Ohj.lask.[[#This Row],[%-osuus 2]],0),0)</f>
        <v>257771</v>
      </c>
      <c r="P67" s="133">
        <f>IFERROR(ROUND(VLOOKUP($A67,'2.3 Työll. ja jatko-opisk.'!$A:$Z,COLUMN('2.3 Työll. ja jatko-opisk.'!L:L),FALSE),1),0)</f>
        <v>84.1</v>
      </c>
      <c r="Q67" s="9">
        <f>IFERROR(Ohj.lask.[[#This Row],[Painotetut pisteet 3]]/Ohj.lask.[[#Totals],[Painotetut pisteet 3]],0)</f>
        <v>2.6908900094709079E-4</v>
      </c>
      <c r="R67" s="10">
        <f>ROUND(IFERROR('1.1 Jakotaulu'!L$15*Ohj.lask.[[#This Row],[%-osuus 3]],0),0)</f>
        <v>40470</v>
      </c>
      <c r="S67" s="132">
        <f>IFERROR(ROUND(VLOOKUP($A67,'2.4 Aloittaneet palaute'!$A:$I,COLUMN('2.4 Aloittaneet palaute'!H:H),FALSE),1),0)</f>
        <v>258.10000000000002</v>
      </c>
      <c r="T67" s="13">
        <f>IFERROR(Ohj.lask.[[#This Row],[Painotetut pisteet 4]]/Ohj.lask.[[#Totals],[Painotetut pisteet 4]],0)</f>
        <v>1.5483877779711512E-4</v>
      </c>
      <c r="U67" s="16">
        <f>ROUND(IFERROR('1.1 Jakotaulu'!M$17*Ohj.lask.[[#This Row],[%-osuus 4]],0),0)</f>
        <v>1248</v>
      </c>
      <c r="V67" s="132">
        <f>IFERROR(ROUND(VLOOKUP($A67,'2.5 Päättäneet palaute'!$A:$Z,COLUMN('2.5 Päättäneet palaute'!X:X),FALSE),1),0)</f>
        <v>3150.7</v>
      </c>
      <c r="W67" s="13">
        <f>IFERROR(Ohj.lask.[[#This Row],[Painotetut pisteet 5]]/Ohj.lask.[[#Totals],[Painotetut pisteet 5]],0)</f>
        <v>3.0806365590297703E-4</v>
      </c>
      <c r="X67" s="16">
        <f>ROUND(IFERROR('1.1 Jakotaulu'!M$18*Ohj.lask.[[#This Row],[%-osuus 5]],0),0)</f>
        <v>7446</v>
      </c>
      <c r="Y67" s="132">
        <f>IFERROR(ROUND(VLOOKUP($A67,'2.6 Työpaikkaohjaajakysely'!B:J,COLUMN('2.6 Työpaikkaohjaajakysely'!H:H),FALSE),1),0)</f>
        <v>3721.8</v>
      </c>
      <c r="Z67" s="9">
        <f>IFERROR(Ohj.lask.[[#This Row],[Painotetut pisteet 6]]/Ohj.lask.[[#Totals],[Painotetut pisteet 6]],0)</f>
        <v>1.0965596691680013E-5</v>
      </c>
      <c r="AA67" s="16">
        <f>ROUND(IFERROR('1.1 Jakotaulu'!M$20*Ohj.lask.[[#This Row],[%-osuus 6]],0),0)</f>
        <v>265</v>
      </c>
      <c r="AB67" s="132">
        <f>IFERROR(ROUND(VLOOKUP($A67,'2.7 Työpaikkakysely'!B:H,COLUMN('2.7 Työpaikkakysely'!F:F),FALSE),1),0)</f>
        <v>3475</v>
      </c>
      <c r="AC67" s="9">
        <f>IFERROR(Ohj.lask.[[#This Row],[Pisteet 7]]/Ohj.lask.[[#Totals],[Pisteet 7]],0)</f>
        <v>1.8831926167733438E-5</v>
      </c>
      <c r="AD67" s="16">
        <f>ROUND(IFERROR('1.1 Jakotaulu'!M$21*Ohj.lask.[[#This Row],[%-osuus 7]],0),0)</f>
        <v>152</v>
      </c>
      <c r="AE67" s="12">
        <f>IFERROR(Ohj.lask.[[#This Row],[Jaettava € 8]]/Ohj.lask.[[#Totals],[Jaettava € 8]],"")</f>
        <v>3.741714172605787E-4</v>
      </c>
      <c r="AF6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794611</v>
      </c>
      <c r="AG67" s="102">
        <v>0</v>
      </c>
      <c r="AH67" s="102">
        <v>0</v>
      </c>
      <c r="AI67" s="102">
        <v>0</v>
      </c>
      <c r="AJ67" s="102">
        <v>0</v>
      </c>
      <c r="AK67" s="102">
        <v>0</v>
      </c>
      <c r="AL67" s="107">
        <v>0</v>
      </c>
      <c r="AM67" s="107">
        <v>0</v>
      </c>
      <c r="AN6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67" s="10">
        <f>Ohj.lask.[[#This Row],[Jaettava € 1]]+Ohj.lask.[[#This Row],[Harkinnanvarainen korotus 8, €]]</f>
        <v>487259</v>
      </c>
      <c r="AP67" s="102">
        <f>Ohj.lask.[[#This Row],[Jaettava € 2]]</f>
        <v>257771</v>
      </c>
      <c r="AQ67" s="10">
        <f>Ohj.lask.[[#This Row],[Jaettava € 3]]+Ohj.lask.[[#This Row],[Jaettava € 4]]+Ohj.lask.[[#This Row],[Jaettava € 5]]+Ohj.lask.[[#This Row],[Jaettava € 6]]+Ohj.lask.[[#This Row],[Jaettava € 7]]</f>
        <v>49581</v>
      </c>
      <c r="AR67" s="33">
        <f>Ohj.lask.[[#This Row],[Jaettava € 8]]+Ohj.lask.[[#This Row],[Harkinnanvarainen korotus 8, €]]</f>
        <v>794611</v>
      </c>
      <c r="AS67" s="33">
        <v>14099</v>
      </c>
      <c r="AT67" s="16">
        <f>Ohj.lask.[[#This Row],[Perus-, suoritus- ja vaikuttavuusrahoitus yhteensä, €]]+Ohj.lask.[[#This Row],[Alv-korvaus, €]]</f>
        <v>808710</v>
      </c>
    </row>
    <row r="68" spans="1:46" ht="12.75" x14ac:dyDescent="0.2">
      <c r="A68" s="3" t="s">
        <v>262</v>
      </c>
      <c r="B68" s="7" t="s">
        <v>63</v>
      </c>
      <c r="C68" s="7" t="s">
        <v>177</v>
      </c>
      <c r="D68" s="7" t="s">
        <v>325</v>
      </c>
      <c r="E68" s="7" t="s">
        <v>373</v>
      </c>
      <c r="F68" s="105">
        <v>83</v>
      </c>
      <c r="G68" s="106">
        <f>Ohj.lask.[[#This Row],[Tavoitteelliset opiskelija-vuodet]]-Ohj.lask.[[#This Row],[Järjestämisluvan opisk.vuosien vähimmäismäärä]]</f>
        <v>13</v>
      </c>
      <c r="H68" s="32">
        <v>96</v>
      </c>
      <c r="I68" s="8">
        <f>IFERROR(VLOOKUP($A68,'2.1 Toteut. op.vuodet'!$A:$T,COLUMN('2.1 Toteut. op.vuodet'!S:S),FALSE),0)</f>
        <v>1.0455540637475083</v>
      </c>
      <c r="J68" s="74">
        <f t="shared" si="1"/>
        <v>100.4</v>
      </c>
      <c r="K68" s="9">
        <f>IFERROR(Ohj.lask.[[#This Row],[Painotetut opiskelija-vuodet]]/Ohj.lask.[[#Totals],[Painotetut opiskelija-vuodet]],0)</f>
        <v>4.6323253258084189E-4</v>
      </c>
      <c r="L68" s="10">
        <f>ROUND(IFERROR('1.1 Jakotaulu'!L$12*Ohj.lask.[[#This Row],[%-osuus 1]],0),0)</f>
        <v>685165</v>
      </c>
      <c r="M68" s="132">
        <f>IFERROR(ROUND(VLOOKUP($A68,'2.2 Tutk. ja osien pain. pist.'!$A:$Q,COLUMN('2.2 Tutk. ja osien pain. pist.'!O:O),FALSE),1),0)</f>
        <v>8310.2000000000007</v>
      </c>
      <c r="N68" s="9">
        <f>IFERROR(Ohj.lask.[[#This Row],[Painotetut pisteet 2]]/Ohj.lask.[[#Totals],[Painotetut pisteet 2]],0)</f>
        <v>5.4248426249250818E-4</v>
      </c>
      <c r="O68" s="16">
        <f>ROUND(IFERROR('1.1 Jakotaulu'!K$13*Ohj.lask.[[#This Row],[%-osuus 2]],0),0)</f>
        <v>233109</v>
      </c>
      <c r="P68" s="133">
        <f>IFERROR(ROUND(VLOOKUP($A68,'2.3 Työll. ja jatko-opisk.'!$A:$Z,COLUMN('2.3 Työll. ja jatko-opisk.'!L:L),FALSE),1),0)</f>
        <v>146.6</v>
      </c>
      <c r="Q68" s="9">
        <f>IFERROR(Ohj.lask.[[#This Row],[Painotetut pisteet 3]]/Ohj.lask.[[#Totals],[Painotetut pisteet 3]],0)</f>
        <v>4.6906596360099295E-4</v>
      </c>
      <c r="R68" s="10">
        <f>ROUND(IFERROR('1.1 Jakotaulu'!L$15*Ohj.lask.[[#This Row],[%-osuus 3]],0),0)</f>
        <v>70546</v>
      </c>
      <c r="S68" s="132">
        <f>IFERROR(ROUND(VLOOKUP($A68,'2.4 Aloittaneet palaute'!$A:$I,COLUMN('2.4 Aloittaneet palaute'!H:H),FALSE),1),0)</f>
        <v>1105.2</v>
      </c>
      <c r="T68" s="13">
        <f>IFERROR(Ohj.lask.[[#This Row],[Painotetut pisteet 4]]/Ohj.lask.[[#Totals],[Painotetut pisteet 4]],0)</f>
        <v>6.6302912522809621E-4</v>
      </c>
      <c r="U68" s="16">
        <f>ROUND(IFERROR('1.1 Jakotaulu'!M$17*Ohj.lask.[[#This Row],[%-osuus 4]],0),0)</f>
        <v>5342</v>
      </c>
      <c r="V68" s="132">
        <f>IFERROR(ROUND(VLOOKUP($A68,'2.5 Päättäneet palaute'!$A:$Z,COLUMN('2.5 Päättäneet palaute'!X:X),FALSE),1),0)</f>
        <v>5425.6</v>
      </c>
      <c r="W68" s="13">
        <f>IFERROR(Ohj.lask.[[#This Row],[Painotetut pisteet 5]]/Ohj.lask.[[#Totals],[Painotetut pisteet 5]],0)</f>
        <v>5.3049486509892799E-4</v>
      </c>
      <c r="X68" s="16">
        <f>ROUND(IFERROR('1.1 Jakotaulu'!M$18*Ohj.lask.[[#This Row],[%-osuus 5]],0),0)</f>
        <v>12823</v>
      </c>
      <c r="Y68" s="132">
        <f>IFERROR(ROUND(VLOOKUP($A68,'2.6 Työpaikkaohjaajakysely'!B:J,COLUMN('2.6 Työpaikkaohjaajakysely'!H:H),FALSE),1),0)</f>
        <v>291529.7</v>
      </c>
      <c r="Z68" s="9">
        <f>IFERROR(Ohj.lask.[[#This Row],[Painotetut pisteet 6]]/Ohj.lask.[[#Totals],[Painotetut pisteet 6]],0)</f>
        <v>8.5893844748413846E-4</v>
      </c>
      <c r="AA68" s="16">
        <f>ROUND(IFERROR('1.1 Jakotaulu'!M$20*Ohj.lask.[[#This Row],[%-osuus 6]],0),0)</f>
        <v>20761</v>
      </c>
      <c r="AB68" s="132">
        <f>IFERROR(ROUND(VLOOKUP($A68,'2.7 Työpaikkakysely'!B:H,COLUMN('2.7 Työpaikkakysely'!F:F),FALSE),1),0)</f>
        <v>214199</v>
      </c>
      <c r="AC68" s="9">
        <f>IFERROR(Ohj.lask.[[#This Row],[Pisteet 7]]/Ohj.lask.[[#Totals],[Pisteet 7]],0)</f>
        <v>1.1607999289790891E-3</v>
      </c>
      <c r="AD68" s="16">
        <f>ROUND(IFERROR('1.1 Jakotaulu'!M$21*Ohj.lask.[[#This Row],[%-osuus 7]],0),0)</f>
        <v>9353</v>
      </c>
      <c r="AE68" s="12">
        <f>IFERROR(Ohj.lask.[[#This Row],[Jaettava € 8]]/Ohj.lask.[[#Totals],[Jaettava € 8]],"")</f>
        <v>4.8835568934929032E-4</v>
      </c>
      <c r="AF6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1037099</v>
      </c>
      <c r="AG68" s="102">
        <v>0</v>
      </c>
      <c r="AH68" s="102">
        <v>0</v>
      </c>
      <c r="AI68" s="102">
        <v>0</v>
      </c>
      <c r="AJ68" s="102">
        <v>0</v>
      </c>
      <c r="AK68" s="102">
        <v>0</v>
      </c>
      <c r="AL68" s="107">
        <v>0</v>
      </c>
      <c r="AM68" s="107">
        <v>0</v>
      </c>
      <c r="AN6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68" s="10">
        <f>Ohj.lask.[[#This Row],[Jaettava € 1]]+Ohj.lask.[[#This Row],[Harkinnanvarainen korotus 8, €]]</f>
        <v>685165</v>
      </c>
      <c r="AP68" s="102">
        <f>Ohj.lask.[[#This Row],[Jaettava € 2]]</f>
        <v>233109</v>
      </c>
      <c r="AQ68" s="10">
        <f>Ohj.lask.[[#This Row],[Jaettava € 3]]+Ohj.lask.[[#This Row],[Jaettava € 4]]+Ohj.lask.[[#This Row],[Jaettava € 5]]+Ohj.lask.[[#This Row],[Jaettava € 6]]+Ohj.lask.[[#This Row],[Jaettava € 7]]</f>
        <v>118825</v>
      </c>
      <c r="AR68" s="33">
        <f>Ohj.lask.[[#This Row],[Jaettava € 8]]+Ohj.lask.[[#This Row],[Harkinnanvarainen korotus 8, €]]</f>
        <v>1037099</v>
      </c>
      <c r="AS68" s="33">
        <v>76612</v>
      </c>
      <c r="AT68" s="16">
        <f>Ohj.lask.[[#This Row],[Perus-, suoritus- ja vaikuttavuusrahoitus yhteensä, €]]+Ohj.lask.[[#This Row],[Alv-korvaus, €]]</f>
        <v>1113711</v>
      </c>
    </row>
    <row r="69" spans="1:46" ht="12.75" x14ac:dyDescent="0.2">
      <c r="A69" s="3" t="s">
        <v>261</v>
      </c>
      <c r="B69" s="7" t="s">
        <v>64</v>
      </c>
      <c r="C69" s="7" t="s">
        <v>199</v>
      </c>
      <c r="D69" s="7" t="s">
        <v>325</v>
      </c>
      <c r="E69" s="7" t="s">
        <v>373</v>
      </c>
      <c r="F69" s="105">
        <v>139</v>
      </c>
      <c r="G69" s="106">
        <f>Ohj.lask.[[#This Row],[Tavoitteelliset opiskelija-vuodet]]-Ohj.lask.[[#This Row],[Järjestämisluvan opisk.vuosien vähimmäismäärä]]</f>
        <v>24</v>
      </c>
      <c r="H69" s="32">
        <v>163</v>
      </c>
      <c r="I69" s="8">
        <f>IFERROR(VLOOKUP($A69,'2.1 Toteut. op.vuodet'!$A:$T,COLUMN('2.1 Toteut. op.vuodet'!S:S),FALSE),0)</f>
        <v>1.3390826886760561</v>
      </c>
      <c r="J69" s="74">
        <f t="shared" si="1"/>
        <v>218.3</v>
      </c>
      <c r="K69" s="9">
        <f>IFERROR(Ohj.lask.[[#This Row],[Painotetut opiskelija-vuodet]]/Ohj.lask.[[#Totals],[Painotetut opiskelija-vuodet]],0)</f>
        <v>1.0072077874740816E-3</v>
      </c>
      <c r="L69" s="10">
        <f>ROUND(IFERROR('1.1 Jakotaulu'!L$12*Ohj.lask.[[#This Row],[%-osuus 1]],0),0)</f>
        <v>1489757</v>
      </c>
      <c r="M69" s="132">
        <f>IFERROR(ROUND(VLOOKUP($A69,'2.2 Tutk. ja osien pain. pist.'!$A:$Q,COLUMN('2.2 Tutk. ja osien pain. pist.'!O:O),FALSE),1),0)</f>
        <v>15330.8</v>
      </c>
      <c r="N69" s="9">
        <f>IFERROR(Ohj.lask.[[#This Row],[Painotetut pisteet 2]]/Ohj.lask.[[#Totals],[Painotetut pisteet 2]],0)</f>
        <v>1.0007843050011003E-3</v>
      </c>
      <c r="O69" s="16">
        <f>ROUND(IFERROR('1.1 Jakotaulu'!K$13*Ohj.lask.[[#This Row],[%-osuus 2]],0),0)</f>
        <v>430043</v>
      </c>
      <c r="P69" s="133">
        <f>IFERROR(ROUND(VLOOKUP($A69,'2.3 Työll. ja jatko-opisk.'!$A:$Z,COLUMN('2.3 Työll. ja jatko-opisk.'!L:L),FALSE),1),0)</f>
        <v>289</v>
      </c>
      <c r="Q69" s="9">
        <f>IFERROR(Ohj.lask.[[#This Row],[Painotetut pisteet 3]]/Ohj.lask.[[#Totals],[Painotetut pisteet 3]],0)</f>
        <v>9.2469347531164375E-4</v>
      </c>
      <c r="R69" s="10">
        <f>ROUND(IFERROR('1.1 Jakotaulu'!L$15*Ohj.lask.[[#This Row],[%-osuus 3]],0),0)</f>
        <v>139071</v>
      </c>
      <c r="S69" s="132">
        <f>IFERROR(ROUND(VLOOKUP($A69,'2.4 Aloittaneet palaute'!$A:$I,COLUMN('2.4 Aloittaneet palaute'!H:H),FALSE),1),0)</f>
        <v>1077.7</v>
      </c>
      <c r="T69" s="13">
        <f>IFERROR(Ohj.lask.[[#This Row],[Painotetut pisteet 4]]/Ohj.lask.[[#Totals],[Painotetut pisteet 4]],0)</f>
        <v>6.4653138640817889E-4</v>
      </c>
      <c r="U69" s="16">
        <f>ROUND(IFERROR('1.1 Jakotaulu'!M$17*Ohj.lask.[[#This Row],[%-osuus 4]],0),0)</f>
        <v>5209</v>
      </c>
      <c r="V69" s="132">
        <f>IFERROR(ROUND(VLOOKUP($A69,'2.5 Päättäneet palaute'!$A:$Z,COLUMN('2.5 Päättäneet palaute'!X:X),FALSE),1),0)</f>
        <v>12619.2</v>
      </c>
      <c r="W69" s="13">
        <f>IFERROR(Ohj.lask.[[#This Row],[Painotetut pisteet 5]]/Ohj.lask.[[#Totals],[Painotetut pisteet 5]],0)</f>
        <v>1.2338581542421837E-3</v>
      </c>
      <c r="X69" s="16">
        <f>ROUND(IFERROR('1.1 Jakotaulu'!M$18*Ohj.lask.[[#This Row],[%-osuus 5]],0),0)</f>
        <v>29824</v>
      </c>
      <c r="Y69" s="132">
        <f>IFERROR(ROUND(VLOOKUP($A69,'2.6 Työpaikkaohjaajakysely'!B:J,COLUMN('2.6 Työpaikkaohjaajakysely'!H:H),FALSE),1),0)</f>
        <v>225476.8</v>
      </c>
      <c r="Z69" s="9">
        <f>IFERROR(Ohj.lask.[[#This Row],[Painotetut pisteet 6]]/Ohj.lask.[[#Totals],[Painotetut pisteet 6]],0)</f>
        <v>6.6432577036127565E-4</v>
      </c>
      <c r="AA69" s="16">
        <f>ROUND(IFERROR('1.1 Jakotaulu'!M$20*Ohj.lask.[[#This Row],[%-osuus 6]],0),0)</f>
        <v>16057</v>
      </c>
      <c r="AB69" s="132">
        <f>IFERROR(ROUND(VLOOKUP($A69,'2.7 Työpaikkakysely'!B:H,COLUMN('2.7 Työpaikkakysely'!F:F),FALSE),1),0)</f>
        <v>53054</v>
      </c>
      <c r="AC69" s="9">
        <f>IFERROR(Ohj.lask.[[#This Row],[Pisteet 7]]/Ohj.lask.[[#Totals],[Pisteet 7]],0)</f>
        <v>2.8751338443249781E-4</v>
      </c>
      <c r="AD69" s="16">
        <f>ROUND(IFERROR('1.1 Jakotaulu'!M$21*Ohj.lask.[[#This Row],[%-osuus 7]],0),0)</f>
        <v>2316</v>
      </c>
      <c r="AE69" s="12">
        <f>IFERROR(Ohj.lask.[[#This Row],[Jaettava € 8]]/Ohj.lask.[[#Totals],[Jaettava € 8]],"")</f>
        <v>9.9464225732707372E-4</v>
      </c>
      <c r="AF6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2112277</v>
      </c>
      <c r="AG69" s="102">
        <v>0</v>
      </c>
      <c r="AH69" s="102">
        <v>0</v>
      </c>
      <c r="AI69" s="102">
        <v>0</v>
      </c>
      <c r="AJ69" s="102">
        <v>0</v>
      </c>
      <c r="AK69" s="102">
        <v>0</v>
      </c>
      <c r="AL69" s="107">
        <v>0</v>
      </c>
      <c r="AM69" s="107">
        <v>0</v>
      </c>
      <c r="AN6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69" s="10">
        <f>Ohj.lask.[[#This Row],[Jaettava € 1]]+Ohj.lask.[[#This Row],[Harkinnanvarainen korotus 8, €]]</f>
        <v>1489757</v>
      </c>
      <c r="AP69" s="102">
        <f>Ohj.lask.[[#This Row],[Jaettava € 2]]</f>
        <v>430043</v>
      </c>
      <c r="AQ69" s="10">
        <f>Ohj.lask.[[#This Row],[Jaettava € 3]]+Ohj.lask.[[#This Row],[Jaettava € 4]]+Ohj.lask.[[#This Row],[Jaettava € 5]]+Ohj.lask.[[#This Row],[Jaettava € 6]]+Ohj.lask.[[#This Row],[Jaettava € 7]]</f>
        <v>192477</v>
      </c>
      <c r="AR69" s="33">
        <f>Ohj.lask.[[#This Row],[Jaettava € 8]]+Ohj.lask.[[#This Row],[Harkinnanvarainen korotus 8, €]]</f>
        <v>2112277</v>
      </c>
      <c r="AS69" s="33">
        <v>76352</v>
      </c>
      <c r="AT69" s="16">
        <f>Ohj.lask.[[#This Row],[Perus-, suoritus- ja vaikuttavuusrahoitus yhteensä, €]]+Ohj.lask.[[#This Row],[Alv-korvaus, €]]</f>
        <v>2188629</v>
      </c>
    </row>
    <row r="70" spans="1:46" ht="12.75" x14ac:dyDescent="0.2">
      <c r="A70" s="3" t="s">
        <v>259</v>
      </c>
      <c r="B70" s="7" t="s">
        <v>144</v>
      </c>
      <c r="C70" s="7" t="s">
        <v>179</v>
      </c>
      <c r="D70" s="7" t="s">
        <v>324</v>
      </c>
      <c r="E70" s="7" t="s">
        <v>374</v>
      </c>
      <c r="F70" s="105">
        <v>29</v>
      </c>
      <c r="G70" s="106">
        <f>Ohj.lask.[[#This Row],[Tavoitteelliset opiskelija-vuodet]]-Ohj.lask.[[#This Row],[Järjestämisluvan opisk.vuosien vähimmäismäärä]]</f>
        <v>0</v>
      </c>
      <c r="H70" s="32">
        <v>29</v>
      </c>
      <c r="I70" s="8">
        <f>IFERROR(VLOOKUP($A70,'2.1 Toteut. op.vuodet'!$A:$T,COLUMN('2.1 Toteut. op.vuodet'!S:S),FALSE),0)</f>
        <v>0.99509999999999732</v>
      </c>
      <c r="J70" s="74">
        <f t="shared" ref="J70:J101" si="2">IFERROR(ROUND(H70*I70,1),0)</f>
        <v>28.9</v>
      </c>
      <c r="K70" s="9">
        <f>IFERROR(Ohj.lask.[[#This Row],[Painotetut opiskelija-vuodet]]/Ohj.lask.[[#Totals],[Painotetut opiskelija-vuodet]],0)</f>
        <v>1.3334083856161684E-4</v>
      </c>
      <c r="L70" s="10">
        <f>ROUND(IFERROR('1.1 Jakotaulu'!L$12*Ohj.lask.[[#This Row],[%-osuus 1]],0),0)</f>
        <v>197224</v>
      </c>
      <c r="M70" s="132">
        <f>IFERROR(ROUND(VLOOKUP($A70,'2.2 Tutk. ja osien pain. pist.'!$A:$Q,COLUMN('2.2 Tutk. ja osien pain. pist.'!O:O),FALSE),1),0)</f>
        <v>1795.8</v>
      </c>
      <c r="N70" s="9">
        <f>IFERROR(Ohj.lask.[[#This Row],[Painotetut pisteet 2]]/Ohj.lask.[[#Totals],[Painotetut pisteet 2]],0)</f>
        <v>1.1722861526606413E-4</v>
      </c>
      <c r="O70" s="16">
        <f>ROUND(IFERROR('1.1 Jakotaulu'!K$13*Ohj.lask.[[#This Row],[%-osuus 2]],0),0)</f>
        <v>50374</v>
      </c>
      <c r="P70" s="133">
        <f>IFERROR(ROUND(VLOOKUP($A70,'2.3 Työll. ja jatko-opisk.'!$A:$Z,COLUMN('2.3 Työll. ja jatko-opisk.'!L:L),FALSE),1),0)</f>
        <v>50.1</v>
      </c>
      <c r="Q70" s="9">
        <f>IFERROR(Ohj.lask.[[#This Row],[Painotetut pisteet 3]]/Ohj.lask.[[#Totals],[Painotetut pisteet 3]],0)</f>
        <v>1.6030153326336802E-4</v>
      </c>
      <c r="R70" s="10">
        <f>ROUND(IFERROR('1.1 Jakotaulu'!L$15*Ohj.lask.[[#This Row],[%-osuus 3]],0),0)</f>
        <v>24109</v>
      </c>
      <c r="S70" s="132">
        <f>IFERROR(ROUND(VLOOKUP($A70,'2.4 Aloittaneet palaute'!$A:$I,COLUMN('2.4 Aloittaneet palaute'!H:H),FALSE),1),0)</f>
        <v>299.5</v>
      </c>
      <c r="T70" s="13">
        <f>IFERROR(Ohj.lask.[[#This Row],[Painotetut pisteet 4]]/Ohj.lask.[[#Totals],[Painotetut pisteet 4]],0)</f>
        <v>1.7967537369328158E-4</v>
      </c>
      <c r="U70" s="16">
        <f>ROUND(IFERROR('1.1 Jakotaulu'!M$17*Ohj.lask.[[#This Row],[%-osuus 4]],0),0)</f>
        <v>1448</v>
      </c>
      <c r="V70" s="132">
        <f>IFERROR(ROUND(VLOOKUP($A70,'2.5 Päättäneet palaute'!$A:$Z,COLUMN('2.5 Päättäneet palaute'!X:X),FALSE),1),0)</f>
        <v>2580</v>
      </c>
      <c r="W70" s="13">
        <f>IFERROR(Ohj.lask.[[#This Row],[Painotetut pisteet 5]]/Ohj.lask.[[#Totals],[Painotetut pisteet 5]],0)</f>
        <v>2.5226274549455064E-4</v>
      </c>
      <c r="X70" s="16">
        <f>ROUND(IFERROR('1.1 Jakotaulu'!M$18*Ohj.lask.[[#This Row],[%-osuus 5]],0),0)</f>
        <v>6097</v>
      </c>
      <c r="Y70" s="132">
        <f>IFERROR(ROUND(VLOOKUP($A70,'2.6 Työpaikkaohjaajakysely'!B:J,COLUMN('2.6 Työpaikkaohjaajakysely'!H:H),FALSE),1),0)</f>
        <v>9118.1</v>
      </c>
      <c r="Z70" s="9">
        <f>IFERROR(Ohj.lask.[[#This Row],[Painotetut pisteet 6]]/Ohj.lask.[[#Totals],[Painotetut pisteet 6]],0)</f>
        <v>2.6864798536839035E-5</v>
      </c>
      <c r="AA70" s="16">
        <f>ROUND(IFERROR('1.1 Jakotaulu'!M$20*Ohj.lask.[[#This Row],[%-osuus 6]],0),0)</f>
        <v>649</v>
      </c>
      <c r="AB70" s="132">
        <f>IFERROR(ROUND(VLOOKUP($A70,'2.7 Työpaikkakysely'!B:H,COLUMN('2.7 Työpaikkakysely'!F:F),FALSE),1),0)</f>
        <v>4378</v>
      </c>
      <c r="AC70" s="9">
        <f>IFERROR(Ohj.lask.[[#This Row],[Pisteet 7]]/Ohj.lask.[[#Totals],[Pisteet 7]],0)</f>
        <v>2.3725517341679709E-5</v>
      </c>
      <c r="AD70" s="16">
        <f>ROUND(IFERROR('1.1 Jakotaulu'!M$21*Ohj.lask.[[#This Row],[%-osuus 7]],0),0)</f>
        <v>191</v>
      </c>
      <c r="AE70" s="12">
        <f>IFERROR(Ohj.lask.[[#This Row],[Jaettava € 8]]/Ohj.lask.[[#Totals],[Jaettava € 8]],"")</f>
        <v>1.3189147973454937E-4</v>
      </c>
      <c r="AF7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280092</v>
      </c>
      <c r="AG70" s="102">
        <v>0</v>
      </c>
      <c r="AH70" s="102">
        <v>0</v>
      </c>
      <c r="AI70" s="102">
        <v>0</v>
      </c>
      <c r="AJ70" s="102">
        <v>0</v>
      </c>
      <c r="AK70" s="102">
        <v>0</v>
      </c>
      <c r="AL70" s="107">
        <v>0</v>
      </c>
      <c r="AM70" s="107">
        <v>0</v>
      </c>
      <c r="AN7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70" s="10">
        <f>Ohj.lask.[[#This Row],[Jaettava € 1]]+Ohj.lask.[[#This Row],[Harkinnanvarainen korotus 8, €]]</f>
        <v>197224</v>
      </c>
      <c r="AP70" s="102">
        <f>Ohj.lask.[[#This Row],[Jaettava € 2]]</f>
        <v>50374</v>
      </c>
      <c r="AQ70" s="10">
        <f>Ohj.lask.[[#This Row],[Jaettava € 3]]+Ohj.lask.[[#This Row],[Jaettava € 4]]+Ohj.lask.[[#This Row],[Jaettava € 5]]+Ohj.lask.[[#This Row],[Jaettava € 6]]+Ohj.lask.[[#This Row],[Jaettava € 7]]</f>
        <v>32494</v>
      </c>
      <c r="AR70" s="33">
        <f>Ohj.lask.[[#This Row],[Jaettava € 8]]+Ohj.lask.[[#This Row],[Harkinnanvarainen korotus 8, €]]</f>
        <v>280092</v>
      </c>
      <c r="AS70" s="33">
        <v>0</v>
      </c>
      <c r="AT70" s="16">
        <f>Ohj.lask.[[#This Row],[Perus-, suoritus- ja vaikuttavuusrahoitus yhteensä, €]]+Ohj.lask.[[#This Row],[Alv-korvaus, €]]</f>
        <v>280092</v>
      </c>
    </row>
    <row r="71" spans="1:46" ht="12.75" x14ac:dyDescent="0.2">
      <c r="A71" s="3" t="s">
        <v>298</v>
      </c>
      <c r="B71" s="7" t="s">
        <v>65</v>
      </c>
      <c r="C71" s="7" t="s">
        <v>173</v>
      </c>
      <c r="D71" s="7" t="s">
        <v>325</v>
      </c>
      <c r="E71" s="7" t="s">
        <v>373</v>
      </c>
      <c r="F71" s="105">
        <v>37</v>
      </c>
      <c r="G71" s="106">
        <f>Ohj.lask.[[#This Row],[Tavoitteelliset opiskelija-vuodet]]-Ohj.lask.[[#This Row],[Järjestämisluvan opisk.vuosien vähimmäismäärä]]</f>
        <v>0</v>
      </c>
      <c r="H71" s="32">
        <v>37</v>
      </c>
      <c r="I71" s="8">
        <f>IFERROR(VLOOKUP($A71,'2.1 Toteut. op.vuodet'!$A:$T,COLUMN('2.1 Toteut. op.vuodet'!S:S),FALSE),0)</f>
        <v>0.76143704001608759</v>
      </c>
      <c r="J71" s="74">
        <f t="shared" si="2"/>
        <v>28.2</v>
      </c>
      <c r="K71" s="9">
        <f>IFERROR(Ohj.lask.[[#This Row],[Painotetut opiskelija-vuodet]]/Ohj.lask.[[#Totals],[Painotetut opiskelija-vuodet]],0)</f>
        <v>1.3011112966912093E-4</v>
      </c>
      <c r="L71" s="10">
        <f>ROUND(IFERROR('1.1 Jakotaulu'!L$12*Ohj.lask.[[#This Row],[%-osuus 1]],0),0)</f>
        <v>192447</v>
      </c>
      <c r="M71" s="132">
        <f>IFERROR(ROUND(VLOOKUP($A71,'2.2 Tutk. ja osien pain. pist.'!$A:$Q,COLUMN('2.2 Tutk. ja osien pain. pist.'!O:O),FALSE),1),0)</f>
        <v>3129.7</v>
      </c>
      <c r="N71" s="9">
        <f>IFERROR(Ohj.lask.[[#This Row],[Painotetut pisteet 2]]/Ohj.lask.[[#Totals],[Painotetut pisteet 2]],0)</f>
        <v>2.0430470943211989E-4</v>
      </c>
      <c r="O71" s="16">
        <f>ROUND(IFERROR('1.1 Jakotaulu'!K$13*Ohj.lask.[[#This Row],[%-osuus 2]],0),0)</f>
        <v>87791</v>
      </c>
      <c r="P71" s="133">
        <f>IFERROR(ROUND(VLOOKUP($A71,'2.3 Työll. ja jatko-opisk.'!$A:$Z,COLUMN('2.3 Työll. ja jatko-opisk.'!L:L),FALSE),1),0)</f>
        <v>109.1</v>
      </c>
      <c r="Q71" s="9">
        <f>IFERROR(Ohj.lask.[[#This Row],[Painotetut pisteet 3]]/Ohj.lask.[[#Totals],[Painotetut pisteet 3]],0)</f>
        <v>3.4907978600865163E-4</v>
      </c>
      <c r="R71" s="10">
        <f>ROUND(IFERROR('1.1 Jakotaulu'!L$15*Ohj.lask.[[#This Row],[%-osuus 3]],0),0)</f>
        <v>52501</v>
      </c>
      <c r="S71" s="132">
        <f>IFERROR(ROUND(VLOOKUP($A71,'2.4 Aloittaneet palaute'!$A:$I,COLUMN('2.4 Aloittaneet palaute'!H:H),FALSE),1),0)</f>
        <v>668.9</v>
      </c>
      <c r="T71" s="13">
        <f>IFERROR(Ohj.lask.[[#This Row],[Painotetut pisteet 4]]/Ohj.lask.[[#Totals],[Painotetut pisteet 4]],0)</f>
        <v>4.012849998779167E-4</v>
      </c>
      <c r="U71" s="16">
        <f>ROUND(IFERROR('1.1 Jakotaulu'!M$17*Ohj.lask.[[#This Row],[%-osuus 4]],0),0)</f>
        <v>3233</v>
      </c>
      <c r="V71" s="132">
        <f>IFERROR(ROUND(VLOOKUP($A71,'2.5 Päättäneet palaute'!$A:$Z,COLUMN('2.5 Päättäneet palaute'!X:X),FALSE),1),0)</f>
        <v>4394.7</v>
      </c>
      <c r="W71" s="13">
        <f>IFERROR(Ohj.lask.[[#This Row],[Painotetut pisteet 5]]/Ohj.lask.[[#Totals],[Painotetut pisteet 5]],0)</f>
        <v>4.2969732078484567E-4</v>
      </c>
      <c r="X71" s="16">
        <f>ROUND(IFERROR('1.1 Jakotaulu'!M$18*Ohj.lask.[[#This Row],[%-osuus 5]],0),0)</f>
        <v>10386</v>
      </c>
      <c r="Y71" s="132">
        <f>IFERROR(ROUND(VLOOKUP($A71,'2.6 Työpaikkaohjaajakysely'!B:J,COLUMN('2.6 Työpaikkaohjaajakysely'!H:H),FALSE),1),0)</f>
        <v>146728.1</v>
      </c>
      <c r="Z71" s="9">
        <f>IFERROR(Ohj.lask.[[#This Row],[Painotetut pisteet 6]]/Ohj.lask.[[#Totals],[Painotetut pisteet 6]],0)</f>
        <v>4.3230726206042614E-4</v>
      </c>
      <c r="AA71" s="16">
        <f>ROUND(IFERROR('1.1 Jakotaulu'!M$20*Ohj.lask.[[#This Row],[%-osuus 6]],0),0)</f>
        <v>10449</v>
      </c>
      <c r="AB71" s="132">
        <f>IFERROR(ROUND(VLOOKUP($A71,'2.7 Työpaikkakysely'!B:H,COLUMN('2.7 Työpaikkakysely'!F:F),FALSE),1),0)</f>
        <v>23224</v>
      </c>
      <c r="AC71" s="9">
        <f>IFERROR(Ohj.lask.[[#This Row],[Pisteet 7]]/Ohj.lask.[[#Totals],[Pisteet 7]],0)</f>
        <v>1.2585687865307666E-4</v>
      </c>
      <c r="AD71" s="16">
        <f>ROUND(IFERROR('1.1 Jakotaulu'!M$21*Ohj.lask.[[#This Row],[%-osuus 7]],0),0)</f>
        <v>1014</v>
      </c>
      <c r="AE71" s="12">
        <f>IFERROR(Ohj.lask.[[#This Row],[Jaettava € 8]]/Ohj.lask.[[#Totals],[Jaettava € 8]],"")</f>
        <v>1.6849299933627591E-4</v>
      </c>
      <c r="AF7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357821</v>
      </c>
      <c r="AG71" s="102">
        <v>0</v>
      </c>
      <c r="AH71" s="102">
        <v>0</v>
      </c>
      <c r="AI71" s="102">
        <v>0</v>
      </c>
      <c r="AJ71" s="102">
        <v>0</v>
      </c>
      <c r="AK71" s="102">
        <v>0</v>
      </c>
      <c r="AL71" s="107">
        <v>0</v>
      </c>
      <c r="AM71" s="107">
        <v>0</v>
      </c>
      <c r="AN7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71" s="10">
        <f>Ohj.lask.[[#This Row],[Jaettava € 1]]+Ohj.lask.[[#This Row],[Harkinnanvarainen korotus 8, €]]</f>
        <v>192447</v>
      </c>
      <c r="AP71" s="102">
        <f>Ohj.lask.[[#This Row],[Jaettava € 2]]</f>
        <v>87791</v>
      </c>
      <c r="AQ71" s="10">
        <f>Ohj.lask.[[#This Row],[Jaettava € 3]]+Ohj.lask.[[#This Row],[Jaettava € 4]]+Ohj.lask.[[#This Row],[Jaettava € 5]]+Ohj.lask.[[#This Row],[Jaettava € 6]]+Ohj.lask.[[#This Row],[Jaettava € 7]]</f>
        <v>77583</v>
      </c>
      <c r="AR71" s="33">
        <f>Ohj.lask.[[#This Row],[Jaettava € 8]]+Ohj.lask.[[#This Row],[Harkinnanvarainen korotus 8, €]]</f>
        <v>357821</v>
      </c>
      <c r="AS71" s="33">
        <v>15364</v>
      </c>
      <c r="AT71" s="16">
        <f>Ohj.lask.[[#This Row],[Perus-, suoritus- ja vaikuttavuusrahoitus yhteensä, €]]+Ohj.lask.[[#This Row],[Alv-korvaus, €]]</f>
        <v>373185</v>
      </c>
    </row>
    <row r="72" spans="1:46" ht="12.75" x14ac:dyDescent="0.2">
      <c r="A72" s="3" t="s">
        <v>258</v>
      </c>
      <c r="B72" s="7" t="s">
        <v>66</v>
      </c>
      <c r="C72" s="7" t="s">
        <v>185</v>
      </c>
      <c r="D72" s="7" t="s">
        <v>325</v>
      </c>
      <c r="E72" s="7" t="s">
        <v>373</v>
      </c>
      <c r="F72" s="105">
        <v>24</v>
      </c>
      <c r="G72" s="106">
        <f>Ohj.lask.[[#This Row],[Tavoitteelliset opiskelija-vuodet]]-Ohj.lask.[[#This Row],[Järjestämisluvan opisk.vuosien vähimmäismäärä]]</f>
        <v>1</v>
      </c>
      <c r="H72" s="32">
        <v>25</v>
      </c>
      <c r="I72" s="8">
        <f>IFERROR(VLOOKUP($A72,'2.1 Toteut. op.vuodet'!$A:$T,COLUMN('2.1 Toteut. op.vuodet'!S:S),FALSE),0)</f>
        <v>0.7279189786059338</v>
      </c>
      <c r="J72" s="74">
        <f t="shared" si="2"/>
        <v>18.2</v>
      </c>
      <c r="K72" s="9">
        <f>IFERROR(Ohj.lask.[[#This Row],[Painotetut opiskelija-vuodet]]/Ohj.lask.[[#Totals],[Painotetut opiskelija-vuodet]],0)</f>
        <v>8.3972431204893639E-5</v>
      </c>
      <c r="L72" s="10">
        <f>ROUND(IFERROR('1.1 Jakotaulu'!L$12*Ohj.lask.[[#This Row],[%-osuus 1]],0),0)</f>
        <v>124203</v>
      </c>
      <c r="M72" s="132">
        <f>IFERROR(ROUND(VLOOKUP($A72,'2.2 Tutk. ja osien pain. pist.'!$A:$Q,COLUMN('2.2 Tutk. ja osien pain. pist.'!O:O),FALSE),1),0)</f>
        <v>1640.7</v>
      </c>
      <c r="N72" s="9">
        <f>IFERROR(Ohj.lask.[[#This Row],[Painotetut pisteet 2]]/Ohj.lask.[[#Totals],[Painotetut pisteet 2]],0)</f>
        <v>1.0710379166222934E-4</v>
      </c>
      <c r="O72" s="16">
        <f>ROUND(IFERROR('1.1 Jakotaulu'!K$13*Ohj.lask.[[#This Row],[%-osuus 2]],0),0)</f>
        <v>46023</v>
      </c>
      <c r="P72" s="133">
        <f>IFERROR(ROUND(VLOOKUP($A72,'2.3 Työll. ja jatko-opisk.'!$A:$Z,COLUMN('2.3 Työll. ja jatko-opisk.'!L:L),FALSE),1),0)</f>
        <v>70.7</v>
      </c>
      <c r="Q72" s="9">
        <f>IFERROR(Ohj.lask.[[#This Row],[Painotetut pisteet 3]]/Ohj.lask.[[#Totals],[Painotetut pisteet 3]],0)</f>
        <v>2.2621394015409418E-4</v>
      </c>
      <c r="R72" s="10">
        <f>ROUND(IFERROR('1.1 Jakotaulu'!L$15*Ohj.lask.[[#This Row],[%-osuus 3]],0),0)</f>
        <v>34022</v>
      </c>
      <c r="S72" s="132">
        <f>IFERROR(ROUND(VLOOKUP($A72,'2.4 Aloittaneet palaute'!$A:$I,COLUMN('2.4 Aloittaneet palaute'!H:H),FALSE),1),0)</f>
        <v>446</v>
      </c>
      <c r="T72" s="13">
        <f>IFERROR(Ohj.lask.[[#This Row],[Painotetut pisteet 4]]/Ohj.lask.[[#Totals],[Painotetut pisteet 4]],0)</f>
        <v>2.6756332777029578E-4</v>
      </c>
      <c r="U72" s="16">
        <f>ROUND(IFERROR('1.1 Jakotaulu'!M$17*Ohj.lask.[[#This Row],[%-osuus 4]],0),0)</f>
        <v>2156</v>
      </c>
      <c r="V72" s="132">
        <f>IFERROR(ROUND(VLOOKUP($A72,'2.5 Päättäneet palaute'!$A:$Z,COLUMN('2.5 Päättäneet palaute'!X:X),FALSE),1),0)</f>
        <v>1886.2</v>
      </c>
      <c r="W72" s="13">
        <f>IFERROR(Ohj.lask.[[#This Row],[Painotetut pisteet 5]]/Ohj.lask.[[#Totals],[Painotetut pisteet 5]],0)</f>
        <v>1.8442557773326414E-4</v>
      </c>
      <c r="X72" s="16">
        <f>ROUND(IFERROR('1.1 Jakotaulu'!M$18*Ohj.lask.[[#This Row],[%-osuus 5]],0),0)</f>
        <v>4458</v>
      </c>
      <c r="Y72" s="132">
        <f>IFERROR(ROUND(VLOOKUP($A72,'2.6 Työpaikkaohjaajakysely'!B:J,COLUMN('2.6 Työpaikkaohjaajakysely'!H:H),FALSE),1),0)</f>
        <v>72318.600000000006</v>
      </c>
      <c r="Z72" s="9">
        <f>IFERROR(Ohj.lask.[[#This Row],[Painotetut pisteet 6]]/Ohj.lask.[[#Totals],[Painotetut pisteet 6]],0)</f>
        <v>2.1307340558518196E-4</v>
      </c>
      <c r="AA72" s="16">
        <f>ROUND(IFERROR('1.1 Jakotaulu'!M$20*Ohj.lask.[[#This Row],[%-osuus 6]],0),0)</f>
        <v>5150</v>
      </c>
      <c r="AB72" s="132">
        <f>IFERROR(ROUND(VLOOKUP($A72,'2.7 Työpaikkakysely'!B:H,COLUMN('2.7 Työpaikkakysely'!F:F),FALSE),1),0)</f>
        <v>35923</v>
      </c>
      <c r="AC72" s="9">
        <f>IFERROR(Ohj.lask.[[#This Row],[Pisteet 7]]/Ohj.lask.[[#Totals],[Pisteet 7]],0)</f>
        <v>1.9467605287006858E-4</v>
      </c>
      <c r="AD72" s="16">
        <f>ROUND(IFERROR('1.1 Jakotaulu'!M$21*Ohj.lask.[[#This Row],[%-osuus 7]],0),0)</f>
        <v>1569</v>
      </c>
      <c r="AE72" s="12">
        <f>IFERROR(Ohj.lask.[[#This Row],[Jaettava € 8]]/Ohj.lask.[[#Totals],[Jaettava € 8]],"")</f>
        <v>1.0245590753082197E-4</v>
      </c>
      <c r="AF7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217581</v>
      </c>
      <c r="AG72" s="102">
        <v>0</v>
      </c>
      <c r="AH72" s="102">
        <v>0</v>
      </c>
      <c r="AI72" s="102">
        <v>0</v>
      </c>
      <c r="AJ72" s="102">
        <v>0</v>
      </c>
      <c r="AK72" s="102">
        <v>0</v>
      </c>
      <c r="AL72" s="107">
        <v>0</v>
      </c>
      <c r="AM72" s="107">
        <v>0</v>
      </c>
      <c r="AN7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72" s="10">
        <f>Ohj.lask.[[#This Row],[Jaettava € 1]]+Ohj.lask.[[#This Row],[Harkinnanvarainen korotus 8, €]]</f>
        <v>124203</v>
      </c>
      <c r="AP72" s="102">
        <f>Ohj.lask.[[#This Row],[Jaettava € 2]]</f>
        <v>46023</v>
      </c>
      <c r="AQ72" s="10">
        <f>Ohj.lask.[[#This Row],[Jaettava € 3]]+Ohj.lask.[[#This Row],[Jaettava € 4]]+Ohj.lask.[[#This Row],[Jaettava € 5]]+Ohj.lask.[[#This Row],[Jaettava € 6]]+Ohj.lask.[[#This Row],[Jaettava € 7]]</f>
        <v>47355</v>
      </c>
      <c r="AR72" s="33">
        <f>Ohj.lask.[[#This Row],[Jaettava € 8]]+Ohj.lask.[[#This Row],[Harkinnanvarainen korotus 8, €]]</f>
        <v>217581</v>
      </c>
      <c r="AS72" s="33">
        <v>4606</v>
      </c>
      <c r="AT72" s="16">
        <f>Ohj.lask.[[#This Row],[Perus-, suoritus- ja vaikuttavuusrahoitus yhteensä, €]]+Ohj.lask.[[#This Row],[Alv-korvaus, €]]</f>
        <v>222187</v>
      </c>
    </row>
    <row r="73" spans="1:46" ht="12.75" x14ac:dyDescent="0.2">
      <c r="A73" s="3" t="s">
        <v>257</v>
      </c>
      <c r="B73" s="7" t="s">
        <v>67</v>
      </c>
      <c r="C73" s="7" t="s">
        <v>185</v>
      </c>
      <c r="D73" s="7" t="s">
        <v>325</v>
      </c>
      <c r="E73" s="7" t="s">
        <v>373</v>
      </c>
      <c r="F73" s="105">
        <v>41</v>
      </c>
      <c r="G73" s="106">
        <f>Ohj.lask.[[#This Row],[Tavoitteelliset opiskelija-vuodet]]-Ohj.lask.[[#This Row],[Järjestämisluvan opisk.vuosien vähimmäismäärä]]</f>
        <v>5</v>
      </c>
      <c r="H73" s="32">
        <v>46</v>
      </c>
      <c r="I73" s="8">
        <f>IFERROR(VLOOKUP($A73,'2.1 Toteut. op.vuodet'!$A:$T,COLUMN('2.1 Toteut. op.vuodet'!S:S),FALSE),0)</f>
        <v>1.4289131337866505</v>
      </c>
      <c r="J73" s="74">
        <f t="shared" si="2"/>
        <v>65.7</v>
      </c>
      <c r="K73" s="9">
        <f>IFERROR(Ohj.lask.[[#This Row],[Painotetut opiskelija-vuodet]]/Ohj.lask.[[#Totals],[Painotetut opiskelija-vuodet]],0)</f>
        <v>3.0313124890997325E-4</v>
      </c>
      <c r="L73" s="10">
        <f>ROUND(IFERROR('1.1 Jakotaulu'!L$12*Ohj.lask.[[#This Row],[%-osuus 1]],0),0)</f>
        <v>448360</v>
      </c>
      <c r="M73" s="132">
        <f>IFERROR(ROUND(VLOOKUP($A73,'2.2 Tutk. ja osien pain. pist.'!$A:$Q,COLUMN('2.2 Tutk. ja osien pain. pist.'!O:O),FALSE),1),0)</f>
        <v>5841.6</v>
      </c>
      <c r="N73" s="9">
        <f>IFERROR(Ohj.lask.[[#This Row],[Painotetut pisteet 2]]/Ohj.lask.[[#Totals],[Painotetut pisteet 2]],0)</f>
        <v>3.8133571608098916E-4</v>
      </c>
      <c r="O73" s="16">
        <f>ROUND(IFERROR('1.1 Jakotaulu'!K$13*Ohj.lask.[[#This Row],[%-osuus 2]],0),0)</f>
        <v>163862</v>
      </c>
      <c r="P73" s="133">
        <f>IFERROR(ROUND(VLOOKUP($A73,'2.3 Työll. ja jatko-opisk.'!$A:$Z,COLUMN('2.3 Työll. ja jatko-opisk.'!L:L),FALSE),1),0)</f>
        <v>50.6</v>
      </c>
      <c r="Q73" s="9">
        <f>IFERROR(Ohj.lask.[[#This Row],[Painotetut pisteet 3]]/Ohj.lask.[[#Totals],[Painotetut pisteet 3]],0)</f>
        <v>1.6190134896459924E-4</v>
      </c>
      <c r="R73" s="10">
        <f>ROUND(IFERROR('1.1 Jakotaulu'!L$15*Ohj.lask.[[#This Row],[%-osuus 3]],0),0)</f>
        <v>24349</v>
      </c>
      <c r="S73" s="132">
        <f>IFERROR(ROUND(VLOOKUP($A73,'2.4 Aloittaneet palaute'!$A:$I,COLUMN('2.4 Aloittaneet palaute'!H:H),FALSE),1),0)</f>
        <v>427.5</v>
      </c>
      <c r="T73" s="13">
        <f>IFERROR(Ohj.lask.[[#This Row],[Painotetut pisteet 4]]/Ohj.lask.[[#Totals],[Painotetut pisteet 4]],0)</f>
        <v>2.5646484892780596E-4</v>
      </c>
      <c r="U73" s="16">
        <f>ROUND(IFERROR('1.1 Jakotaulu'!M$17*Ohj.lask.[[#This Row],[%-osuus 4]],0),0)</f>
        <v>2066</v>
      </c>
      <c r="V73" s="132">
        <f>IFERROR(ROUND(VLOOKUP($A73,'2.5 Päättäneet palaute'!$A:$Z,COLUMN('2.5 Päättäneet palaute'!X:X),FALSE),1),0)</f>
        <v>3649.7</v>
      </c>
      <c r="W73" s="13">
        <f>IFERROR(Ohj.lask.[[#This Row],[Painotetut pisteet 5]]/Ohj.lask.[[#Totals],[Painotetut pisteet 5]],0)</f>
        <v>3.5685400861684555E-4</v>
      </c>
      <c r="X73" s="16">
        <f>ROUND(IFERROR('1.1 Jakotaulu'!M$18*Ohj.lask.[[#This Row],[%-osuus 5]],0),0)</f>
        <v>8626</v>
      </c>
      <c r="Y73" s="132">
        <f>IFERROR(ROUND(VLOOKUP($A73,'2.6 Työpaikkaohjaajakysely'!B:J,COLUMN('2.6 Työpaikkaohjaajakysely'!H:H),FALSE),1),0)</f>
        <v>158317.20000000001</v>
      </c>
      <c r="Z73" s="9">
        <f>IFERROR(Ohj.lask.[[#This Row],[Painotetut pisteet 6]]/Ohj.lask.[[#Totals],[Painotetut pisteet 6]],0)</f>
        <v>4.6645240597453997E-4</v>
      </c>
      <c r="AA73" s="16">
        <f>ROUND(IFERROR('1.1 Jakotaulu'!M$20*Ohj.lask.[[#This Row],[%-osuus 6]],0),0)</f>
        <v>11275</v>
      </c>
      <c r="AB73" s="132">
        <f>IFERROR(ROUND(VLOOKUP($A73,'2.7 Työpaikkakysely'!B:H,COLUMN('2.7 Työpaikkakysely'!F:F),FALSE),1),0)</f>
        <v>55984</v>
      </c>
      <c r="AC73" s="9">
        <f>IFERROR(Ohj.lask.[[#This Row],[Pisteet 7]]/Ohj.lask.[[#Totals],[Pisteet 7]],0)</f>
        <v>3.0339181426601119E-4</v>
      </c>
      <c r="AD73" s="16">
        <f>ROUND(IFERROR('1.1 Jakotaulu'!M$21*Ohj.lask.[[#This Row],[%-osuus 7]],0),0)</f>
        <v>2444</v>
      </c>
      <c r="AE73" s="12">
        <f>IFERROR(Ohj.lask.[[#This Row],[Jaettava € 8]]/Ohj.lask.[[#Totals],[Jaettava € 8]],"")</f>
        <v>3.112473546474084E-4</v>
      </c>
      <c r="AF7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660982</v>
      </c>
      <c r="AG73" s="102">
        <v>0</v>
      </c>
      <c r="AH73" s="102">
        <v>0</v>
      </c>
      <c r="AI73" s="102">
        <v>0</v>
      </c>
      <c r="AJ73" s="102">
        <v>0</v>
      </c>
      <c r="AK73" s="102">
        <v>0</v>
      </c>
      <c r="AL73" s="107">
        <v>0</v>
      </c>
      <c r="AM73" s="107">
        <v>0</v>
      </c>
      <c r="AN7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73" s="10">
        <f>Ohj.lask.[[#This Row],[Jaettava € 1]]+Ohj.lask.[[#This Row],[Harkinnanvarainen korotus 8, €]]</f>
        <v>448360</v>
      </c>
      <c r="AP73" s="102">
        <f>Ohj.lask.[[#This Row],[Jaettava € 2]]</f>
        <v>163862</v>
      </c>
      <c r="AQ73" s="10">
        <f>Ohj.lask.[[#This Row],[Jaettava € 3]]+Ohj.lask.[[#This Row],[Jaettava € 4]]+Ohj.lask.[[#This Row],[Jaettava € 5]]+Ohj.lask.[[#This Row],[Jaettava € 6]]+Ohj.lask.[[#This Row],[Jaettava € 7]]</f>
        <v>48760</v>
      </c>
      <c r="AR73" s="33">
        <f>Ohj.lask.[[#This Row],[Jaettava € 8]]+Ohj.lask.[[#This Row],[Harkinnanvarainen korotus 8, €]]</f>
        <v>660982</v>
      </c>
      <c r="AS73" s="33">
        <v>15726</v>
      </c>
      <c r="AT73" s="16">
        <f>Ohj.lask.[[#This Row],[Perus-, suoritus- ja vaikuttavuusrahoitus yhteensä, €]]+Ohj.lask.[[#This Row],[Alv-korvaus, €]]</f>
        <v>676708</v>
      </c>
    </row>
    <row r="74" spans="1:46" ht="12.75" x14ac:dyDescent="0.2">
      <c r="A74" s="3" t="s">
        <v>295</v>
      </c>
      <c r="B74" s="7" t="s">
        <v>469</v>
      </c>
      <c r="C74" s="7" t="s">
        <v>173</v>
      </c>
      <c r="D74" s="7" t="s">
        <v>325</v>
      </c>
      <c r="E74" s="7" t="s">
        <v>373</v>
      </c>
      <c r="F74" s="105">
        <v>893</v>
      </c>
      <c r="G74" s="106">
        <f>Ohj.lask.[[#This Row],[Tavoitteelliset opiskelija-vuodet]]-Ohj.lask.[[#This Row],[Järjestämisluvan opisk.vuosien vähimmäismäärä]]</f>
        <v>156</v>
      </c>
      <c r="H74" s="32">
        <v>1049</v>
      </c>
      <c r="I74" s="8">
        <f>IFERROR(VLOOKUP($A74,'2.1 Toteut. op.vuodet'!$A:$T,COLUMN('2.1 Toteut. op.vuodet'!S:S),FALSE),0)</f>
        <v>5.1128046901161044</v>
      </c>
      <c r="J74" s="74">
        <f t="shared" si="2"/>
        <v>5363.3</v>
      </c>
      <c r="K74" s="9">
        <f>IFERROR(Ohj.lask.[[#This Row],[Painotetut opiskelija-vuodet]]/Ohj.lask.[[#Totals],[Painotetut opiskelija-vuodet]],0)</f>
        <v>2.4745568147319017E-2</v>
      </c>
      <c r="L74" s="10">
        <f>ROUND(IFERROR('1.1 Jakotaulu'!L$12*Ohj.lask.[[#This Row],[%-osuus 1]],0),0)</f>
        <v>36601071</v>
      </c>
      <c r="M74" s="132">
        <f>IFERROR(ROUND(VLOOKUP($A74,'2.2 Tutk. ja osien pain. pist.'!$A:$Q,COLUMN('2.2 Tutk. ja osien pain. pist.'!O:O),FALSE),1),0)</f>
        <v>181454.5</v>
      </c>
      <c r="N74" s="9">
        <f>IFERROR(Ohj.lask.[[#This Row],[Painotetut pisteet 2]]/Ohj.lask.[[#Totals],[Painotetut pisteet 2]],0)</f>
        <v>1.1845227624900343E-2</v>
      </c>
      <c r="O74" s="16">
        <f>ROUND(IFERROR('1.1 Jakotaulu'!K$13*Ohj.lask.[[#This Row],[%-osuus 2]],0),0)</f>
        <v>5089965</v>
      </c>
      <c r="P74" s="133">
        <f>IFERROR(ROUND(VLOOKUP($A74,'2.3 Työll. ja jatko-opisk.'!$A:$Z,COLUMN('2.3 Työll. ja jatko-opisk.'!L:L),FALSE),1),0)</f>
        <v>768.4</v>
      </c>
      <c r="Q74" s="9">
        <f>IFERROR(Ohj.lask.[[#This Row],[Painotetut pisteet 3]]/Ohj.lask.[[#Totals],[Painotetut pisteet 3]],0)</f>
        <v>2.458596769652135E-3</v>
      </c>
      <c r="R74" s="10">
        <f>ROUND(IFERROR('1.1 Jakotaulu'!L$15*Ohj.lask.[[#This Row],[%-osuus 3]],0),0)</f>
        <v>369766</v>
      </c>
      <c r="S74" s="132">
        <f>IFERROR(ROUND(VLOOKUP($A74,'2.4 Aloittaneet palaute'!$A:$I,COLUMN('2.4 Aloittaneet palaute'!H:H),FALSE),1),0)</f>
        <v>5093.7</v>
      </c>
      <c r="T74" s="13">
        <f>IFERROR(Ohj.lask.[[#This Row],[Painotetut pisteet 4]]/Ohj.lask.[[#Totals],[Painotetut pisteet 4]],0)</f>
        <v>3.0558011718913804E-3</v>
      </c>
      <c r="U74" s="16">
        <f>ROUND(IFERROR('1.1 Jakotaulu'!M$17*Ohj.lask.[[#This Row],[%-osuus 4]],0),0)</f>
        <v>24621</v>
      </c>
      <c r="V74" s="132">
        <f>IFERROR(ROUND(VLOOKUP($A74,'2.5 Päättäneet palaute'!$A:$Z,COLUMN('2.5 Päättäneet palaute'!X:X),FALSE),1),0)</f>
        <v>23343.7</v>
      </c>
      <c r="W74" s="13">
        <f>IFERROR(Ohj.lask.[[#This Row],[Painotetut pisteet 5]]/Ohj.lask.[[#Totals],[Painotetut pisteet 5]],0)</f>
        <v>2.2824596325585825E-3</v>
      </c>
      <c r="X74" s="16">
        <f>ROUND(IFERROR('1.1 Jakotaulu'!M$18*Ohj.lask.[[#This Row],[%-osuus 5]],0),0)</f>
        <v>55169</v>
      </c>
      <c r="Y74" s="132">
        <f>IFERROR(ROUND(VLOOKUP($A74,'2.6 Työpaikkaohjaajakysely'!B:J,COLUMN('2.6 Työpaikkaohjaajakysely'!H:H),FALSE),1),0)</f>
        <v>808284.6</v>
      </c>
      <c r="Z74" s="9">
        <f>IFERROR(Ohj.lask.[[#This Row],[Painotetut pisteet 6]]/Ohj.lask.[[#Totals],[Painotetut pisteet 6]],0)</f>
        <v>2.3814613723724815E-3</v>
      </c>
      <c r="AA74" s="16">
        <f>ROUND(IFERROR('1.1 Jakotaulu'!M$20*Ohj.lask.[[#This Row],[%-osuus 6]],0),0)</f>
        <v>57562</v>
      </c>
      <c r="AB74" s="132">
        <f>IFERROR(ROUND(VLOOKUP($A74,'2.7 Työpaikkakysely'!B:H,COLUMN('2.7 Työpaikkakysely'!F:F),FALSE),1),0)</f>
        <v>362741</v>
      </c>
      <c r="AC74" s="9">
        <f>IFERROR(Ohj.lask.[[#This Row],[Pisteet 7]]/Ohj.lask.[[#Totals],[Pisteet 7]],0)</f>
        <v>1.9657875482042577E-3</v>
      </c>
      <c r="AD74" s="16">
        <f>ROUND(IFERROR('1.1 Jakotaulu'!M$21*Ohj.lask.[[#This Row],[%-osuus 7]],0),0)</f>
        <v>15838</v>
      </c>
      <c r="AE74" s="12">
        <f>IFERROR(Ohj.lask.[[#This Row],[Jaettava € 8]]/Ohj.lask.[[#Totals],[Jaettava € 8]],"")</f>
        <v>1.9877989626202922E-2</v>
      </c>
      <c r="AF7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42213992</v>
      </c>
      <c r="AG74" s="102">
        <v>0</v>
      </c>
      <c r="AH74" s="102">
        <v>0</v>
      </c>
      <c r="AI74" s="102">
        <v>0</v>
      </c>
      <c r="AJ74" s="102">
        <v>0</v>
      </c>
      <c r="AK74" s="102">
        <v>7000</v>
      </c>
      <c r="AL74" s="107">
        <v>0</v>
      </c>
      <c r="AM74" s="107">
        <v>2108</v>
      </c>
      <c r="AN7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9108</v>
      </c>
      <c r="AO74" s="10">
        <f>Ohj.lask.[[#This Row],[Jaettava € 1]]+Ohj.lask.[[#This Row],[Harkinnanvarainen korotus 8, €]]</f>
        <v>36610179</v>
      </c>
      <c r="AP74" s="102">
        <f>Ohj.lask.[[#This Row],[Jaettava € 2]]</f>
        <v>5089965</v>
      </c>
      <c r="AQ74" s="10">
        <f>Ohj.lask.[[#This Row],[Jaettava € 3]]+Ohj.lask.[[#This Row],[Jaettava € 4]]+Ohj.lask.[[#This Row],[Jaettava € 5]]+Ohj.lask.[[#This Row],[Jaettava € 6]]+Ohj.lask.[[#This Row],[Jaettava € 7]]</f>
        <v>522956</v>
      </c>
      <c r="AR74" s="33">
        <f>Ohj.lask.[[#This Row],[Jaettava € 8]]+Ohj.lask.[[#This Row],[Harkinnanvarainen korotus 8, €]]</f>
        <v>42223100</v>
      </c>
      <c r="AS74" s="33">
        <v>1241561</v>
      </c>
      <c r="AT74" s="16">
        <f>Ohj.lask.[[#This Row],[Perus-, suoritus- ja vaikuttavuusrahoitus yhteensä, €]]+Ohj.lask.[[#This Row],[Alv-korvaus, €]]</f>
        <v>43464661</v>
      </c>
    </row>
    <row r="75" spans="1:46" ht="12.75" x14ac:dyDescent="0.2">
      <c r="A75" s="3" t="s">
        <v>256</v>
      </c>
      <c r="B75" s="7" t="s">
        <v>68</v>
      </c>
      <c r="C75" s="7" t="s">
        <v>255</v>
      </c>
      <c r="D75" s="7" t="s">
        <v>324</v>
      </c>
      <c r="E75" s="7" t="s">
        <v>373</v>
      </c>
      <c r="F75" s="105">
        <v>1130</v>
      </c>
      <c r="G75" s="106">
        <f>Ohj.lask.[[#This Row],[Tavoitteelliset opiskelija-vuodet]]-Ohj.lask.[[#This Row],[Järjestämisluvan opisk.vuosien vähimmäismäärä]]</f>
        <v>125</v>
      </c>
      <c r="H75" s="32">
        <v>1255</v>
      </c>
      <c r="I75" s="8">
        <f>IFERROR(VLOOKUP($A75,'2.1 Toteut. op.vuodet'!$A:$T,COLUMN('2.1 Toteut. op.vuodet'!S:S),FALSE),0)</f>
        <v>1.0638931843874913</v>
      </c>
      <c r="J75" s="74">
        <f t="shared" si="2"/>
        <v>1335.2</v>
      </c>
      <c r="K75" s="9">
        <f>IFERROR(Ohj.lask.[[#This Row],[Painotetut opiskelija-vuodet]]/Ohj.lask.[[#Totals],[Painotetut opiskelija-vuodet]],0)</f>
        <v>6.1604390189436264E-3</v>
      </c>
      <c r="L75" s="10">
        <f>ROUND(IFERROR('1.1 Jakotaulu'!L$12*Ohj.lask.[[#This Row],[%-osuus 1]],0),0)</f>
        <v>9111881</v>
      </c>
      <c r="M75" s="132">
        <f>IFERROR(ROUND(VLOOKUP($A75,'2.2 Tutk. ja osien pain. pist.'!$A:$Q,COLUMN('2.2 Tutk. ja osien pain. pist.'!O:O),FALSE),1),0)</f>
        <v>99450.9</v>
      </c>
      <c r="N75" s="9">
        <f>IFERROR(Ohj.lask.[[#This Row],[Painotetut pisteet 2]]/Ohj.lask.[[#Totals],[Painotetut pisteet 2]],0)</f>
        <v>6.4920878126538684E-3</v>
      </c>
      <c r="O75" s="16">
        <f>ROUND(IFERROR('1.1 Jakotaulu'!K$13*Ohj.lask.[[#This Row],[%-osuus 2]],0),0)</f>
        <v>2789689</v>
      </c>
      <c r="P75" s="133">
        <f>IFERROR(ROUND(VLOOKUP($A75,'2.3 Työll. ja jatko-opisk.'!$A:$Z,COLUMN('2.3 Työll. ja jatko-opisk.'!L:L),FALSE),1),0)</f>
        <v>1976.8</v>
      </c>
      <c r="Q75" s="9">
        <f>IFERROR(Ohj.lask.[[#This Row],[Painotetut pisteet 3]]/Ohj.lask.[[#Totals],[Painotetut pisteet 3]],0)</f>
        <v>6.3250313563877414E-3</v>
      </c>
      <c r="R75" s="10">
        <f>ROUND(IFERROR('1.1 Jakotaulu'!L$15*Ohj.lask.[[#This Row],[%-osuus 3]],0),0)</f>
        <v>951266</v>
      </c>
      <c r="S75" s="132">
        <f>IFERROR(ROUND(VLOOKUP($A75,'2.4 Aloittaneet palaute'!$A:$I,COLUMN('2.4 Aloittaneet palaute'!H:H),FALSE),1),0)</f>
        <v>13325.4</v>
      </c>
      <c r="T75" s="13">
        <f>IFERROR(Ohj.lask.[[#This Row],[Painotetut pisteet 4]]/Ohj.lask.[[#Totals],[Painotetut pisteet 4]],0)</f>
        <v>7.9941443225791473E-3</v>
      </c>
      <c r="U75" s="16">
        <f>ROUND(IFERROR('1.1 Jakotaulu'!M$17*Ohj.lask.[[#This Row],[%-osuus 4]],0),0)</f>
        <v>64409</v>
      </c>
      <c r="V75" s="132">
        <f>IFERROR(ROUND(VLOOKUP($A75,'2.5 Päättäneet palaute'!$A:$Z,COLUMN('2.5 Päättäneet palaute'!X:X),FALSE),1),0)</f>
        <v>76390.8</v>
      </c>
      <c r="W75" s="13">
        <f>IFERROR(Ohj.lask.[[#This Row],[Painotetut pisteet 5]]/Ohj.lask.[[#Totals],[Painotetut pisteet 5]],0)</f>
        <v>7.4692065653198152E-3</v>
      </c>
      <c r="X75" s="16">
        <f>ROUND(IFERROR('1.1 Jakotaulu'!M$18*Ohj.lask.[[#This Row],[%-osuus 5]],0),0)</f>
        <v>180538</v>
      </c>
      <c r="Y75" s="132">
        <f>IFERROR(ROUND(VLOOKUP($A75,'2.6 Työpaikkaohjaajakysely'!B:J,COLUMN('2.6 Työpaikkaohjaajakysely'!H:H),FALSE),1),0)</f>
        <v>3355519.5</v>
      </c>
      <c r="Z75" s="9">
        <f>IFERROR(Ohj.lask.[[#This Row],[Painotetut pisteet 6]]/Ohj.lask.[[#Totals],[Painotetut pisteet 6]],0)</f>
        <v>9.8864188102713111E-3</v>
      </c>
      <c r="AA75" s="16">
        <f>ROUND(IFERROR('1.1 Jakotaulu'!M$20*Ohj.lask.[[#This Row],[%-osuus 6]],0),0)</f>
        <v>238964</v>
      </c>
      <c r="AB75" s="132">
        <f>IFERROR(ROUND(VLOOKUP($A75,'2.7 Työpaikkakysely'!B:H,COLUMN('2.7 Työpaikkakysely'!F:F),FALSE),1),0)</f>
        <v>1579226.4</v>
      </c>
      <c r="AC75" s="9">
        <f>IFERROR(Ohj.lask.[[#This Row],[Pisteet 7]]/Ohj.lask.[[#Totals],[Pisteet 7]],0)</f>
        <v>8.5582374005569711E-3</v>
      </c>
      <c r="AD75" s="16">
        <f>ROUND(IFERROR('1.1 Jakotaulu'!M$21*Ohj.lask.[[#This Row],[%-osuus 7]],0),0)</f>
        <v>68954</v>
      </c>
      <c r="AE75" s="12">
        <f>IFERROR(Ohj.lask.[[#This Row],[Jaettava € 8]]/Ohj.lask.[[#Totals],[Jaettava € 8]],"")</f>
        <v>6.3125606649562576E-3</v>
      </c>
      <c r="AF7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13405701</v>
      </c>
      <c r="AG75" s="102">
        <v>0</v>
      </c>
      <c r="AH75" s="102">
        <v>150000</v>
      </c>
      <c r="AI75" s="102">
        <v>0</v>
      </c>
      <c r="AJ75" s="102">
        <v>0</v>
      </c>
      <c r="AK75" s="102">
        <v>21000</v>
      </c>
      <c r="AL75" s="107">
        <v>0</v>
      </c>
      <c r="AM75" s="107">
        <v>52233</v>
      </c>
      <c r="AN7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223233</v>
      </c>
      <c r="AO75" s="10">
        <f>Ohj.lask.[[#This Row],[Jaettava € 1]]+Ohj.lask.[[#This Row],[Harkinnanvarainen korotus 8, €]]</f>
        <v>9335114</v>
      </c>
      <c r="AP75" s="102">
        <f>Ohj.lask.[[#This Row],[Jaettava € 2]]</f>
        <v>2789689</v>
      </c>
      <c r="AQ75" s="10">
        <f>Ohj.lask.[[#This Row],[Jaettava € 3]]+Ohj.lask.[[#This Row],[Jaettava € 4]]+Ohj.lask.[[#This Row],[Jaettava € 5]]+Ohj.lask.[[#This Row],[Jaettava € 6]]+Ohj.lask.[[#This Row],[Jaettava € 7]]</f>
        <v>1504131</v>
      </c>
      <c r="AR75" s="33">
        <f>Ohj.lask.[[#This Row],[Jaettava € 8]]+Ohj.lask.[[#This Row],[Harkinnanvarainen korotus 8, €]]</f>
        <v>13628934</v>
      </c>
      <c r="AS75" s="33">
        <v>0</v>
      </c>
      <c r="AT75" s="16">
        <f>Ohj.lask.[[#This Row],[Perus-, suoritus- ja vaikuttavuusrahoitus yhteensä, €]]+Ohj.lask.[[#This Row],[Alv-korvaus, €]]</f>
        <v>13628934</v>
      </c>
    </row>
    <row r="76" spans="1:46" ht="12.75" x14ac:dyDescent="0.2">
      <c r="A76" s="3" t="s">
        <v>254</v>
      </c>
      <c r="B76" s="7" t="s">
        <v>69</v>
      </c>
      <c r="C76" s="7" t="s">
        <v>186</v>
      </c>
      <c r="D76" s="7" t="s">
        <v>324</v>
      </c>
      <c r="E76" s="7" t="s">
        <v>373</v>
      </c>
      <c r="F76" s="105">
        <v>1604</v>
      </c>
      <c r="G76" s="106">
        <f>Ohj.lask.[[#This Row],[Tavoitteelliset opiskelija-vuodet]]-Ohj.lask.[[#This Row],[Järjestämisluvan opisk.vuosien vähimmäismäärä]]</f>
        <v>94</v>
      </c>
      <c r="H76" s="32">
        <v>1698</v>
      </c>
      <c r="I76" s="8">
        <f>IFERROR(VLOOKUP($A76,'2.1 Toteut. op.vuodet'!$A:$T,COLUMN('2.1 Toteut. op.vuodet'!S:S),FALSE),0)</f>
        <v>1.09816282932284</v>
      </c>
      <c r="J76" s="74">
        <f t="shared" si="2"/>
        <v>1864.7</v>
      </c>
      <c r="K76" s="9">
        <f>IFERROR(Ohj.lask.[[#This Row],[Painotetut opiskelija-vuodet]]/Ohj.lask.[[#Totals],[Painotetut opiskelija-vuodet]],0)</f>
        <v>8.6034831026244613E-3</v>
      </c>
      <c r="L76" s="10">
        <f>ROUND(IFERROR('1.1 Jakotaulu'!L$12*Ohj.lask.[[#This Row],[%-osuus 1]],0),0)</f>
        <v>12725377</v>
      </c>
      <c r="M76" s="132">
        <f>IFERROR(ROUND(VLOOKUP($A76,'2.2 Tutk. ja osien pain. pist.'!$A:$Q,COLUMN('2.2 Tutk. ja osien pain. pist.'!O:O),FALSE),1),0)</f>
        <v>162527.4</v>
      </c>
      <c r="N76" s="9">
        <f>IFERROR(Ohj.lask.[[#This Row],[Painotetut pisteet 2]]/Ohj.lask.[[#Totals],[Painotetut pisteet 2]],0)</f>
        <v>1.0609679276530634E-2</v>
      </c>
      <c r="O76" s="16">
        <f>ROUND(IFERROR('1.1 Jakotaulu'!K$13*Ohj.lask.[[#This Row],[%-osuus 2]],0),0)</f>
        <v>4559043</v>
      </c>
      <c r="P76" s="133">
        <f>IFERROR(ROUND(VLOOKUP($A76,'2.3 Työll. ja jatko-opisk.'!$A:$Z,COLUMN('2.3 Työll. ja jatko-opisk.'!L:L),FALSE),1),0)</f>
        <v>3480.6</v>
      </c>
      <c r="Q76" s="9">
        <f>IFERROR(Ohj.lask.[[#This Row],[Painotetut pisteet 3]]/Ohj.lask.[[#Totals],[Painotetut pisteet 3]],0)</f>
        <v>1.1136637059410752E-2</v>
      </c>
      <c r="R76" s="10">
        <f>ROUND(IFERROR('1.1 Jakotaulu'!L$15*Ohj.lask.[[#This Row],[%-osuus 3]],0),0)</f>
        <v>1674918</v>
      </c>
      <c r="S76" s="132">
        <f>IFERROR(ROUND(VLOOKUP($A76,'2.4 Aloittaneet palaute'!$A:$I,COLUMN('2.4 Aloittaneet palaute'!H:H),FALSE),1),0)</f>
        <v>14433.8</v>
      </c>
      <c r="T76" s="13">
        <f>IFERROR(Ohj.lask.[[#This Row],[Painotetut pisteet 4]]/Ohj.lask.[[#Totals],[Painotetut pisteet 4]],0)</f>
        <v>8.6590931846881065E-3</v>
      </c>
      <c r="U76" s="16">
        <f>ROUND(IFERROR('1.1 Jakotaulu'!M$17*Ohj.lask.[[#This Row],[%-osuus 4]],0),0)</f>
        <v>69766</v>
      </c>
      <c r="V76" s="132">
        <f>IFERROR(ROUND(VLOOKUP($A76,'2.5 Päättäneet palaute'!$A:$Z,COLUMN('2.5 Päättäneet palaute'!X:X),FALSE),1),0)</f>
        <v>103192.2</v>
      </c>
      <c r="W76" s="13">
        <f>IFERROR(Ohj.lask.[[#This Row],[Painotetut pisteet 5]]/Ohj.lask.[[#Totals],[Painotetut pisteet 5]],0)</f>
        <v>1.0089747164970067E-2</v>
      </c>
      <c r="X76" s="16">
        <f>ROUND(IFERROR('1.1 Jakotaulu'!M$18*Ohj.lask.[[#This Row],[%-osuus 5]],0),0)</f>
        <v>243879</v>
      </c>
      <c r="Y76" s="132">
        <f>IFERROR(ROUND(VLOOKUP($A76,'2.6 Työpaikkaohjaajakysely'!B:J,COLUMN('2.6 Työpaikkaohjaajakysely'!H:H),FALSE),1),0)</f>
        <v>3778880.6</v>
      </c>
      <c r="Z76" s="9">
        <f>IFERROR(Ohj.lask.[[#This Row],[Painotetut pisteet 6]]/Ohj.lask.[[#Totals],[Painotetut pisteet 6]],0)</f>
        <v>1.1133774143052765E-2</v>
      </c>
      <c r="AA76" s="16">
        <f>ROUND(IFERROR('1.1 Jakotaulu'!M$20*Ohj.lask.[[#This Row],[%-osuus 6]],0),0)</f>
        <v>269114</v>
      </c>
      <c r="AB76" s="132">
        <f>IFERROR(ROUND(VLOOKUP($A76,'2.7 Työpaikkakysely'!B:H,COLUMN('2.7 Työpaikkakysely'!F:F),FALSE),1),0)</f>
        <v>1168880.3</v>
      </c>
      <c r="AC76" s="9">
        <f>IFERROR(Ohj.lask.[[#This Row],[Pisteet 7]]/Ohj.lask.[[#Totals],[Pisteet 7]],0)</f>
        <v>6.3344654700771543E-3</v>
      </c>
      <c r="AD76" s="16">
        <f>ROUND(IFERROR('1.1 Jakotaulu'!M$21*Ohj.lask.[[#This Row],[%-osuus 7]],0),0)</f>
        <v>51037</v>
      </c>
      <c r="AE76" s="12">
        <f>IFERROR(Ohj.lask.[[#This Row],[Jaettava € 8]]/Ohj.lask.[[#Totals],[Jaettava € 8]],"")</f>
        <v>9.2261379685864287E-3</v>
      </c>
      <c r="AF7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19593134</v>
      </c>
      <c r="AG76" s="102">
        <v>0</v>
      </c>
      <c r="AH76" s="102">
        <v>0</v>
      </c>
      <c r="AI76" s="102">
        <v>0</v>
      </c>
      <c r="AJ76" s="102">
        <v>0</v>
      </c>
      <c r="AK76" s="102">
        <v>19000</v>
      </c>
      <c r="AL76" s="107">
        <v>0</v>
      </c>
      <c r="AM76" s="107">
        <v>82834</v>
      </c>
      <c r="AN7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101834</v>
      </c>
      <c r="AO76" s="10">
        <f>Ohj.lask.[[#This Row],[Jaettava € 1]]+Ohj.lask.[[#This Row],[Harkinnanvarainen korotus 8, €]]</f>
        <v>12827211</v>
      </c>
      <c r="AP76" s="102">
        <f>Ohj.lask.[[#This Row],[Jaettava € 2]]</f>
        <v>4559043</v>
      </c>
      <c r="AQ76" s="10">
        <f>Ohj.lask.[[#This Row],[Jaettava € 3]]+Ohj.lask.[[#This Row],[Jaettava € 4]]+Ohj.lask.[[#This Row],[Jaettava € 5]]+Ohj.lask.[[#This Row],[Jaettava € 6]]+Ohj.lask.[[#This Row],[Jaettava € 7]]</f>
        <v>2308714</v>
      </c>
      <c r="AR76" s="33">
        <f>Ohj.lask.[[#This Row],[Jaettava € 8]]+Ohj.lask.[[#This Row],[Harkinnanvarainen korotus 8, €]]</f>
        <v>19694968</v>
      </c>
      <c r="AS76" s="33">
        <v>0</v>
      </c>
      <c r="AT76" s="16">
        <f>Ohj.lask.[[#This Row],[Perus-, suoritus- ja vaikuttavuusrahoitus yhteensä, €]]+Ohj.lask.[[#This Row],[Alv-korvaus, €]]</f>
        <v>19694968</v>
      </c>
    </row>
    <row r="77" spans="1:46" ht="12.75" x14ac:dyDescent="0.2">
      <c r="A77" s="3" t="s">
        <v>253</v>
      </c>
      <c r="B77" s="7" t="s">
        <v>70</v>
      </c>
      <c r="C77" s="7" t="s">
        <v>173</v>
      </c>
      <c r="D77" s="7" t="s">
        <v>324</v>
      </c>
      <c r="E77" s="7" t="s">
        <v>373</v>
      </c>
      <c r="F77" s="105">
        <v>2470</v>
      </c>
      <c r="G77" s="106">
        <f>Ohj.lask.[[#This Row],[Tavoitteelliset opiskelija-vuodet]]-Ohj.lask.[[#This Row],[Järjestämisluvan opisk.vuosien vähimmäismäärä]]</f>
        <v>180</v>
      </c>
      <c r="H77" s="32">
        <v>2650</v>
      </c>
      <c r="I77" s="8">
        <f>IFERROR(VLOOKUP($A77,'2.1 Toteut. op.vuodet'!$A:$T,COLUMN('2.1 Toteut. op.vuodet'!S:S),FALSE),0)</f>
        <v>1.1093880372832106</v>
      </c>
      <c r="J77" s="74">
        <f t="shared" si="2"/>
        <v>2939.9</v>
      </c>
      <c r="K77" s="9">
        <f>IFERROR(Ohj.lask.[[#This Row],[Painotetut opiskelija-vuodet]]/Ohj.lask.[[#Totals],[Painotetut opiskelija-vuodet]],0)</f>
        <v>1.3564315961498178E-2</v>
      </c>
      <c r="L77" s="10">
        <f>ROUND(IFERROR('1.1 Jakotaulu'!L$12*Ohj.lask.[[#This Row],[%-osuus 1]],0),0)</f>
        <v>20062925</v>
      </c>
      <c r="M77" s="132">
        <f>IFERROR(ROUND(VLOOKUP($A77,'2.2 Tutk. ja osien pain. pist.'!$A:$Q,COLUMN('2.2 Tutk. ja osien pain. pist.'!O:O),FALSE),1),0)</f>
        <v>206991</v>
      </c>
      <c r="N77" s="9">
        <f>IFERROR(Ohj.lask.[[#This Row],[Painotetut pisteet 2]]/Ohj.lask.[[#Totals],[Painotetut pisteet 2]],0)</f>
        <v>1.3512233156553002E-2</v>
      </c>
      <c r="O77" s="16">
        <f>ROUND(IFERROR('1.1 Jakotaulu'!K$13*Ohj.lask.[[#This Row],[%-osuus 2]],0),0)</f>
        <v>5806288</v>
      </c>
      <c r="P77" s="133">
        <f>IFERROR(ROUND(VLOOKUP($A77,'2.3 Työll. ja jatko-opisk.'!$A:$Z,COLUMN('2.3 Työll. ja jatko-opisk.'!L:L),FALSE),1),0)</f>
        <v>4967</v>
      </c>
      <c r="Q77" s="9">
        <f>IFERROR(Ohj.lask.[[#This Row],[Painotetut pisteet 3]]/Ohj.lask.[[#Totals],[Painotetut pisteet 3]],0)</f>
        <v>1.5892569176030914E-2</v>
      </c>
      <c r="R77" s="10">
        <f>ROUND(IFERROR('1.1 Jakotaulu'!L$15*Ohj.lask.[[#This Row],[%-osuus 3]],0),0)</f>
        <v>2390196</v>
      </c>
      <c r="S77" s="132">
        <f>IFERROR(ROUND(VLOOKUP($A77,'2.4 Aloittaneet palaute'!$A:$I,COLUMN('2.4 Aloittaneet palaute'!H:H),FALSE),1),0)</f>
        <v>17764</v>
      </c>
      <c r="T77" s="13">
        <f>IFERROR(Ohj.lask.[[#This Row],[Painotetut pisteet 4]]/Ohj.lask.[[#Totals],[Painotetut pisteet 4]],0)</f>
        <v>1.0656939359891333E-2</v>
      </c>
      <c r="U77" s="16">
        <f>ROUND(IFERROR('1.1 Jakotaulu'!M$17*Ohj.lask.[[#This Row],[%-osuus 4]],0),0)</f>
        <v>85863</v>
      </c>
      <c r="V77" s="132">
        <f>IFERROR(ROUND(VLOOKUP($A77,'2.5 Päättäneet palaute'!$A:$Z,COLUMN('2.5 Päättäneet palaute'!X:X),FALSE),1),0)</f>
        <v>127750</v>
      </c>
      <c r="W77" s="13">
        <f>IFERROR(Ohj.lask.[[#This Row],[Painotetut pisteet 5]]/Ohj.lask.[[#Totals],[Painotetut pisteet 5]],0)</f>
        <v>1.2490916952298004E-2</v>
      </c>
      <c r="X77" s="16">
        <f>ROUND(IFERROR('1.1 Jakotaulu'!M$18*Ohj.lask.[[#This Row],[%-osuus 5]],0),0)</f>
        <v>301917</v>
      </c>
      <c r="Y77" s="132">
        <f>IFERROR(ROUND(VLOOKUP($A77,'2.6 Työpaikkaohjaajakysely'!B:J,COLUMN('2.6 Työpaikkaohjaajakysely'!H:H),FALSE),1),0)</f>
        <v>4439710.7</v>
      </c>
      <c r="Z77" s="9">
        <f>IFERROR(Ohj.lask.[[#This Row],[Painotetut pisteet 6]]/Ohj.lask.[[#Totals],[Painotetut pisteet 6]],0)</f>
        <v>1.3080788049851242E-2</v>
      </c>
      <c r="AA77" s="16">
        <f>ROUND(IFERROR('1.1 Jakotaulu'!M$20*Ohj.lask.[[#This Row],[%-osuus 6]],0),0)</f>
        <v>316175</v>
      </c>
      <c r="AB77" s="132">
        <f>IFERROR(ROUND(VLOOKUP($A77,'2.7 Työpaikkakysely'!B:H,COLUMN('2.7 Työpaikkakysely'!F:F),FALSE),1),0)</f>
        <v>1140563.8</v>
      </c>
      <c r="AC77" s="9">
        <f>IFERROR(Ohj.lask.[[#This Row],[Pisteet 7]]/Ohj.lask.[[#Totals],[Pisteet 7]],0)</f>
        <v>6.1810110132919389E-3</v>
      </c>
      <c r="AD77" s="16">
        <f>ROUND(IFERROR('1.1 Jakotaulu'!M$21*Ohj.lask.[[#This Row],[%-osuus 7]],0),0)</f>
        <v>49800</v>
      </c>
      <c r="AE77" s="12">
        <f>IFERROR(Ohj.lask.[[#This Row],[Jaettava € 8]]/Ohj.lask.[[#Totals],[Jaettava € 8]],"")</f>
        <v>1.3661900845940466E-2</v>
      </c>
      <c r="AF7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29013164</v>
      </c>
      <c r="AG77" s="102">
        <v>0</v>
      </c>
      <c r="AH77" s="102">
        <v>0</v>
      </c>
      <c r="AI77" s="102">
        <v>0</v>
      </c>
      <c r="AJ77" s="102">
        <v>0</v>
      </c>
      <c r="AK77" s="102">
        <v>29000</v>
      </c>
      <c r="AL77" s="107">
        <v>0</v>
      </c>
      <c r="AM77" s="107">
        <v>0</v>
      </c>
      <c r="AN7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29000</v>
      </c>
      <c r="AO77" s="10">
        <f>Ohj.lask.[[#This Row],[Jaettava € 1]]+Ohj.lask.[[#This Row],[Harkinnanvarainen korotus 8, €]]</f>
        <v>20091925</v>
      </c>
      <c r="AP77" s="102">
        <f>Ohj.lask.[[#This Row],[Jaettava € 2]]</f>
        <v>5806288</v>
      </c>
      <c r="AQ77" s="10">
        <f>Ohj.lask.[[#This Row],[Jaettava € 3]]+Ohj.lask.[[#This Row],[Jaettava € 4]]+Ohj.lask.[[#This Row],[Jaettava € 5]]+Ohj.lask.[[#This Row],[Jaettava € 6]]+Ohj.lask.[[#This Row],[Jaettava € 7]]</f>
        <v>3143951</v>
      </c>
      <c r="AR77" s="33">
        <f>Ohj.lask.[[#This Row],[Jaettava € 8]]+Ohj.lask.[[#This Row],[Harkinnanvarainen korotus 8, €]]</f>
        <v>29042164</v>
      </c>
      <c r="AS77" s="33">
        <v>0</v>
      </c>
      <c r="AT77" s="16">
        <f>Ohj.lask.[[#This Row],[Perus-, suoritus- ja vaikuttavuusrahoitus yhteensä, €]]+Ohj.lask.[[#This Row],[Alv-korvaus, €]]</f>
        <v>29042164</v>
      </c>
    </row>
    <row r="78" spans="1:46" ht="12.75" x14ac:dyDescent="0.2">
      <c r="A78" s="3" t="s">
        <v>252</v>
      </c>
      <c r="B78" s="7" t="s">
        <v>71</v>
      </c>
      <c r="C78" s="7" t="s">
        <v>214</v>
      </c>
      <c r="D78" s="7" t="s">
        <v>325</v>
      </c>
      <c r="E78" s="7" t="s">
        <v>373</v>
      </c>
      <c r="F78" s="105">
        <v>4267</v>
      </c>
      <c r="G78" s="106">
        <f>Ohj.lask.[[#This Row],[Tavoitteelliset opiskelija-vuodet]]-Ohj.lask.[[#This Row],[Järjestämisluvan opisk.vuosien vähimmäismäärä]]</f>
        <v>425</v>
      </c>
      <c r="H78" s="32">
        <v>4692</v>
      </c>
      <c r="I78" s="8">
        <f>IFERROR(VLOOKUP($A78,'2.1 Toteut. op.vuodet'!$A:$T,COLUMN('2.1 Toteut. op.vuodet'!S:S),FALSE),0)</f>
        <v>1.0477251751289685</v>
      </c>
      <c r="J78" s="74">
        <f t="shared" si="2"/>
        <v>4915.8999999999996</v>
      </c>
      <c r="K78" s="9">
        <f>IFERROR(Ohj.lask.[[#This Row],[Painotetut opiskelija-vuodet]]/Ohj.lask.[[#Totals],[Painotetut opiskelija-vuodet]],0)</f>
        <v>2.2681322778029485E-2</v>
      </c>
      <c r="L78" s="10">
        <f>ROUND(IFERROR('1.1 Jakotaulu'!L$12*Ohj.lask.[[#This Row],[%-osuus 1]],0),0)</f>
        <v>33547854</v>
      </c>
      <c r="M78" s="132">
        <f>IFERROR(ROUND(VLOOKUP($A78,'2.2 Tutk. ja osien pain. pist.'!$A:$Q,COLUMN('2.2 Tutk. ja osien pain. pist.'!O:O),FALSE),1),0)</f>
        <v>396088.3</v>
      </c>
      <c r="N78" s="9">
        <f>IFERROR(Ohj.lask.[[#This Row],[Painotetut pisteet 2]]/Ohj.lask.[[#Totals],[Painotetut pisteet 2]],0)</f>
        <v>2.5856377621165716E-2</v>
      </c>
      <c r="O78" s="16">
        <f>ROUND(IFERROR('1.1 Jakotaulu'!K$13*Ohj.lask.[[#This Row],[%-osuus 2]],0),0)</f>
        <v>11110641</v>
      </c>
      <c r="P78" s="133">
        <f>IFERROR(ROUND(VLOOKUP($A78,'2.3 Työll. ja jatko-opisk.'!$A:$Z,COLUMN('2.3 Työll. ja jatko-opisk.'!L:L),FALSE),1),0)</f>
        <v>7956.6</v>
      </c>
      <c r="Q78" s="9">
        <f>IFERROR(Ohj.lask.[[#This Row],[Painotetut pisteet 3]]/Ohj.lask.[[#Totals],[Painotetut pisteet 3]],0)</f>
        <v>2.5458187216832611E-2</v>
      </c>
      <c r="R78" s="10">
        <f>ROUND(IFERROR('1.1 Jakotaulu'!L$15*Ohj.lask.[[#This Row],[%-osuus 3]],0),0)</f>
        <v>3828838</v>
      </c>
      <c r="S78" s="132">
        <f>IFERROR(ROUND(VLOOKUP($A78,'2.4 Aloittaneet palaute'!$A:$I,COLUMN('2.4 Aloittaneet palaute'!H:H),FALSE),1),0)</f>
        <v>45844.1</v>
      </c>
      <c r="T78" s="13">
        <f>IFERROR(Ohj.lask.[[#This Row],[Painotetut pisteet 4]]/Ohj.lask.[[#Totals],[Painotetut pisteet 4]],0)</f>
        <v>2.7502690481242639E-2</v>
      </c>
      <c r="U78" s="16">
        <f>ROUND(IFERROR('1.1 Jakotaulu'!M$17*Ohj.lask.[[#This Row],[%-osuus 4]],0),0)</f>
        <v>221589</v>
      </c>
      <c r="V78" s="132">
        <f>IFERROR(ROUND(VLOOKUP($A78,'2.5 Päättäneet palaute'!$A:$Z,COLUMN('2.5 Päättäneet palaute'!X:X),FALSE),1),0)</f>
        <v>290921.7</v>
      </c>
      <c r="W78" s="13">
        <f>IFERROR(Ohj.lask.[[#This Row],[Painotetut pisteet 5]]/Ohj.lask.[[#Totals],[Painotetut pisteet 5]],0)</f>
        <v>2.8445235180597685E-2</v>
      </c>
      <c r="X78" s="16">
        <f>ROUND(IFERROR('1.1 Jakotaulu'!M$18*Ohj.lask.[[#This Row],[%-osuus 5]],0),0)</f>
        <v>687549</v>
      </c>
      <c r="Y78" s="132">
        <f>IFERROR(ROUND(VLOOKUP($A78,'2.6 Työpaikkaohjaajakysely'!B:J,COLUMN('2.6 Työpaikkaohjaajakysely'!H:H),FALSE),1),0)</f>
        <v>6093745</v>
      </c>
      <c r="Z78" s="9">
        <f>IFERROR(Ohj.lask.[[#This Row],[Painotetut pisteet 6]]/Ohj.lask.[[#Totals],[Painotetut pisteet 6]],0)</f>
        <v>1.7954094796050733E-2</v>
      </c>
      <c r="AA78" s="16">
        <f>ROUND(IFERROR('1.1 Jakotaulu'!M$20*Ohj.lask.[[#This Row],[%-osuus 6]],0),0)</f>
        <v>433968</v>
      </c>
      <c r="AB78" s="132">
        <f>IFERROR(ROUND(VLOOKUP($A78,'2.7 Työpaikkakysely'!B:H,COLUMN('2.7 Työpaikkakysely'!F:F),FALSE),1),0)</f>
        <v>4224796.3</v>
      </c>
      <c r="AC78" s="9">
        <f>IFERROR(Ohj.lask.[[#This Row],[Pisteet 7]]/Ohj.lask.[[#Totals],[Pisteet 7]],0)</f>
        <v>2.2895266761241269E-2</v>
      </c>
      <c r="AD78" s="16">
        <f>ROUND(IFERROR('1.1 Jakotaulu'!M$21*Ohj.lask.[[#This Row],[%-osuus 7]],0),0)</f>
        <v>184467</v>
      </c>
      <c r="AE78" s="12">
        <f>IFERROR(Ohj.lask.[[#This Row],[Jaettava € 8]]/Ohj.lask.[[#Totals],[Jaettava € 8]],"")</f>
        <v>2.3551332994603172E-2</v>
      </c>
      <c r="AF7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50014906</v>
      </c>
      <c r="AG78" s="102">
        <v>0</v>
      </c>
      <c r="AH78" s="102">
        <v>80000</v>
      </c>
      <c r="AI78" s="102">
        <v>0</v>
      </c>
      <c r="AJ78" s="102">
        <v>0</v>
      </c>
      <c r="AK78" s="102">
        <v>61000</v>
      </c>
      <c r="AL78" s="107">
        <v>0</v>
      </c>
      <c r="AM78" s="107">
        <v>164361</v>
      </c>
      <c r="AN7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305361</v>
      </c>
      <c r="AO78" s="10">
        <f>Ohj.lask.[[#This Row],[Jaettava € 1]]+Ohj.lask.[[#This Row],[Harkinnanvarainen korotus 8, €]]</f>
        <v>33853215</v>
      </c>
      <c r="AP78" s="102">
        <f>Ohj.lask.[[#This Row],[Jaettava € 2]]</f>
        <v>11110641</v>
      </c>
      <c r="AQ78" s="10">
        <f>Ohj.lask.[[#This Row],[Jaettava € 3]]+Ohj.lask.[[#This Row],[Jaettava € 4]]+Ohj.lask.[[#This Row],[Jaettava € 5]]+Ohj.lask.[[#This Row],[Jaettava € 6]]+Ohj.lask.[[#This Row],[Jaettava € 7]]</f>
        <v>5356411</v>
      </c>
      <c r="AR78" s="33">
        <f>Ohj.lask.[[#This Row],[Jaettava € 8]]+Ohj.lask.[[#This Row],[Harkinnanvarainen korotus 8, €]]</f>
        <v>50320267</v>
      </c>
      <c r="AS78" s="33">
        <v>4268161</v>
      </c>
      <c r="AT78" s="16">
        <f>Ohj.lask.[[#This Row],[Perus-, suoritus- ja vaikuttavuusrahoitus yhteensä, €]]+Ohj.lask.[[#This Row],[Alv-korvaus, €]]</f>
        <v>54588428</v>
      </c>
    </row>
    <row r="79" spans="1:46" ht="12.75" x14ac:dyDescent="0.2">
      <c r="A79" s="3" t="s">
        <v>250</v>
      </c>
      <c r="B79" s="7" t="s">
        <v>72</v>
      </c>
      <c r="C79" s="96" t="s">
        <v>173</v>
      </c>
      <c r="D79" s="96" t="s">
        <v>325</v>
      </c>
      <c r="E79" s="96" t="s">
        <v>373</v>
      </c>
      <c r="F79" s="104">
        <v>199</v>
      </c>
      <c r="G79" s="106">
        <f>Ohj.lask.[[#This Row],[Tavoitteelliset opiskelija-vuodet]]-Ohj.lask.[[#This Row],[Järjestämisluvan opisk.vuosien vähimmäismäärä]]</f>
        <v>31</v>
      </c>
      <c r="H79" s="32">
        <v>230</v>
      </c>
      <c r="I79" s="8">
        <f>IFERROR(VLOOKUP($A79,'2.1 Toteut. op.vuodet'!$A:$T,COLUMN('2.1 Toteut. op.vuodet'!S:S),FALSE),0)</f>
        <v>1.1426839648148692</v>
      </c>
      <c r="J79" s="74">
        <f t="shared" si="2"/>
        <v>262.8</v>
      </c>
      <c r="K79" s="9">
        <f>IFERROR(Ohj.lask.[[#This Row],[Painotetut opiskelija-vuodet]]/Ohj.lask.[[#Totals],[Painotetut opiskelija-vuodet]],0)</f>
        <v>1.212524995639893E-3</v>
      </c>
      <c r="L79" s="10">
        <f>ROUND(IFERROR('1.1 Jakotaulu'!L$12*Ohj.lask.[[#This Row],[%-osuus 1]],0),0)</f>
        <v>1793441</v>
      </c>
      <c r="M79" s="132">
        <f>IFERROR(ROUND(VLOOKUP($A79,'2.2 Tutk. ja osien pain. pist.'!$A:$Q,COLUMN('2.2 Tutk. ja osien pain. pist.'!O:O),FALSE),1),0)</f>
        <v>25990.7</v>
      </c>
      <c r="N79" s="9">
        <f>IFERROR(Ohj.lask.[[#This Row],[Painotetut pisteet 2]]/Ohj.lask.[[#Totals],[Painotetut pisteet 2]],0)</f>
        <v>1.6966554019354567E-3</v>
      </c>
      <c r="O79" s="16">
        <f>ROUND(IFERROR('1.1 Jakotaulu'!K$13*Ohj.lask.[[#This Row],[%-osuus 2]],0),0)</f>
        <v>729063</v>
      </c>
      <c r="P79" s="133">
        <f>IFERROR(ROUND(VLOOKUP($A79,'2.3 Työll. ja jatko-opisk.'!$A:$Z,COLUMN('2.3 Työll. ja jatko-opisk.'!L:L),FALSE),1),0)</f>
        <v>256</v>
      </c>
      <c r="Q79" s="13">
        <f>IFERROR(Ohj.lask.[[#This Row],[Painotetut pisteet 3]]/Ohj.lask.[[#Totals],[Painotetut pisteet 3]],0)</f>
        <v>8.1910563903038339E-4</v>
      </c>
      <c r="R79" s="10">
        <f>ROUND(IFERROR('1.1 Jakotaulu'!L$15*Ohj.lask.[[#This Row],[%-osuus 3]],0),0)</f>
        <v>123191</v>
      </c>
      <c r="S79" s="132">
        <f>IFERROR(ROUND(VLOOKUP($A79,'2.4 Aloittaneet palaute'!$A:$I,COLUMN('2.4 Aloittaneet palaute'!H:H),FALSE),1),0)</f>
        <v>2027</v>
      </c>
      <c r="T79" s="13">
        <f>IFERROR(Ohj.lask.[[#This Row],[Painotetut pisteet 4]]/Ohj.lask.[[#Totals],[Painotetut pisteet 4]],0)</f>
        <v>1.2160333304717256E-3</v>
      </c>
      <c r="U79" s="16">
        <f>ROUND(IFERROR('1.1 Jakotaulu'!M$17*Ohj.lask.[[#This Row],[%-osuus 4]],0),0)</f>
        <v>9798</v>
      </c>
      <c r="V79" s="132">
        <f>IFERROR(ROUND(VLOOKUP($A79,'2.5 Päättäneet palaute'!$A:$Z,COLUMN('2.5 Päättäneet palaute'!X:X),FALSE),1),0)</f>
        <v>15092.3</v>
      </c>
      <c r="W79" s="13">
        <f>IFERROR(Ohj.lask.[[#This Row],[Painotetut pisteet 5]]/Ohj.lask.[[#Totals],[Painotetut pisteet 5]],0)</f>
        <v>1.4756686177625608E-3</v>
      </c>
      <c r="X79" s="16">
        <f>ROUND(IFERROR('1.1 Jakotaulu'!M$18*Ohj.lask.[[#This Row],[%-osuus 5]],0),0)</f>
        <v>35668</v>
      </c>
      <c r="Y79" s="132">
        <f>IFERROR(ROUND(VLOOKUP($A79,'2.6 Työpaikkaohjaajakysely'!B:J,COLUMN('2.6 Työpaikkaohjaajakysely'!H:H),FALSE),1),0)</f>
        <v>256593.1</v>
      </c>
      <c r="Z79" s="9">
        <f>IFERROR(Ohj.lask.[[#This Row],[Painotetut pisteet 6]]/Ohj.lask.[[#Totals],[Painotetut pisteet 6]],0)</f>
        <v>7.5600420454294119E-4</v>
      </c>
      <c r="AA79" s="16">
        <f>ROUND(IFERROR('1.1 Jakotaulu'!M$20*Ohj.lask.[[#This Row],[%-osuus 6]],0),0)</f>
        <v>18273</v>
      </c>
      <c r="AB79" s="132">
        <f>IFERROR(ROUND(VLOOKUP($A79,'2.7 Työpaikkakysely'!B:H,COLUMN('2.7 Työpaikkakysely'!F:F),FALSE),1),0)</f>
        <v>166945</v>
      </c>
      <c r="AC79" s="9">
        <f>IFERROR(Ohj.lask.[[#This Row],[Pisteet 7]]/Ohj.lask.[[#Totals],[Pisteet 7]],0)</f>
        <v>9.047182486538874E-4</v>
      </c>
      <c r="AD79" s="16">
        <f>ROUND(IFERROR('1.1 Jakotaulu'!M$21*Ohj.lask.[[#This Row],[%-osuus 7]],0),0)</f>
        <v>7289</v>
      </c>
      <c r="AE79" s="12">
        <f>IFERROR(Ohj.lask.[[#This Row],[Jaettava € 8]]/Ohj.lask.[[#Totals],[Jaettava € 8]],"")</f>
        <v>1.2792675852894197E-3</v>
      </c>
      <c r="AF7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2716723</v>
      </c>
      <c r="AG79" s="102">
        <v>0</v>
      </c>
      <c r="AH79" s="102">
        <v>0</v>
      </c>
      <c r="AI79" s="102">
        <v>0</v>
      </c>
      <c r="AJ79" s="102">
        <v>0</v>
      </c>
      <c r="AK79" s="102">
        <v>5000</v>
      </c>
      <c r="AL79" s="107">
        <v>0</v>
      </c>
      <c r="AM79" s="107">
        <v>745</v>
      </c>
      <c r="AN7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5745</v>
      </c>
      <c r="AO79" s="10">
        <f>Ohj.lask.[[#This Row],[Jaettava € 1]]+Ohj.lask.[[#This Row],[Harkinnanvarainen korotus 8, €]]</f>
        <v>1799186</v>
      </c>
      <c r="AP79" s="102">
        <f>Ohj.lask.[[#This Row],[Jaettava € 2]]</f>
        <v>729063</v>
      </c>
      <c r="AQ79" s="10">
        <f>Ohj.lask.[[#This Row],[Jaettava € 3]]+Ohj.lask.[[#This Row],[Jaettava € 4]]+Ohj.lask.[[#This Row],[Jaettava € 5]]+Ohj.lask.[[#This Row],[Jaettava € 6]]+Ohj.lask.[[#This Row],[Jaettava € 7]]</f>
        <v>194219</v>
      </c>
      <c r="AR79" s="33">
        <f>Ohj.lask.[[#This Row],[Jaettava € 8]]+Ohj.lask.[[#This Row],[Harkinnanvarainen korotus 8, €]]</f>
        <v>2722468</v>
      </c>
      <c r="AS79" s="33">
        <v>120656</v>
      </c>
      <c r="AT79" s="16">
        <f>Ohj.lask.[[#This Row],[Perus-, suoritus- ja vaikuttavuusrahoitus yhteensä, €]]+Ohj.lask.[[#This Row],[Alv-korvaus, €]]</f>
        <v>2843124</v>
      </c>
    </row>
    <row r="80" spans="1:46" ht="12.75" x14ac:dyDescent="0.2">
      <c r="A80" s="3" t="s">
        <v>246</v>
      </c>
      <c r="B80" s="7" t="s">
        <v>73</v>
      </c>
      <c r="C80" s="7" t="s">
        <v>173</v>
      </c>
      <c r="D80" s="7" t="s">
        <v>325</v>
      </c>
      <c r="E80" s="7" t="s">
        <v>373</v>
      </c>
      <c r="F80" s="105">
        <v>73</v>
      </c>
      <c r="G80" s="106">
        <f>Ohj.lask.[[#This Row],[Tavoitteelliset opiskelija-vuodet]]-Ohj.lask.[[#This Row],[Järjestämisluvan opisk.vuosien vähimmäismäärä]]</f>
        <v>9</v>
      </c>
      <c r="H80" s="32">
        <v>82</v>
      </c>
      <c r="I80" s="8">
        <f>IFERROR(VLOOKUP($A80,'2.1 Toteut. op.vuodet'!$A:$T,COLUMN('2.1 Toteut. op.vuodet'!S:S),FALSE),0)</f>
        <v>0.72688164311268166</v>
      </c>
      <c r="J80" s="74">
        <f t="shared" si="2"/>
        <v>59.6</v>
      </c>
      <c r="K80" s="9">
        <f>IFERROR(Ohj.lask.[[#This Row],[Painotetut opiskelija-vuodet]]/Ohj.lask.[[#Totals],[Painotetut opiskelija-vuodet]],0)</f>
        <v>2.7498664284679458E-4</v>
      </c>
      <c r="L80" s="10">
        <f>ROUND(IFERROR('1.1 Jakotaulu'!L$12*Ohj.lask.[[#This Row],[%-osuus 1]],0),0)</f>
        <v>406732</v>
      </c>
      <c r="M80" s="132">
        <f>IFERROR(ROUND(VLOOKUP($A80,'2.2 Tutk. ja osien pain. pist.'!$A:$Q,COLUMN('2.2 Tutk. ja osien pain. pist.'!O:O),FALSE),1),0)</f>
        <v>5880.2</v>
      </c>
      <c r="N80" s="9">
        <f>IFERROR(Ohj.lask.[[#This Row],[Painotetut pisteet 2]]/Ohj.lask.[[#Totals],[Painotetut pisteet 2]],0)</f>
        <v>3.8385549809973843E-4</v>
      </c>
      <c r="O80" s="16">
        <f>ROUND(IFERROR('1.1 Jakotaulu'!K$13*Ohj.lask.[[#This Row],[%-osuus 2]],0),0)</f>
        <v>164945</v>
      </c>
      <c r="P80" s="133">
        <f>IFERROR(ROUND(VLOOKUP($A80,'2.3 Työll. ja jatko-opisk.'!$A:$Z,COLUMN('2.3 Työll. ja jatko-opisk.'!L:L),FALSE),1),0)</f>
        <v>171.9</v>
      </c>
      <c r="Q80" s="9">
        <f>IFERROR(Ohj.lask.[[#This Row],[Painotetut pisteet 3]]/Ohj.lask.[[#Totals],[Painotetut pisteet 3]],0)</f>
        <v>5.5001663808329265E-4</v>
      </c>
      <c r="R80" s="10">
        <f>ROUND(IFERROR('1.1 Jakotaulu'!L$15*Ohj.lask.[[#This Row],[%-osuus 3]],0),0)</f>
        <v>82721</v>
      </c>
      <c r="S80" s="132">
        <f>IFERROR(ROUND(VLOOKUP($A80,'2.4 Aloittaneet palaute'!$A:$I,COLUMN('2.4 Aloittaneet palaute'!H:H),FALSE),1),0)</f>
        <v>1609.3</v>
      </c>
      <c r="T80" s="13">
        <f>IFERROR(Ohj.lask.[[#This Row],[Painotetut pisteet 4]]/Ohj.lask.[[#Totals],[Painotetut pisteet 4]],0)</f>
        <v>9.6544767574156278E-4</v>
      </c>
      <c r="U80" s="16">
        <f>ROUND(IFERROR('1.1 Jakotaulu'!M$17*Ohj.lask.[[#This Row],[%-osuus 4]],0),0)</f>
        <v>7779</v>
      </c>
      <c r="V80" s="132">
        <f>IFERROR(ROUND(VLOOKUP($A80,'2.5 Päättäneet palaute'!$A:$Z,COLUMN('2.5 Päättäneet palaute'!X:X),FALSE),1),0)</f>
        <v>14431.5</v>
      </c>
      <c r="W80" s="13">
        <f>IFERROR(Ohj.lask.[[#This Row],[Painotetut pisteet 5]]/Ohj.lask.[[#Totals],[Painotetut pisteet 5]],0)</f>
        <v>1.4110580665134139E-3</v>
      </c>
      <c r="X80" s="16">
        <f>ROUND(IFERROR('1.1 Jakotaulu'!M$18*Ohj.lask.[[#This Row],[%-osuus 5]],0),0)</f>
        <v>34107</v>
      </c>
      <c r="Y80" s="132">
        <f>IFERROR(ROUND(VLOOKUP($A80,'2.6 Työpaikkaohjaajakysely'!B:J,COLUMN('2.6 Työpaikkaohjaajakysely'!H:H),FALSE),1),0)</f>
        <v>442481</v>
      </c>
      <c r="Z80" s="9">
        <f>IFERROR(Ohj.lask.[[#This Row],[Painotetut pisteet 6]]/Ohj.lask.[[#Totals],[Painotetut pisteet 6]],0)</f>
        <v>1.3036885887826491E-3</v>
      </c>
      <c r="AA80" s="16">
        <f>ROUND(IFERROR('1.1 Jakotaulu'!M$20*Ohj.lask.[[#This Row],[%-osuus 6]],0),0)</f>
        <v>31511</v>
      </c>
      <c r="AB80" s="132">
        <f>IFERROR(ROUND(VLOOKUP($A80,'2.7 Työpaikkakysely'!B:H,COLUMN('2.7 Työpaikkakysely'!F:F),FALSE),1),0)</f>
        <v>175382.3</v>
      </c>
      <c r="AC80" s="9">
        <f>IFERROR(Ohj.lask.[[#This Row],[Pisteet 7]]/Ohj.lask.[[#Totals],[Pisteet 7]],0)</f>
        <v>9.5044216538914413E-4</v>
      </c>
      <c r="AD80" s="16">
        <f>ROUND(IFERROR('1.1 Jakotaulu'!M$21*Ohj.lask.[[#This Row],[%-osuus 7]],0),0)</f>
        <v>7658</v>
      </c>
      <c r="AE80" s="12">
        <f>IFERROR(Ohj.lask.[[#This Row],[Jaettava € 8]]/Ohj.lask.[[#Totals],[Jaettava € 8]],"")</f>
        <v>3.4631472675125864E-4</v>
      </c>
      <c r="AF8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735453</v>
      </c>
      <c r="AG80" s="102">
        <v>0</v>
      </c>
      <c r="AH80" s="102">
        <v>0</v>
      </c>
      <c r="AI80" s="102">
        <v>0</v>
      </c>
      <c r="AJ80" s="102">
        <v>0</v>
      </c>
      <c r="AK80" s="102">
        <v>5000</v>
      </c>
      <c r="AL80" s="107">
        <v>0</v>
      </c>
      <c r="AM80" s="107">
        <v>0</v>
      </c>
      <c r="AN8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5000</v>
      </c>
      <c r="AO80" s="10">
        <f>Ohj.lask.[[#This Row],[Jaettava € 1]]+Ohj.lask.[[#This Row],[Harkinnanvarainen korotus 8, €]]</f>
        <v>411732</v>
      </c>
      <c r="AP80" s="102">
        <f>Ohj.lask.[[#This Row],[Jaettava € 2]]</f>
        <v>164945</v>
      </c>
      <c r="AQ80" s="10">
        <f>Ohj.lask.[[#This Row],[Jaettava € 3]]+Ohj.lask.[[#This Row],[Jaettava € 4]]+Ohj.lask.[[#This Row],[Jaettava € 5]]+Ohj.lask.[[#This Row],[Jaettava € 6]]+Ohj.lask.[[#This Row],[Jaettava € 7]]</f>
        <v>163776</v>
      </c>
      <c r="AR80" s="33">
        <f>Ohj.lask.[[#This Row],[Jaettava € 8]]+Ohj.lask.[[#This Row],[Harkinnanvarainen korotus 8, €]]</f>
        <v>740453</v>
      </c>
      <c r="AS80" s="33">
        <v>236517</v>
      </c>
      <c r="AT80" s="16">
        <f>Ohj.lask.[[#This Row],[Perus-, suoritus- ja vaikuttavuusrahoitus yhteensä, €]]+Ohj.lask.[[#This Row],[Alv-korvaus, €]]</f>
        <v>976970</v>
      </c>
    </row>
    <row r="81" spans="1:46" ht="12.75" x14ac:dyDescent="0.2">
      <c r="A81" s="3" t="s">
        <v>248</v>
      </c>
      <c r="B81" s="7" t="s">
        <v>74</v>
      </c>
      <c r="C81" s="96" t="s">
        <v>180</v>
      </c>
      <c r="D81" s="96" t="s">
        <v>325</v>
      </c>
      <c r="E81" s="96" t="s">
        <v>373</v>
      </c>
      <c r="F81" s="104">
        <v>153</v>
      </c>
      <c r="G81" s="106">
        <f>Ohj.lask.[[#This Row],[Tavoitteelliset opiskelija-vuodet]]-Ohj.lask.[[#This Row],[Järjestämisluvan opisk.vuosien vähimmäismäärä]]</f>
        <v>24</v>
      </c>
      <c r="H81" s="32">
        <v>177</v>
      </c>
      <c r="I81" s="8">
        <f>IFERROR(VLOOKUP($A81,'2.1 Toteut. op.vuodet'!$A:$T,COLUMN('2.1 Toteut. op.vuodet'!S:S),FALSE),0)</f>
        <v>0.9728862446482226</v>
      </c>
      <c r="J81" s="74">
        <f t="shared" si="2"/>
        <v>172.2</v>
      </c>
      <c r="K81" s="9">
        <f>IFERROR(Ohj.lask.[[#This Row],[Painotetut opiskelija-vuodet]]/Ohj.lask.[[#Totals],[Painotetut opiskelija-vuodet]],0)</f>
        <v>7.9450838755399365E-4</v>
      </c>
      <c r="L81" s="10">
        <f>ROUND(IFERROR('1.1 Jakotaulu'!L$12*Ohj.lask.[[#This Row],[%-osuus 1]],0),0)</f>
        <v>1175154</v>
      </c>
      <c r="M81" s="132">
        <f>IFERROR(ROUND(VLOOKUP($A81,'2.2 Tutk. ja osien pain. pist.'!$A:$Q,COLUMN('2.2 Tutk. ja osien pain. pist.'!O:O),FALSE),1),0)</f>
        <v>14496.9</v>
      </c>
      <c r="N81" s="9">
        <f>IFERROR(Ohj.lask.[[#This Row],[Painotetut pisteet 2]]/Ohj.lask.[[#Totals],[Painotetut pisteet 2]],0)</f>
        <v>9.4634787429034699E-4</v>
      </c>
      <c r="O81" s="16">
        <f>ROUND(IFERROR('1.1 Jakotaulu'!K$13*Ohj.lask.[[#This Row],[%-osuus 2]],0),0)</f>
        <v>406651</v>
      </c>
      <c r="P81" s="133">
        <f>IFERROR(ROUND(VLOOKUP($A81,'2.3 Työll. ja jatko-opisk.'!$A:$Z,COLUMN('2.3 Työll. ja jatko-opisk.'!L:L),FALSE),1),0)</f>
        <v>379.3</v>
      </c>
      <c r="Q81" s="13">
        <f>IFERROR(Ohj.lask.[[#This Row],[Painotetut pisteet 3]]/Ohj.lask.[[#Totals],[Painotetut pisteet 3]],0)</f>
        <v>1.2136201909540016E-3</v>
      </c>
      <c r="R81" s="10">
        <f>ROUND(IFERROR('1.1 Jakotaulu'!L$15*Ohj.lask.[[#This Row],[%-osuus 3]],0),0)</f>
        <v>182525</v>
      </c>
      <c r="S81" s="132">
        <f>IFERROR(ROUND(VLOOKUP($A81,'2.4 Aloittaneet palaute'!$A:$I,COLUMN('2.4 Aloittaneet palaute'!H:H),FALSE),1),0)</f>
        <v>1845.5</v>
      </c>
      <c r="T81" s="13">
        <f>IFERROR(Ohj.lask.[[#This Row],[Painotetut pisteet 4]]/Ohj.lask.[[#Totals],[Painotetut pisteet 4]],0)</f>
        <v>1.1071482542602711E-3</v>
      </c>
      <c r="U81" s="16">
        <f>ROUND(IFERROR('1.1 Jakotaulu'!M$17*Ohj.lask.[[#This Row],[%-osuus 4]],0),0)</f>
        <v>8920</v>
      </c>
      <c r="V81" s="132">
        <f>IFERROR(ROUND(VLOOKUP($A81,'2.5 Päättäneet palaute'!$A:$Z,COLUMN('2.5 Päättäneet palaute'!X:X),FALSE),1),0)</f>
        <v>11103.8</v>
      </c>
      <c r="W81" s="13">
        <f>IFERROR(Ohj.lask.[[#This Row],[Painotetut pisteet 5]]/Ohj.lask.[[#Totals],[Painotetut pisteet 5]],0)</f>
        <v>1.0856880129544153E-3</v>
      </c>
      <c r="X81" s="16">
        <f>ROUND(IFERROR('1.1 Jakotaulu'!M$18*Ohj.lask.[[#This Row],[%-osuus 5]],0),0)</f>
        <v>26242</v>
      </c>
      <c r="Y81" s="132">
        <f>IFERROR(ROUND(VLOOKUP($A81,'2.6 Työpaikkaohjaajakysely'!B:J,COLUMN('2.6 Työpaikkaohjaajakysely'!H:H),FALSE),1),0)</f>
        <v>751596.5</v>
      </c>
      <c r="Z81" s="9">
        <f>IFERROR(Ohj.lask.[[#This Row],[Painotetut pisteet 6]]/Ohj.lask.[[#Totals],[Painotetut pisteet 6]],0)</f>
        <v>2.2144403497980215E-3</v>
      </c>
      <c r="AA81" s="16">
        <f>ROUND(IFERROR('1.1 Jakotaulu'!M$20*Ohj.lask.[[#This Row],[%-osuus 6]],0),0)</f>
        <v>53525</v>
      </c>
      <c r="AB81" s="132">
        <f>IFERROR(ROUND(VLOOKUP($A81,'2.7 Työpaikkakysely'!B:H,COLUMN('2.7 Työpaikkakysely'!F:F),FALSE),1),0)</f>
        <v>506979</v>
      </c>
      <c r="AC81" s="9">
        <f>IFERROR(Ohj.lask.[[#This Row],[Pisteet 7]]/Ohj.lask.[[#Totals],[Pisteet 7]],0)</f>
        <v>2.7474506752780807E-3</v>
      </c>
      <c r="AD81" s="16">
        <f>ROUND(IFERROR('1.1 Jakotaulu'!M$21*Ohj.lask.[[#This Row],[%-osuus 7]],0),0)</f>
        <v>22136</v>
      </c>
      <c r="AE81" s="12">
        <f>IFERROR(Ohj.lask.[[#This Row],[Jaettava € 8]]/Ohj.lask.[[#Totals],[Jaettava € 8]],"")</f>
        <v>8.8298381924039053E-4</v>
      </c>
      <c r="AF8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1875153</v>
      </c>
      <c r="AG81" s="102">
        <v>0</v>
      </c>
      <c r="AH81" s="102">
        <v>0</v>
      </c>
      <c r="AI81" s="102">
        <v>0</v>
      </c>
      <c r="AJ81" s="102">
        <v>0</v>
      </c>
      <c r="AK81" s="102">
        <v>6000</v>
      </c>
      <c r="AL81" s="107">
        <v>0</v>
      </c>
      <c r="AM81" s="107">
        <v>756</v>
      </c>
      <c r="AN8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6756</v>
      </c>
      <c r="AO81" s="10">
        <f>Ohj.lask.[[#This Row],[Jaettava € 1]]+Ohj.lask.[[#This Row],[Harkinnanvarainen korotus 8, €]]</f>
        <v>1181910</v>
      </c>
      <c r="AP81" s="102">
        <f>Ohj.lask.[[#This Row],[Jaettava € 2]]</f>
        <v>406651</v>
      </c>
      <c r="AQ81" s="10">
        <f>Ohj.lask.[[#This Row],[Jaettava € 3]]+Ohj.lask.[[#This Row],[Jaettava € 4]]+Ohj.lask.[[#This Row],[Jaettava € 5]]+Ohj.lask.[[#This Row],[Jaettava € 6]]+Ohj.lask.[[#This Row],[Jaettava € 7]]</f>
        <v>293348</v>
      </c>
      <c r="AR81" s="33">
        <f>Ohj.lask.[[#This Row],[Jaettava € 8]]+Ohj.lask.[[#This Row],[Harkinnanvarainen korotus 8, €]]</f>
        <v>1881909</v>
      </c>
      <c r="AS81" s="33">
        <v>83939</v>
      </c>
      <c r="AT81" s="16">
        <f>Ohj.lask.[[#This Row],[Perus-, suoritus- ja vaikuttavuusrahoitus yhteensä, €]]+Ohj.lask.[[#This Row],[Alv-korvaus, €]]</f>
        <v>1965848</v>
      </c>
    </row>
    <row r="82" spans="1:46" ht="12.75" x14ac:dyDescent="0.2">
      <c r="A82" s="3" t="s">
        <v>279</v>
      </c>
      <c r="B82" s="7" t="s">
        <v>442</v>
      </c>
      <c r="C82" s="7" t="s">
        <v>173</v>
      </c>
      <c r="D82" s="7" t="s">
        <v>325</v>
      </c>
      <c r="E82" s="7" t="s">
        <v>373</v>
      </c>
      <c r="F82" s="105">
        <v>664</v>
      </c>
      <c r="G82" s="106">
        <f>Ohj.lask.[[#This Row],[Tavoitteelliset opiskelija-vuodet]]-Ohj.lask.[[#This Row],[Järjestämisluvan opisk.vuosien vähimmäismäärä]]</f>
        <v>206</v>
      </c>
      <c r="H82" s="32">
        <v>870</v>
      </c>
      <c r="I82" s="8">
        <f>IFERROR(VLOOKUP($A82,'2.1 Toteut. op.vuodet'!$A:$T,COLUMN('2.1 Toteut. op.vuodet'!S:S),FALSE),0)</f>
        <v>0.83017137328933877</v>
      </c>
      <c r="J82" s="74">
        <f t="shared" si="2"/>
        <v>722.2</v>
      </c>
      <c r="K82" s="9">
        <f>IFERROR(Ohj.lask.[[#This Row],[Painotetut opiskelija-vuodet]]/Ohj.lask.[[#Totals],[Painotetut opiskelija-vuodet]],0)</f>
        <v>3.3321368030864943E-3</v>
      </c>
      <c r="L82" s="10">
        <f>ROUND(IFERROR('1.1 Jakotaulu'!L$12*Ohj.lask.[[#This Row],[%-osuus 1]],0),0)</f>
        <v>4928550</v>
      </c>
      <c r="M82" s="132">
        <f>IFERROR(ROUND(VLOOKUP($A82,'2.2 Tutk. ja osien pain. pist.'!$A:$Q,COLUMN('2.2 Tutk. ja osien pain. pist.'!O:O),FALSE),1),0)</f>
        <v>70087.899999999994</v>
      </c>
      <c r="N82" s="9">
        <f>IFERROR(Ohj.lask.[[#This Row],[Painotetut pisteet 2]]/Ohj.lask.[[#Totals],[Painotetut pisteet 2]],0)</f>
        <v>4.575290936577779E-3</v>
      </c>
      <c r="O82" s="16">
        <f>ROUND(IFERROR('1.1 Jakotaulu'!K$13*Ohj.lask.[[#This Row],[%-osuus 2]],0),0)</f>
        <v>1966030</v>
      </c>
      <c r="P82" s="133">
        <f>IFERROR(ROUND(VLOOKUP($A82,'2.3 Työll. ja jatko-opisk.'!$A:$Z,COLUMN('2.3 Työll. ja jatko-opisk.'!L:L),FALSE),1),0)</f>
        <v>1858.8</v>
      </c>
      <c r="Q82" s="9">
        <f>IFERROR(Ohj.lask.[[#This Row],[Painotetut pisteet 3]]/Ohj.lask.[[#Totals],[Painotetut pisteet 3]],0)</f>
        <v>5.9474748508971742E-3</v>
      </c>
      <c r="R82" s="10">
        <f>ROUND(IFERROR('1.1 Jakotaulu'!L$15*Ohj.lask.[[#This Row],[%-osuus 3]],0),0)</f>
        <v>894483</v>
      </c>
      <c r="S82" s="132">
        <f>IFERROR(ROUND(VLOOKUP($A82,'2.4 Aloittaneet palaute'!$A:$I,COLUMN('2.4 Aloittaneet palaute'!H:H),FALSE),1),0)</f>
        <v>9099.2000000000007</v>
      </c>
      <c r="T82" s="13">
        <f>IFERROR(Ohj.lask.[[#This Row],[Painotetut pisteet 4]]/Ohj.lask.[[#Totals],[Painotetut pisteet 4]],0)</f>
        <v>5.4587718207342499E-3</v>
      </c>
      <c r="U82" s="16">
        <f>ROUND(IFERROR('1.1 Jakotaulu'!M$17*Ohj.lask.[[#This Row],[%-osuus 4]],0),0)</f>
        <v>43981</v>
      </c>
      <c r="V82" s="132">
        <f>IFERROR(ROUND(VLOOKUP($A82,'2.5 Päättäneet palaute'!$A:$Z,COLUMN('2.5 Päättäneet palaute'!X:X),FALSE),1),0)</f>
        <v>56406.8</v>
      </c>
      <c r="W82" s="13">
        <f>IFERROR(Ohj.lask.[[#This Row],[Painotetut pisteet 5]]/Ohj.lask.[[#Totals],[Painotetut pisteet 5]],0)</f>
        <v>5.5152458265744272E-3</v>
      </c>
      <c r="X82" s="16">
        <f>ROUND(IFERROR('1.1 Jakotaulu'!M$18*Ohj.lask.[[#This Row],[%-osuus 5]],0),0)</f>
        <v>133309</v>
      </c>
      <c r="Y82" s="132">
        <f>IFERROR(ROUND(VLOOKUP($A82,'2.6 Työpaikkaohjaajakysely'!B:J,COLUMN('2.6 Työpaikkaohjaajakysely'!H:H),FALSE),1),0)</f>
        <v>2528998.5</v>
      </c>
      <c r="Z82" s="9">
        <f>IFERROR(Ohj.lask.[[#This Row],[Painotetut pisteet 6]]/Ohj.lask.[[#Totals],[Painotetut pisteet 6]],0)</f>
        <v>7.4512272515620702E-3</v>
      </c>
      <c r="AA82" s="16">
        <f>ROUND(IFERROR('1.1 Jakotaulu'!M$20*Ohj.lask.[[#This Row],[%-osuus 6]],0),0)</f>
        <v>180103</v>
      </c>
      <c r="AB82" s="132">
        <f>IFERROR(ROUND(VLOOKUP($A82,'2.7 Työpaikkakysely'!B:H,COLUMN('2.7 Työpaikkakysely'!F:F),FALSE),1),0)</f>
        <v>1010904</v>
      </c>
      <c r="AC82" s="9">
        <f>IFERROR(Ohj.lask.[[#This Row],[Pisteet 7]]/Ohj.lask.[[#Totals],[Pisteet 7]],0)</f>
        <v>5.4783509325658716E-3</v>
      </c>
      <c r="AD82" s="16">
        <f>ROUND(IFERROR('1.1 Jakotaulu'!M$21*Ohj.lask.[[#This Row],[%-osuus 7]],0),0)</f>
        <v>44139</v>
      </c>
      <c r="AE82" s="12">
        <f>IFERROR(Ohj.lask.[[#This Row],[Jaettava € 8]]/Ohj.lask.[[#Totals],[Jaettava € 8]],"")</f>
        <v>3.8568388045942099E-3</v>
      </c>
      <c r="AF8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8190595</v>
      </c>
      <c r="AG82" s="102">
        <v>0</v>
      </c>
      <c r="AH82" s="102">
        <v>0</v>
      </c>
      <c r="AI82" s="102">
        <v>0</v>
      </c>
      <c r="AJ82" s="102">
        <v>0</v>
      </c>
      <c r="AK82" s="102">
        <v>0</v>
      </c>
      <c r="AL82" s="107">
        <v>0</v>
      </c>
      <c r="AM82" s="107">
        <v>0</v>
      </c>
      <c r="AN8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82" s="10">
        <f>Ohj.lask.[[#This Row],[Jaettava € 1]]+Ohj.lask.[[#This Row],[Harkinnanvarainen korotus 8, €]]</f>
        <v>4928550</v>
      </c>
      <c r="AP82" s="102">
        <f>Ohj.lask.[[#This Row],[Jaettava € 2]]</f>
        <v>1966030</v>
      </c>
      <c r="AQ82" s="10">
        <f>Ohj.lask.[[#This Row],[Jaettava € 3]]+Ohj.lask.[[#This Row],[Jaettava € 4]]+Ohj.lask.[[#This Row],[Jaettava € 5]]+Ohj.lask.[[#This Row],[Jaettava € 6]]+Ohj.lask.[[#This Row],[Jaettava € 7]]</f>
        <v>1296015</v>
      </c>
      <c r="AR82" s="33">
        <f>Ohj.lask.[[#This Row],[Jaettava € 8]]+Ohj.lask.[[#This Row],[Harkinnanvarainen korotus 8, €]]</f>
        <v>8190595</v>
      </c>
      <c r="AS82" s="33">
        <v>370671</v>
      </c>
      <c r="AT82" s="16">
        <f>Ohj.lask.[[#This Row],[Perus-, suoritus- ja vaikuttavuusrahoitus yhteensä, €]]+Ohj.lask.[[#This Row],[Alv-korvaus, €]]</f>
        <v>8561266</v>
      </c>
    </row>
    <row r="83" spans="1:46" ht="12.75" x14ac:dyDescent="0.2">
      <c r="A83" s="3" t="s">
        <v>247</v>
      </c>
      <c r="B83" s="7" t="s">
        <v>145</v>
      </c>
      <c r="C83" s="7" t="s">
        <v>186</v>
      </c>
      <c r="D83" s="7" t="s">
        <v>325</v>
      </c>
      <c r="E83" s="7" t="s">
        <v>373</v>
      </c>
      <c r="F83" s="105">
        <v>0</v>
      </c>
      <c r="G83" s="106">
        <f>Ohj.lask.[[#This Row],[Tavoitteelliset opiskelija-vuodet]]-Ohj.lask.[[#This Row],[Järjestämisluvan opisk.vuosien vähimmäismäärä]]</f>
        <v>0</v>
      </c>
      <c r="H83" s="32">
        <v>0</v>
      </c>
      <c r="I83" s="8">
        <f>IFERROR(VLOOKUP($A83,'2.1 Toteut. op.vuodet'!$A:$T,COLUMN('2.1 Toteut. op.vuodet'!S:S),FALSE),0)</f>
        <v>0.77877012962503056</v>
      </c>
      <c r="J83" s="74">
        <f t="shared" si="2"/>
        <v>0</v>
      </c>
      <c r="K83" s="9">
        <f>IFERROR(Ohj.lask.[[#This Row],[Painotetut opiskelija-vuodet]]/Ohj.lask.[[#Totals],[Painotetut opiskelija-vuodet]],0)</f>
        <v>0</v>
      </c>
      <c r="L83" s="10">
        <f>ROUND(IFERROR('1.1 Jakotaulu'!L$12*Ohj.lask.[[#This Row],[%-osuus 1]],0),0)</f>
        <v>0</v>
      </c>
      <c r="M83" s="132">
        <f>IFERROR(ROUND(VLOOKUP($A83,'2.2 Tutk. ja osien pain. pist.'!$A:$Q,COLUMN('2.2 Tutk. ja osien pain. pist.'!O:O),FALSE),1),0)</f>
        <v>45.6</v>
      </c>
      <c r="N83" s="9">
        <f>IFERROR(Ohj.lask.[[#This Row],[Painotetut pisteet 2]]/Ohj.lask.[[#Totals],[Painotetut pisteet 2]],0)</f>
        <v>2.9767373071235797E-6</v>
      </c>
      <c r="O83" s="16">
        <f>ROUND(IFERROR('1.1 Jakotaulu'!K$13*Ohj.lask.[[#This Row],[%-osuus 2]],0),0)</f>
        <v>1279</v>
      </c>
      <c r="P83" s="133">
        <f>IFERROR(ROUND(VLOOKUP($A83,'2.3 Työll. ja jatko-opisk.'!$A:$Z,COLUMN('2.3 Työll. ja jatko-opisk.'!L:L),FALSE),1),0)</f>
        <v>3.9</v>
      </c>
      <c r="Q83" s="9">
        <f>IFERROR(Ohj.lask.[[#This Row],[Painotetut pisteet 3]]/Ohj.lask.[[#Totals],[Painotetut pisteet 3]],0)</f>
        <v>1.2478562469603496E-5</v>
      </c>
      <c r="R83" s="10">
        <f>ROUND(IFERROR('1.1 Jakotaulu'!L$15*Ohj.lask.[[#This Row],[%-osuus 3]],0),0)</f>
        <v>1877</v>
      </c>
      <c r="S83" s="132">
        <f>IFERROR(ROUND(VLOOKUP($A83,'2.4 Aloittaneet palaute'!$A:$I,COLUMN('2.4 Aloittaneet palaute'!H:H),FALSE),1),0)</f>
        <v>0</v>
      </c>
      <c r="T83" s="13">
        <f>IFERROR(Ohj.lask.[[#This Row],[Painotetut pisteet 4]]/Ohj.lask.[[#Totals],[Painotetut pisteet 4]],0)</f>
        <v>0</v>
      </c>
      <c r="U83" s="16">
        <f>ROUND(IFERROR('1.1 Jakotaulu'!M$17*Ohj.lask.[[#This Row],[%-osuus 4]],0),0)</f>
        <v>0</v>
      </c>
      <c r="V83" s="132">
        <f>IFERROR(ROUND(VLOOKUP($A83,'2.5 Päättäneet palaute'!$A:$Z,COLUMN('2.5 Päättäneet palaute'!X:X),FALSE),1),0)</f>
        <v>0</v>
      </c>
      <c r="W83" s="13">
        <f>IFERROR(Ohj.lask.[[#This Row],[Painotetut pisteet 5]]/Ohj.lask.[[#Totals],[Painotetut pisteet 5]],0)</f>
        <v>0</v>
      </c>
      <c r="X83" s="16">
        <f>ROUND(IFERROR('1.1 Jakotaulu'!M$18*Ohj.lask.[[#This Row],[%-osuus 5]],0),0)</f>
        <v>0</v>
      </c>
      <c r="Y83" s="132">
        <f>IFERROR(ROUND(VLOOKUP($A83,'2.6 Työpaikkaohjaajakysely'!B:J,COLUMN('2.6 Työpaikkaohjaajakysely'!H:H),FALSE),1),0)</f>
        <v>0</v>
      </c>
      <c r="Z83" s="9">
        <f>IFERROR(Ohj.lask.[[#This Row],[Painotetut pisteet 6]]/Ohj.lask.[[#Totals],[Painotetut pisteet 6]],0)</f>
        <v>0</v>
      </c>
      <c r="AA83" s="16">
        <f>ROUND(IFERROR('1.1 Jakotaulu'!M$20*Ohj.lask.[[#This Row],[%-osuus 6]],0),0)</f>
        <v>0</v>
      </c>
      <c r="AB83" s="132">
        <f>IFERROR(ROUND(VLOOKUP($A83,'2.7 Työpaikkakysely'!B:H,COLUMN('2.7 Työpaikkakysely'!F:F),FALSE),1),0)</f>
        <v>0</v>
      </c>
      <c r="AC83" s="9">
        <f>IFERROR(Ohj.lask.[[#This Row],[Pisteet 7]]/Ohj.lask.[[#Totals],[Pisteet 7]],0)</f>
        <v>0</v>
      </c>
      <c r="AD83" s="16">
        <f>ROUND(IFERROR('1.1 Jakotaulu'!M$21*Ohj.lask.[[#This Row],[%-osuus 7]],0),0)</f>
        <v>0</v>
      </c>
      <c r="AE83" s="12">
        <f>IFERROR(Ohj.lask.[[#This Row],[Jaettava € 8]]/Ohj.lask.[[#Totals],[Jaettava € 8]],"")</f>
        <v>1.4861170973902782E-6</v>
      </c>
      <c r="AF8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3156</v>
      </c>
      <c r="AG83" s="102">
        <v>0</v>
      </c>
      <c r="AH83" s="102">
        <v>0</v>
      </c>
      <c r="AI83" s="102">
        <v>0</v>
      </c>
      <c r="AJ83" s="102">
        <v>0</v>
      </c>
      <c r="AK83" s="102">
        <v>0</v>
      </c>
      <c r="AL83" s="107">
        <v>0</v>
      </c>
      <c r="AM83" s="107">
        <v>0</v>
      </c>
      <c r="AN8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83" s="10">
        <f>Ohj.lask.[[#This Row],[Jaettava € 1]]+Ohj.lask.[[#This Row],[Harkinnanvarainen korotus 8, €]]</f>
        <v>0</v>
      </c>
      <c r="AP83" s="102">
        <f>Ohj.lask.[[#This Row],[Jaettava € 2]]</f>
        <v>1279</v>
      </c>
      <c r="AQ83" s="10">
        <f>Ohj.lask.[[#This Row],[Jaettava € 3]]+Ohj.lask.[[#This Row],[Jaettava € 4]]+Ohj.lask.[[#This Row],[Jaettava € 5]]+Ohj.lask.[[#This Row],[Jaettava € 6]]+Ohj.lask.[[#This Row],[Jaettava € 7]]</f>
        <v>1877</v>
      </c>
      <c r="AR83" s="33">
        <f>Ohj.lask.[[#This Row],[Jaettava € 8]]+Ohj.lask.[[#This Row],[Harkinnanvarainen korotus 8, €]]</f>
        <v>3156</v>
      </c>
      <c r="AS83" s="33">
        <v>0</v>
      </c>
      <c r="AT83" s="16">
        <f>Ohj.lask.[[#This Row],[Perus-, suoritus- ja vaikuttavuusrahoitus yhteensä, €]]+Ohj.lask.[[#This Row],[Alv-korvaus, €]]</f>
        <v>3156</v>
      </c>
    </row>
    <row r="84" spans="1:46" ht="12.75" x14ac:dyDescent="0.2">
      <c r="A84" s="3" t="s">
        <v>245</v>
      </c>
      <c r="B84" s="7" t="s">
        <v>75</v>
      </c>
      <c r="C84" s="7" t="s">
        <v>179</v>
      </c>
      <c r="D84" s="7" t="s">
        <v>324</v>
      </c>
      <c r="E84" s="7" t="s">
        <v>374</v>
      </c>
      <c r="F84" s="105">
        <v>1164</v>
      </c>
      <c r="G84" s="106">
        <f>Ohj.lask.[[#This Row],[Tavoitteelliset opiskelija-vuodet]]-Ohj.lask.[[#This Row],[Järjestämisluvan opisk.vuosien vähimmäismäärä]]</f>
        <v>17</v>
      </c>
      <c r="H84" s="32">
        <v>1181</v>
      </c>
      <c r="I84" s="8">
        <f>IFERROR(VLOOKUP($A84,'2.1 Toteut. op.vuodet'!$A:$T,COLUMN('2.1 Toteut. op.vuodet'!S:S),FALSE),0)</f>
        <v>1.5293697321000546</v>
      </c>
      <c r="J84" s="74">
        <f t="shared" si="2"/>
        <v>1806.2</v>
      </c>
      <c r="K84" s="9">
        <f>IFERROR(Ohj.lask.[[#This Row],[Painotetut opiskelija-vuodet]]/Ohj.lask.[[#Totals],[Painotetut opiskelija-vuodet]],0)</f>
        <v>8.3335717166087321E-3</v>
      </c>
      <c r="L84" s="10">
        <f>ROUND(IFERROR('1.1 Jakotaulu'!L$12*Ohj.lask.[[#This Row],[%-osuus 1]],0),0)</f>
        <v>12326153</v>
      </c>
      <c r="M84" s="132">
        <f>IFERROR(ROUND(VLOOKUP($A84,'2.2 Tutk. ja osien pain. pist.'!$A:$Q,COLUMN('2.2 Tutk. ja osien pain. pist.'!O:O),FALSE),1),0)</f>
        <v>114459.5</v>
      </c>
      <c r="N84" s="9">
        <f>IFERROR(Ohj.lask.[[#This Row],[Painotetut pisteet 2]]/Ohj.lask.[[#Totals],[Painotetut pisteet 2]],0)</f>
        <v>7.4718391185243727E-3</v>
      </c>
      <c r="O84" s="16">
        <f>ROUND(IFERROR('1.1 Jakotaulu'!K$13*Ohj.lask.[[#This Row],[%-osuus 2]],0),0)</f>
        <v>3210694</v>
      </c>
      <c r="P84" s="133">
        <f>IFERROR(ROUND(VLOOKUP($A84,'2.3 Työll. ja jatko-opisk.'!$A:$Z,COLUMN('2.3 Työll. ja jatko-opisk.'!L:L),FALSE),1),0)</f>
        <v>2486.9</v>
      </c>
      <c r="Q84" s="9">
        <f>IFERROR(Ohj.lask.[[#This Row],[Painotetut pisteet 3]]/Ohj.lask.[[#Totals],[Painotetut pisteet 3]],0)</f>
        <v>7.9571633347838306E-3</v>
      </c>
      <c r="R84" s="10">
        <f>ROUND(IFERROR('1.1 Jakotaulu'!L$15*Ohj.lask.[[#This Row],[%-osuus 3]],0),0)</f>
        <v>1196734</v>
      </c>
      <c r="S84" s="132">
        <f>IFERROR(ROUND(VLOOKUP($A84,'2.4 Aloittaneet palaute'!$A:$I,COLUMN('2.4 Aloittaneet palaute'!H:H),FALSE),1),0)</f>
        <v>9128.7999999999993</v>
      </c>
      <c r="T84" s="13">
        <f>IFERROR(Ohj.lask.[[#This Row],[Painotetut pisteet 4]]/Ohj.lask.[[#Totals],[Painotetut pisteet 4]],0)</f>
        <v>5.4765293868822328E-3</v>
      </c>
      <c r="U84" s="16">
        <f>ROUND(IFERROR('1.1 Jakotaulu'!M$17*Ohj.lask.[[#This Row],[%-osuus 4]],0),0)</f>
        <v>44124</v>
      </c>
      <c r="V84" s="132">
        <f>IFERROR(ROUND(VLOOKUP($A84,'2.5 Päättäneet palaute'!$A:$Z,COLUMN('2.5 Päättäneet palaute'!X:X),FALSE),1),0)</f>
        <v>69976.399999999994</v>
      </c>
      <c r="W84" s="13">
        <f>IFERROR(Ohj.lask.[[#This Row],[Painotetut pisteet 5]]/Ohj.lask.[[#Totals],[Painotetut pisteet 5]],0)</f>
        <v>6.8420305363662299E-3</v>
      </c>
      <c r="X84" s="16">
        <f>ROUND(IFERROR('1.1 Jakotaulu'!M$18*Ohj.lask.[[#This Row],[%-osuus 5]],0),0)</f>
        <v>165378</v>
      </c>
      <c r="Y84" s="132">
        <f>IFERROR(ROUND(VLOOKUP($A84,'2.6 Työpaikkaohjaajakysely'!B:J,COLUMN('2.6 Työpaikkaohjaajakysely'!H:H),FALSE),1),0)</f>
        <v>3452894.7</v>
      </c>
      <c r="Z84" s="9">
        <f>IFERROR(Ohj.lask.[[#This Row],[Painotetut pisteet 6]]/Ohj.lask.[[#Totals],[Painotetut pisteet 6]],0)</f>
        <v>1.0173316862550231E-2</v>
      </c>
      <c r="AA84" s="16">
        <f>ROUND(IFERROR('1.1 Jakotaulu'!M$20*Ohj.lask.[[#This Row],[%-osuus 6]],0),0)</f>
        <v>245899</v>
      </c>
      <c r="AB84" s="132">
        <f>IFERROR(ROUND(VLOOKUP($A84,'2.7 Työpaikkakysely'!B:H,COLUMN('2.7 Työpaikkakysely'!F:F),FALSE),1),0)</f>
        <v>1449919.9</v>
      </c>
      <c r="AC84" s="9">
        <f>IFERROR(Ohj.lask.[[#This Row],[Pisteet 7]]/Ohj.lask.[[#Totals],[Pisteet 7]],0)</f>
        <v>7.857491944151784E-3</v>
      </c>
      <c r="AD84" s="16">
        <f>ROUND(IFERROR('1.1 Jakotaulu'!M$21*Ohj.lask.[[#This Row],[%-osuus 7]],0),0)</f>
        <v>63308</v>
      </c>
      <c r="AE84" s="12">
        <f>IFERROR(Ohj.lask.[[#This Row],[Jaettava € 8]]/Ohj.lask.[[#Totals],[Jaettava € 8]],"")</f>
        <v>8.123866647064425E-3</v>
      </c>
      <c r="AF8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17252290</v>
      </c>
      <c r="AG84" s="102">
        <v>0</v>
      </c>
      <c r="AH84" s="102">
        <v>0</v>
      </c>
      <c r="AI84" s="102">
        <v>0</v>
      </c>
      <c r="AJ84" s="102">
        <v>0</v>
      </c>
      <c r="AK84" s="102">
        <v>18000</v>
      </c>
      <c r="AL84" s="107">
        <v>0</v>
      </c>
      <c r="AM84" s="107">
        <v>95323</v>
      </c>
      <c r="AN8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113323</v>
      </c>
      <c r="AO84" s="10">
        <f>Ohj.lask.[[#This Row],[Jaettava € 1]]+Ohj.lask.[[#This Row],[Harkinnanvarainen korotus 8, €]]</f>
        <v>12439476</v>
      </c>
      <c r="AP84" s="102">
        <f>Ohj.lask.[[#This Row],[Jaettava € 2]]</f>
        <v>3210694</v>
      </c>
      <c r="AQ84" s="10">
        <f>Ohj.lask.[[#This Row],[Jaettava € 3]]+Ohj.lask.[[#This Row],[Jaettava € 4]]+Ohj.lask.[[#This Row],[Jaettava € 5]]+Ohj.lask.[[#This Row],[Jaettava € 6]]+Ohj.lask.[[#This Row],[Jaettava € 7]]</f>
        <v>1715443</v>
      </c>
      <c r="AR84" s="33">
        <f>Ohj.lask.[[#This Row],[Jaettava € 8]]+Ohj.lask.[[#This Row],[Harkinnanvarainen korotus 8, €]]</f>
        <v>17365613</v>
      </c>
      <c r="AS84" s="33">
        <v>0</v>
      </c>
      <c r="AT84" s="16">
        <f>Ohj.lask.[[#This Row],[Perus-, suoritus- ja vaikuttavuusrahoitus yhteensä, €]]+Ohj.lask.[[#This Row],[Alv-korvaus, €]]</f>
        <v>17365613</v>
      </c>
    </row>
    <row r="85" spans="1:46" ht="12.75" x14ac:dyDescent="0.2">
      <c r="A85" s="3" t="s">
        <v>244</v>
      </c>
      <c r="B85" s="7" t="s">
        <v>76</v>
      </c>
      <c r="C85" s="7" t="s">
        <v>180</v>
      </c>
      <c r="D85" s="7" t="s">
        <v>326</v>
      </c>
      <c r="E85" s="7" t="s">
        <v>373</v>
      </c>
      <c r="F85" s="105">
        <v>43</v>
      </c>
      <c r="G85" s="106">
        <f>Ohj.lask.[[#This Row],[Tavoitteelliset opiskelija-vuodet]]-Ohj.lask.[[#This Row],[Järjestämisluvan opisk.vuosien vähimmäismäärä]]</f>
        <v>0</v>
      </c>
      <c r="H85" s="32">
        <v>43</v>
      </c>
      <c r="I85" s="8">
        <f>IFERROR(VLOOKUP($A85,'2.1 Toteut. op.vuodet'!$A:$T,COLUMN('2.1 Toteut. op.vuodet'!S:S),FALSE),0)</f>
        <v>1.467045486589335</v>
      </c>
      <c r="J85" s="74">
        <f t="shared" si="2"/>
        <v>63.1</v>
      </c>
      <c r="K85" s="9">
        <f>IFERROR(Ohj.lask.[[#This Row],[Painotetut opiskelija-vuodet]]/Ohj.lask.[[#Totals],[Painotetut opiskelija-vuodet]],0)</f>
        <v>2.9113518730927414E-4</v>
      </c>
      <c r="L85" s="10">
        <f>ROUND(IFERROR('1.1 Jakotaulu'!L$12*Ohj.lask.[[#This Row],[%-osuus 1]],0),0)</f>
        <v>430617</v>
      </c>
      <c r="M85" s="132">
        <f>IFERROR(ROUND(VLOOKUP($A85,'2.2 Tutk. ja osien pain. pist.'!$A:$Q,COLUMN('2.2 Tutk. ja osien pain. pist.'!O:O),FALSE),1),0)</f>
        <v>5968.4</v>
      </c>
      <c r="N85" s="9">
        <f>IFERROR(Ohj.lask.[[#This Row],[Painotetut pisteet 2]]/Ohj.lask.[[#Totals],[Painotetut pisteet 2]],0)</f>
        <v>3.8961313473325377E-4</v>
      </c>
      <c r="O85" s="16">
        <f>ROUND(IFERROR('1.1 Jakotaulu'!K$13*Ohj.lask.[[#This Row],[%-osuus 2]],0),0)</f>
        <v>167419</v>
      </c>
      <c r="P85" s="133">
        <f>IFERROR(ROUND(VLOOKUP($A85,'2.3 Työll. ja jatko-opisk.'!$A:$Z,COLUMN('2.3 Työll. ja jatko-opisk.'!L:L),FALSE),1),0)</f>
        <v>102</v>
      </c>
      <c r="Q85" s="9">
        <f>IFERROR(Ohj.lask.[[#This Row],[Painotetut pisteet 3]]/Ohj.lask.[[#Totals],[Painotetut pisteet 3]],0)</f>
        <v>3.2636240305116836E-4</v>
      </c>
      <c r="R85" s="10">
        <f>ROUND(IFERROR('1.1 Jakotaulu'!L$15*Ohj.lask.[[#This Row],[%-osuus 3]],0),0)</f>
        <v>49084</v>
      </c>
      <c r="S85" s="132">
        <f>IFERROR(ROUND(VLOOKUP($A85,'2.4 Aloittaneet palaute'!$A:$I,COLUMN('2.4 Aloittaneet palaute'!H:H),FALSE),1),0)</f>
        <v>508.9</v>
      </c>
      <c r="T85" s="13">
        <f>IFERROR(Ohj.lask.[[#This Row],[Painotetut pisteet 4]]/Ohj.lask.[[#Totals],[Painotetut pisteet 4]],0)</f>
        <v>3.0529815583476124E-4</v>
      </c>
      <c r="U85" s="16">
        <f>ROUND(IFERROR('1.1 Jakotaulu'!M$17*Ohj.lask.[[#This Row],[%-osuus 4]],0),0)</f>
        <v>2460</v>
      </c>
      <c r="V85" s="132">
        <f>IFERROR(ROUND(VLOOKUP($A85,'2.5 Päättäneet palaute'!$A:$Z,COLUMN('2.5 Päättäneet palaute'!X:X),FALSE),1),0)</f>
        <v>2117.5</v>
      </c>
      <c r="W85" s="13">
        <f>IFERROR(Ohj.lask.[[#This Row],[Painotetut pisteet 5]]/Ohj.lask.[[#Totals],[Painotetut pisteet 5]],0)</f>
        <v>2.0704122619562444E-4</v>
      </c>
      <c r="X85" s="16">
        <f>ROUND(IFERROR('1.1 Jakotaulu'!M$18*Ohj.lask.[[#This Row],[%-osuus 5]],0),0)</f>
        <v>5004</v>
      </c>
      <c r="Y85" s="132">
        <f>IFERROR(ROUND(VLOOKUP($A85,'2.6 Työpaikkaohjaajakysely'!B:J,COLUMN('2.6 Työpaikkaohjaajakysely'!H:H),FALSE),1),0)</f>
        <v>1120</v>
      </c>
      <c r="Z85" s="9">
        <f>IFERROR(Ohj.lask.[[#This Row],[Painotetut pisteet 6]]/Ohj.lask.[[#Totals],[Painotetut pisteet 6]],0)</f>
        <v>3.2998732588214341E-6</v>
      </c>
      <c r="AA85" s="16">
        <f>ROUND(IFERROR('1.1 Jakotaulu'!M$20*Ohj.lask.[[#This Row],[%-osuus 6]],0),0)</f>
        <v>80</v>
      </c>
      <c r="AB85" s="132">
        <f>IFERROR(ROUND(VLOOKUP($A85,'2.7 Työpaikkakysely'!B:H,COLUMN('2.7 Työpaikkakysely'!F:F),FALSE),1),0)</f>
        <v>0</v>
      </c>
      <c r="AC85" s="9">
        <f>IFERROR(Ohj.lask.[[#This Row],[Pisteet 7]]/Ohj.lask.[[#Totals],[Pisteet 7]],0)</f>
        <v>0</v>
      </c>
      <c r="AD85" s="16">
        <f>ROUND(IFERROR('1.1 Jakotaulu'!M$21*Ohj.lask.[[#This Row],[%-osuus 7]],0),0)</f>
        <v>0</v>
      </c>
      <c r="AE85" s="12">
        <f>IFERROR(Ohj.lask.[[#This Row],[Jaettava € 8]]/Ohj.lask.[[#Totals],[Jaettava € 8]],"")</f>
        <v>3.0827229513495218E-4</v>
      </c>
      <c r="AF8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654664</v>
      </c>
      <c r="AG85" s="102">
        <v>0</v>
      </c>
      <c r="AH85" s="102">
        <v>0</v>
      </c>
      <c r="AI85" s="102">
        <v>0</v>
      </c>
      <c r="AJ85" s="102">
        <v>0</v>
      </c>
      <c r="AK85" s="102">
        <v>0</v>
      </c>
      <c r="AL85" s="107">
        <v>0</v>
      </c>
      <c r="AM85" s="107">
        <v>0</v>
      </c>
      <c r="AN8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85" s="10">
        <f>Ohj.lask.[[#This Row],[Jaettava € 1]]+Ohj.lask.[[#This Row],[Harkinnanvarainen korotus 8, €]]</f>
        <v>430617</v>
      </c>
      <c r="AP85" s="102">
        <f>Ohj.lask.[[#This Row],[Jaettava € 2]]</f>
        <v>167419</v>
      </c>
      <c r="AQ85" s="10">
        <f>Ohj.lask.[[#This Row],[Jaettava € 3]]+Ohj.lask.[[#This Row],[Jaettava € 4]]+Ohj.lask.[[#This Row],[Jaettava € 5]]+Ohj.lask.[[#This Row],[Jaettava € 6]]+Ohj.lask.[[#This Row],[Jaettava € 7]]</f>
        <v>56628</v>
      </c>
      <c r="AR85" s="33">
        <f>Ohj.lask.[[#This Row],[Jaettava € 8]]+Ohj.lask.[[#This Row],[Harkinnanvarainen korotus 8, €]]</f>
        <v>654664</v>
      </c>
      <c r="AS85" s="33">
        <v>0</v>
      </c>
      <c r="AT85" s="16">
        <f>Ohj.lask.[[#This Row],[Perus-, suoritus- ja vaikuttavuusrahoitus yhteensä, €]]+Ohj.lask.[[#This Row],[Alv-korvaus, €]]</f>
        <v>654664</v>
      </c>
    </row>
    <row r="86" spans="1:46" ht="12.75" x14ac:dyDescent="0.2">
      <c r="A86" s="3" t="s">
        <v>240</v>
      </c>
      <c r="B86" s="7" t="s">
        <v>77</v>
      </c>
      <c r="C86" s="7" t="s">
        <v>173</v>
      </c>
      <c r="D86" s="7" t="s">
        <v>325</v>
      </c>
      <c r="E86" s="7" t="s">
        <v>373</v>
      </c>
      <c r="F86" s="105">
        <v>45</v>
      </c>
      <c r="G86" s="106">
        <f>Ohj.lask.[[#This Row],[Tavoitteelliset opiskelija-vuodet]]-Ohj.lask.[[#This Row],[Järjestämisluvan opisk.vuosien vähimmäismäärä]]</f>
        <v>0</v>
      </c>
      <c r="H86" s="32">
        <v>45</v>
      </c>
      <c r="I86" s="8">
        <f>IFERROR(VLOOKUP($A86,'2.1 Toteut. op.vuodet'!$A:$T,COLUMN('2.1 Toteut. op.vuodet'!S:S),FALSE),0)</f>
        <v>1.4720150078529437</v>
      </c>
      <c r="J86" s="74">
        <f t="shared" si="2"/>
        <v>66.2</v>
      </c>
      <c r="K86" s="9">
        <f>IFERROR(Ohj.lask.[[#This Row],[Painotetut opiskelija-vuodet]]/Ohj.lask.[[#Totals],[Painotetut opiskelija-vuodet]],0)</f>
        <v>3.0543818383318462E-4</v>
      </c>
      <c r="L86" s="10">
        <f>ROUND(IFERROR('1.1 Jakotaulu'!L$12*Ohj.lask.[[#This Row],[%-osuus 1]],0),0)</f>
        <v>451772</v>
      </c>
      <c r="M86" s="132">
        <f>IFERROR(ROUND(VLOOKUP($A86,'2.2 Tutk. ja osien pain. pist.'!$A:$Q,COLUMN('2.2 Tutk. ja osien pain. pist.'!O:O),FALSE),1),0)</f>
        <v>3025.8</v>
      </c>
      <c r="N86" s="9">
        <f>IFERROR(Ohj.lask.[[#This Row],[Painotetut pisteet 2]]/Ohj.lask.[[#Totals],[Painotetut pisteet 2]],0)</f>
        <v>1.9752218736610809E-4</v>
      </c>
      <c r="O86" s="16">
        <f>ROUND(IFERROR('1.1 Jakotaulu'!K$13*Ohj.lask.[[#This Row],[%-osuus 2]],0),0)</f>
        <v>84876</v>
      </c>
      <c r="P86" s="133">
        <f>IFERROR(ROUND(VLOOKUP($A86,'2.3 Työll. ja jatko-opisk.'!$A:$Z,COLUMN('2.3 Työll. ja jatko-opisk.'!L:L),FALSE),1),0)</f>
        <v>110.7</v>
      </c>
      <c r="Q86" s="9">
        <f>IFERROR(Ohj.lask.[[#This Row],[Painotetut pisteet 3]]/Ohj.lask.[[#Totals],[Painotetut pisteet 3]],0)</f>
        <v>3.5419919625259157E-4</v>
      </c>
      <c r="R86" s="10">
        <f>ROUND(IFERROR('1.1 Jakotaulu'!L$15*Ohj.lask.[[#This Row],[%-osuus 3]],0),0)</f>
        <v>53271</v>
      </c>
      <c r="S86" s="132">
        <f>IFERROR(ROUND(VLOOKUP($A86,'2.4 Aloittaneet palaute'!$A:$I,COLUMN('2.4 Aloittaneet palaute'!H:H),FALSE),1),0)</f>
        <v>0</v>
      </c>
      <c r="T86" s="13">
        <f>IFERROR(Ohj.lask.[[#This Row],[Painotetut pisteet 4]]/Ohj.lask.[[#Totals],[Painotetut pisteet 4]],0)</f>
        <v>0</v>
      </c>
      <c r="U86" s="16">
        <f>ROUND(IFERROR('1.1 Jakotaulu'!M$17*Ohj.lask.[[#This Row],[%-osuus 4]],0),0)</f>
        <v>0</v>
      </c>
      <c r="V86" s="132">
        <f>IFERROR(ROUND(VLOOKUP($A86,'2.5 Päättäneet palaute'!$A:$Z,COLUMN('2.5 Päättäneet palaute'!X:X),FALSE),1),0)</f>
        <v>1874.4</v>
      </c>
      <c r="W86" s="13">
        <f>IFERROR(Ohj.lask.[[#This Row],[Painotetut pisteet 5]]/Ohj.lask.[[#Totals],[Painotetut pisteet 5]],0)</f>
        <v>1.8327181788952939E-4</v>
      </c>
      <c r="X86" s="16">
        <f>ROUND(IFERROR('1.1 Jakotaulu'!M$18*Ohj.lask.[[#This Row],[%-osuus 5]],0),0)</f>
        <v>4430</v>
      </c>
      <c r="Y86" s="132">
        <f>IFERROR(ROUND(VLOOKUP($A86,'2.6 Työpaikkaohjaajakysely'!B:J,COLUMN('2.6 Työpaikkaohjaajakysely'!H:H),FALSE),1),0)</f>
        <v>0</v>
      </c>
      <c r="Z86" s="9">
        <f>IFERROR(Ohj.lask.[[#This Row],[Painotetut pisteet 6]]/Ohj.lask.[[#Totals],[Painotetut pisteet 6]],0)</f>
        <v>0</v>
      </c>
      <c r="AA86" s="16">
        <f>ROUND(IFERROR('1.1 Jakotaulu'!M$20*Ohj.lask.[[#This Row],[%-osuus 6]],0),0)</f>
        <v>0</v>
      </c>
      <c r="AB86" s="132">
        <f>IFERROR(ROUND(VLOOKUP($A86,'2.7 Työpaikkakysely'!B:H,COLUMN('2.7 Työpaikkakysely'!F:F),FALSE),1),0)</f>
        <v>0</v>
      </c>
      <c r="AC86" s="9">
        <f>IFERROR(Ohj.lask.[[#This Row],[Pisteet 7]]/Ohj.lask.[[#Totals],[Pisteet 7]],0)</f>
        <v>0</v>
      </c>
      <c r="AD86" s="16">
        <f>ROUND(IFERROR('1.1 Jakotaulu'!M$21*Ohj.lask.[[#This Row],[%-osuus 7]],0),0)</f>
        <v>0</v>
      </c>
      <c r="AE86" s="12">
        <f>IFERROR(Ohj.lask.[[#This Row],[Jaettava € 8]]/Ohj.lask.[[#Totals],[Jaettava € 8]],"")</f>
        <v>2.7987078920051157E-4</v>
      </c>
      <c r="AF8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594349</v>
      </c>
      <c r="AG86" s="102">
        <v>0</v>
      </c>
      <c r="AH86" s="102">
        <v>0</v>
      </c>
      <c r="AI86" s="102">
        <v>0</v>
      </c>
      <c r="AJ86" s="102">
        <v>0</v>
      </c>
      <c r="AK86" s="102">
        <v>0</v>
      </c>
      <c r="AL86" s="107">
        <v>0</v>
      </c>
      <c r="AM86" s="107">
        <v>0</v>
      </c>
      <c r="AN8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86" s="10">
        <f>Ohj.lask.[[#This Row],[Jaettava € 1]]+Ohj.lask.[[#This Row],[Harkinnanvarainen korotus 8, €]]</f>
        <v>451772</v>
      </c>
      <c r="AP86" s="102">
        <f>Ohj.lask.[[#This Row],[Jaettava € 2]]</f>
        <v>84876</v>
      </c>
      <c r="AQ86" s="10">
        <f>Ohj.lask.[[#This Row],[Jaettava € 3]]+Ohj.lask.[[#This Row],[Jaettava € 4]]+Ohj.lask.[[#This Row],[Jaettava € 5]]+Ohj.lask.[[#This Row],[Jaettava € 6]]+Ohj.lask.[[#This Row],[Jaettava € 7]]</f>
        <v>57701</v>
      </c>
      <c r="AR86" s="33">
        <f>Ohj.lask.[[#This Row],[Jaettava € 8]]+Ohj.lask.[[#This Row],[Harkinnanvarainen korotus 8, €]]</f>
        <v>594349</v>
      </c>
      <c r="AS86" s="33">
        <v>28163</v>
      </c>
      <c r="AT86" s="16">
        <f>Ohj.lask.[[#This Row],[Perus-, suoritus- ja vaikuttavuusrahoitus yhteensä, €]]+Ohj.lask.[[#This Row],[Alv-korvaus, €]]</f>
        <v>622512</v>
      </c>
    </row>
    <row r="87" spans="1:46" ht="12.75" x14ac:dyDescent="0.2">
      <c r="A87" s="3" t="s">
        <v>239</v>
      </c>
      <c r="B87" s="7" t="s">
        <v>78</v>
      </c>
      <c r="C87" s="7" t="s">
        <v>173</v>
      </c>
      <c r="D87" s="7" t="s">
        <v>325</v>
      </c>
      <c r="E87" s="7" t="s">
        <v>373</v>
      </c>
      <c r="F87" s="105">
        <v>70</v>
      </c>
      <c r="G87" s="106">
        <f>Ohj.lask.[[#This Row],[Tavoitteelliset opiskelija-vuodet]]-Ohj.lask.[[#This Row],[Järjestämisluvan opisk.vuosien vähimmäismäärä]]</f>
        <v>0</v>
      </c>
      <c r="H87" s="32">
        <v>70</v>
      </c>
      <c r="I87" s="8">
        <f>IFERROR(VLOOKUP($A87,'2.1 Toteut. op.vuodet'!$A:$T,COLUMN('2.1 Toteut. op.vuodet'!S:S),FALSE),0)</f>
        <v>0.90764053783784149</v>
      </c>
      <c r="J87" s="74">
        <f t="shared" si="2"/>
        <v>63.5</v>
      </c>
      <c r="K87" s="9">
        <f>IFERROR(Ohj.lask.[[#This Row],[Painotetut opiskelija-vuodet]]/Ohj.lask.[[#Totals],[Painotetut opiskelija-vuodet]],0)</f>
        <v>2.9298073524784322E-4</v>
      </c>
      <c r="L87" s="10">
        <f>ROUND(IFERROR('1.1 Jakotaulu'!L$12*Ohj.lask.[[#This Row],[%-osuus 1]],0),0)</f>
        <v>433347</v>
      </c>
      <c r="M87" s="132">
        <f>IFERROR(ROUND(VLOOKUP($A87,'2.2 Tutk. ja osien pain. pist.'!$A:$Q,COLUMN('2.2 Tutk. ja osien pain. pist.'!O:O),FALSE),1),0)</f>
        <v>6702.6</v>
      </c>
      <c r="N87" s="9">
        <f>IFERROR(Ohj.lask.[[#This Row],[Painotetut pisteet 2]]/Ohj.lask.[[#Totals],[Painotetut pisteet 2]],0)</f>
        <v>4.375412165510199E-4</v>
      </c>
      <c r="O87" s="16">
        <f>ROUND(IFERROR('1.1 Jakotaulu'!K$13*Ohj.lask.[[#This Row],[%-osuus 2]],0),0)</f>
        <v>188014</v>
      </c>
      <c r="P87" s="133">
        <f>IFERROR(ROUND(VLOOKUP($A87,'2.3 Työll. ja jatko-opisk.'!$A:$Z,COLUMN('2.3 Työll. ja jatko-opisk.'!L:L),FALSE),1),0)</f>
        <v>181.6</v>
      </c>
      <c r="Q87" s="9">
        <f>IFERROR(Ohj.lask.[[#This Row],[Painotetut pisteet 3]]/Ohj.lask.[[#Totals],[Painotetut pisteet 3]],0)</f>
        <v>5.8105306268717825E-4</v>
      </c>
      <c r="R87" s="10">
        <f>ROUND(IFERROR('1.1 Jakotaulu'!L$15*Ohj.lask.[[#This Row],[%-osuus 3]],0),0)</f>
        <v>87389</v>
      </c>
      <c r="S87" s="132">
        <f>IFERROR(ROUND(VLOOKUP($A87,'2.4 Aloittaneet palaute'!$A:$I,COLUMN('2.4 Aloittaneet palaute'!H:H),FALSE),1),0)</f>
        <v>1160.5</v>
      </c>
      <c r="T87" s="13">
        <f>IFERROR(Ohj.lask.[[#This Row],[Painotetut pisteet 4]]/Ohj.lask.[[#Totals],[Painotetut pisteet 4]],0)</f>
        <v>6.9620457820051185E-4</v>
      </c>
      <c r="U87" s="16">
        <f>ROUND(IFERROR('1.1 Jakotaulu'!M$17*Ohj.lask.[[#This Row],[%-osuus 4]],0),0)</f>
        <v>5609</v>
      </c>
      <c r="V87" s="132">
        <f>IFERROR(ROUND(VLOOKUP($A87,'2.5 Päättäneet palaute'!$A:$Z,COLUMN('2.5 Päättäneet palaute'!X:X),FALSE),1),0)</f>
        <v>8647.7999999999993</v>
      </c>
      <c r="W87" s="13">
        <f>IFERROR(Ohj.lask.[[#This Row],[Painotetut pisteet 5]]/Ohj.lask.[[#Totals],[Painotetut pisteet 5]],0)</f>
        <v>8.4554952344487405E-4</v>
      </c>
      <c r="X87" s="16">
        <f>ROUND(IFERROR('1.1 Jakotaulu'!M$18*Ohj.lask.[[#This Row],[%-osuus 5]],0),0)</f>
        <v>20438</v>
      </c>
      <c r="Y87" s="132">
        <f>IFERROR(ROUND(VLOOKUP($A87,'2.6 Työpaikkaohjaajakysely'!B:J,COLUMN('2.6 Työpaikkaohjaajakysely'!H:H),FALSE),1),0)</f>
        <v>68805.899999999994</v>
      </c>
      <c r="Z87" s="9">
        <f>IFERROR(Ohj.lask.[[#This Row],[Painotetut pisteet 6]]/Ohj.lask.[[#Totals],[Painotetut pisteet 6]],0)</f>
        <v>2.0272388344566222E-4</v>
      </c>
      <c r="AA87" s="16">
        <f>ROUND(IFERROR('1.1 Jakotaulu'!M$20*Ohj.lask.[[#This Row],[%-osuus 6]],0),0)</f>
        <v>4900</v>
      </c>
      <c r="AB87" s="132">
        <f>IFERROR(ROUND(VLOOKUP($A87,'2.7 Työpaikkakysely'!B:H,COLUMN('2.7 Työpaikkakysely'!F:F),FALSE),1),0)</f>
        <v>18080</v>
      </c>
      <c r="AC87" s="9">
        <f>IFERROR(Ohj.lask.[[#This Row],[Pisteet 7]]/Ohj.lask.[[#Totals],[Pisteet 7]],0)</f>
        <v>9.7980208665502324E-5</v>
      </c>
      <c r="AD87" s="16">
        <f>ROUND(IFERROR('1.1 Jakotaulu'!M$21*Ohj.lask.[[#This Row],[%-osuus 7]],0),0)</f>
        <v>789</v>
      </c>
      <c r="AE87" s="12">
        <f>IFERROR(Ohj.lask.[[#This Row],[Jaettava € 8]]/Ohj.lask.[[#Totals],[Jaettava € 8]],"")</f>
        <v>3.4868469739484715E-4</v>
      </c>
      <c r="AF8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740486</v>
      </c>
      <c r="AG87" s="102">
        <v>0</v>
      </c>
      <c r="AH87" s="102">
        <v>0</v>
      </c>
      <c r="AI87" s="102">
        <v>0</v>
      </c>
      <c r="AJ87" s="102">
        <v>0</v>
      </c>
      <c r="AK87" s="102">
        <v>0</v>
      </c>
      <c r="AL87" s="107">
        <v>0</v>
      </c>
      <c r="AM87" s="107">
        <v>0</v>
      </c>
      <c r="AN8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87" s="10">
        <f>Ohj.lask.[[#This Row],[Jaettava € 1]]+Ohj.lask.[[#This Row],[Harkinnanvarainen korotus 8, €]]</f>
        <v>433347</v>
      </c>
      <c r="AP87" s="102">
        <f>Ohj.lask.[[#This Row],[Jaettava € 2]]</f>
        <v>188014</v>
      </c>
      <c r="AQ87" s="10">
        <f>Ohj.lask.[[#This Row],[Jaettava € 3]]+Ohj.lask.[[#This Row],[Jaettava € 4]]+Ohj.lask.[[#This Row],[Jaettava € 5]]+Ohj.lask.[[#This Row],[Jaettava € 6]]+Ohj.lask.[[#This Row],[Jaettava € 7]]</f>
        <v>119125</v>
      </c>
      <c r="AR87" s="33">
        <f>Ohj.lask.[[#This Row],[Jaettava € 8]]+Ohj.lask.[[#This Row],[Harkinnanvarainen korotus 8, €]]</f>
        <v>740486</v>
      </c>
      <c r="AS87" s="33">
        <v>44002</v>
      </c>
      <c r="AT87" s="16">
        <f>Ohj.lask.[[#This Row],[Perus-, suoritus- ja vaikuttavuusrahoitus yhteensä, €]]+Ohj.lask.[[#This Row],[Alv-korvaus, €]]</f>
        <v>784488</v>
      </c>
    </row>
    <row r="88" spans="1:46" ht="12.75" x14ac:dyDescent="0.2">
      <c r="A88" s="3" t="s">
        <v>238</v>
      </c>
      <c r="B88" s="7" t="s">
        <v>79</v>
      </c>
      <c r="C88" s="7" t="s">
        <v>255</v>
      </c>
      <c r="D88" s="7" t="s">
        <v>325</v>
      </c>
      <c r="E88" s="7" t="s">
        <v>373</v>
      </c>
      <c r="F88" s="105">
        <v>47</v>
      </c>
      <c r="G88" s="106">
        <f>Ohj.lask.[[#This Row],[Tavoitteelliset opiskelija-vuodet]]-Ohj.lask.[[#This Row],[Järjestämisluvan opisk.vuosien vähimmäismäärä]]</f>
        <v>4</v>
      </c>
      <c r="H88" s="32">
        <v>51</v>
      </c>
      <c r="I88" s="8">
        <f>IFERROR(VLOOKUP($A88,'2.1 Toteut. op.vuodet'!$A:$T,COLUMN('2.1 Toteut. op.vuodet'!S:S),FALSE),0)</f>
        <v>0.82843710932602588</v>
      </c>
      <c r="J88" s="74">
        <f t="shared" si="2"/>
        <v>42.3</v>
      </c>
      <c r="K88" s="9">
        <f>IFERROR(Ohj.lask.[[#This Row],[Painotetut opiskelija-vuodet]]/Ohj.lask.[[#Totals],[Painotetut opiskelija-vuodet]],0)</f>
        <v>1.9516669450368138E-4</v>
      </c>
      <c r="L88" s="10">
        <f>ROUND(IFERROR('1.1 Jakotaulu'!L$12*Ohj.lask.[[#This Row],[%-osuus 1]],0),0)</f>
        <v>288670</v>
      </c>
      <c r="M88" s="132">
        <f>IFERROR(ROUND(VLOOKUP($A88,'2.2 Tutk. ja osien pain. pist.'!$A:$Q,COLUMN('2.2 Tutk. ja osien pain. pist.'!O:O),FALSE),1),0)</f>
        <v>4828</v>
      </c>
      <c r="N88" s="9">
        <f>IFERROR(Ohj.lask.[[#This Row],[Painotetut pisteet 2]]/Ohj.lask.[[#Totals],[Painotetut pisteet 2]],0)</f>
        <v>3.151685903244001E-4</v>
      </c>
      <c r="O88" s="16">
        <f>ROUND(IFERROR('1.1 Jakotaulu'!K$13*Ohj.lask.[[#This Row],[%-osuus 2]],0),0)</f>
        <v>135430</v>
      </c>
      <c r="P88" s="133">
        <f>IFERROR(ROUND(VLOOKUP($A88,'2.3 Työll. ja jatko-opisk.'!$A:$Z,COLUMN('2.3 Työll. ja jatko-opisk.'!L:L),FALSE),1),0)</f>
        <v>206.7</v>
      </c>
      <c r="Q88" s="9">
        <f>IFERROR(Ohj.lask.[[#This Row],[Painotetut pisteet 3]]/Ohj.lask.[[#Totals],[Painotetut pisteet 3]],0)</f>
        <v>6.6136381088898529E-4</v>
      </c>
      <c r="R88" s="10">
        <f>ROUND(IFERROR('1.1 Jakotaulu'!L$15*Ohj.lask.[[#This Row],[%-osuus 3]],0),0)</f>
        <v>99467</v>
      </c>
      <c r="S88" s="132">
        <f>IFERROR(ROUND(VLOOKUP($A88,'2.4 Aloittaneet palaute'!$A:$I,COLUMN('2.4 Aloittaneet palaute'!H:H),FALSE),1),0)</f>
        <v>638.20000000000005</v>
      </c>
      <c r="T88" s="13">
        <f>IFERROR(Ohj.lask.[[#This Row],[Painotetut pisteet 4]]/Ohj.lask.[[#Totals],[Painotetut pisteet 4]],0)</f>
        <v>3.8286752417713627E-4</v>
      </c>
      <c r="U88" s="16">
        <f>ROUND(IFERROR('1.1 Jakotaulu'!M$17*Ohj.lask.[[#This Row],[%-osuus 4]],0),0)</f>
        <v>3085</v>
      </c>
      <c r="V88" s="132">
        <f>IFERROR(ROUND(VLOOKUP($A88,'2.5 Päättäneet palaute'!$A:$Z,COLUMN('2.5 Päättäneet palaute'!X:X),FALSE),1),0)</f>
        <v>10551</v>
      </c>
      <c r="W88" s="13">
        <f>IFERROR(Ohj.lask.[[#This Row],[Painotetut pisteet 5]]/Ohj.lask.[[#Totals],[Painotetut pisteet 5]],0)</f>
        <v>1.03163729756318E-3</v>
      </c>
      <c r="X88" s="16">
        <f>ROUND(IFERROR('1.1 Jakotaulu'!M$18*Ohj.lask.[[#This Row],[%-osuus 5]],0),0)</f>
        <v>24936</v>
      </c>
      <c r="Y88" s="132">
        <f>IFERROR(ROUND(VLOOKUP($A88,'2.6 Työpaikkaohjaajakysely'!B:J,COLUMN('2.6 Työpaikkaohjaajakysely'!H:H),FALSE),1),0)</f>
        <v>480729.7</v>
      </c>
      <c r="Z88" s="9">
        <f>IFERROR(Ohj.lask.[[#This Row],[Painotetut pisteet 6]]/Ohj.lask.[[#Totals],[Painotetut pisteet 6]],0)</f>
        <v>1.4163813229921879E-3</v>
      </c>
      <c r="AA88" s="16">
        <f>ROUND(IFERROR('1.1 Jakotaulu'!M$20*Ohj.lask.[[#This Row],[%-osuus 6]],0),0)</f>
        <v>34235</v>
      </c>
      <c r="AB88" s="132">
        <f>IFERROR(ROUND(VLOOKUP($A88,'2.7 Työpaikkakysely'!B:H,COLUMN('2.7 Työpaikkakysely'!F:F),FALSE),1),0)</f>
        <v>147810.1</v>
      </c>
      <c r="AC88" s="9">
        <f>IFERROR(Ohj.lask.[[#This Row],[Pisteet 7]]/Ohj.lask.[[#Totals],[Pisteet 7]],0)</f>
        <v>8.0102126332238751E-4</v>
      </c>
      <c r="AD88" s="16">
        <f>ROUND(IFERROR('1.1 Jakotaulu'!M$21*Ohj.lask.[[#This Row],[%-osuus 7]],0),0)</f>
        <v>6454</v>
      </c>
      <c r="AE88" s="12">
        <f>IFERROR(Ohj.lask.[[#This Row],[Jaettava € 8]]/Ohj.lask.[[#Totals],[Jaettava € 8]],"")</f>
        <v>2.7889511282985481E-4</v>
      </c>
      <c r="AF8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592277</v>
      </c>
      <c r="AG88" s="102">
        <v>0</v>
      </c>
      <c r="AH88" s="102">
        <v>0</v>
      </c>
      <c r="AI88" s="102">
        <v>0</v>
      </c>
      <c r="AJ88" s="102">
        <v>0</v>
      </c>
      <c r="AK88" s="102">
        <v>0</v>
      </c>
      <c r="AL88" s="107">
        <v>0</v>
      </c>
      <c r="AM88" s="107">
        <v>0</v>
      </c>
      <c r="AN8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88" s="10">
        <f>Ohj.lask.[[#This Row],[Jaettava € 1]]+Ohj.lask.[[#This Row],[Harkinnanvarainen korotus 8, €]]</f>
        <v>288670</v>
      </c>
      <c r="AP88" s="102">
        <f>Ohj.lask.[[#This Row],[Jaettava € 2]]</f>
        <v>135430</v>
      </c>
      <c r="AQ88" s="10">
        <f>Ohj.lask.[[#This Row],[Jaettava € 3]]+Ohj.lask.[[#This Row],[Jaettava € 4]]+Ohj.lask.[[#This Row],[Jaettava € 5]]+Ohj.lask.[[#This Row],[Jaettava € 6]]+Ohj.lask.[[#This Row],[Jaettava € 7]]</f>
        <v>168177</v>
      </c>
      <c r="AR88" s="33">
        <f>Ohj.lask.[[#This Row],[Jaettava € 8]]+Ohj.lask.[[#This Row],[Harkinnanvarainen korotus 8, €]]</f>
        <v>592277</v>
      </c>
      <c r="AS88" s="33">
        <v>40567</v>
      </c>
      <c r="AT88" s="16">
        <f>Ohj.lask.[[#This Row],[Perus-, suoritus- ja vaikuttavuusrahoitus yhteensä, €]]+Ohj.lask.[[#This Row],[Alv-korvaus, €]]</f>
        <v>632844</v>
      </c>
    </row>
    <row r="89" spans="1:46" ht="12.75" x14ac:dyDescent="0.2">
      <c r="A89" s="3" t="s">
        <v>237</v>
      </c>
      <c r="B89" s="7" t="s">
        <v>80</v>
      </c>
      <c r="C89" s="7" t="s">
        <v>186</v>
      </c>
      <c r="D89" s="7" t="s">
        <v>324</v>
      </c>
      <c r="E89" s="7" t="s">
        <v>373</v>
      </c>
      <c r="F89" s="105">
        <v>945</v>
      </c>
      <c r="G89" s="106">
        <f>Ohj.lask.[[#This Row],[Tavoitteelliset opiskelija-vuodet]]-Ohj.lask.[[#This Row],[Järjestämisluvan opisk.vuosien vähimmäismäärä]]</f>
        <v>37</v>
      </c>
      <c r="H89" s="32">
        <v>982</v>
      </c>
      <c r="I89" s="8">
        <f>IFERROR(VLOOKUP($A89,'2.1 Toteut. op.vuodet'!$A:$T,COLUMN('2.1 Toteut. op.vuodet'!S:S),FALSE),0)</f>
        <v>1.2553630709818426</v>
      </c>
      <c r="J89" s="74">
        <f t="shared" si="2"/>
        <v>1232.8</v>
      </c>
      <c r="K89" s="9">
        <f>IFERROR(Ohj.lask.[[#This Row],[Painotetut opiskelija-vuodet]]/Ohj.lask.[[#Totals],[Painotetut opiskelija-vuodet]],0)</f>
        <v>5.6879787466699392E-3</v>
      </c>
      <c r="L89" s="10">
        <f>ROUND(IFERROR('1.1 Jakotaulu'!L$12*Ohj.lask.[[#This Row],[%-osuus 1]],0),0)</f>
        <v>8413067</v>
      </c>
      <c r="M89" s="132">
        <f>IFERROR(ROUND(VLOOKUP($A89,'2.2 Tutk. ja osien pain. pist.'!$A:$Q,COLUMN('2.2 Tutk. ja osien pain. pist.'!O:O),FALSE),1),0)</f>
        <v>71040.800000000003</v>
      </c>
      <c r="N89" s="9">
        <f>IFERROR(Ohj.lask.[[#This Row],[Painotetut pisteet 2]]/Ohj.lask.[[#Totals],[Painotetut pisteet 2]],0)</f>
        <v>4.6374956071908949E-3</v>
      </c>
      <c r="O89" s="16">
        <f>ROUND(IFERROR('1.1 Jakotaulu'!K$13*Ohj.lask.[[#This Row],[%-osuus 2]],0),0)</f>
        <v>1992760</v>
      </c>
      <c r="P89" s="133">
        <f>IFERROR(ROUND(VLOOKUP($A89,'2.3 Työll. ja jatko-opisk.'!$A:$Z,COLUMN('2.3 Työll. ja jatko-opisk.'!L:L),FALSE),1),0)</f>
        <v>1553.1</v>
      </c>
      <c r="Q89" s="9">
        <f>IFERROR(Ohj.lask.[[#This Row],[Painotetut pisteet 3]]/Ohj.lask.[[#Totals],[Painotetut pisteet 3]],0)</f>
        <v>4.9693475311644074E-3</v>
      </c>
      <c r="R89" s="10">
        <f>ROUND(IFERROR('1.1 Jakotaulu'!L$15*Ohj.lask.[[#This Row],[%-osuus 3]],0),0)</f>
        <v>747375</v>
      </c>
      <c r="S89" s="132">
        <f>IFERROR(ROUND(VLOOKUP($A89,'2.4 Aloittaneet palaute'!$A:$I,COLUMN('2.4 Aloittaneet palaute'!H:H),FALSE),1),0)</f>
        <v>9654.4</v>
      </c>
      <c r="T89" s="13">
        <f>IFERROR(Ohj.lask.[[#This Row],[Painotetut pisteet 4]]/Ohj.lask.[[#Totals],[Painotetut pisteet 4]],0)</f>
        <v>5.7918461695639989E-3</v>
      </c>
      <c r="U89" s="16">
        <f>ROUND(IFERROR('1.1 Jakotaulu'!M$17*Ohj.lask.[[#This Row],[%-osuus 4]],0),0)</f>
        <v>46665</v>
      </c>
      <c r="V89" s="132">
        <f>IFERROR(ROUND(VLOOKUP($A89,'2.5 Päättäneet palaute'!$A:$Z,COLUMN('2.5 Päättäneet palaute'!X:X),FALSE),1),0)</f>
        <v>40621.1</v>
      </c>
      <c r="W89" s="13">
        <f>IFERROR(Ohj.lask.[[#This Row],[Painotetut pisteet 5]]/Ohj.lask.[[#Totals],[Painotetut pisteet 5]],0)</f>
        <v>3.9717791515537565E-3</v>
      </c>
      <c r="X89" s="16">
        <f>ROUND(IFERROR('1.1 Jakotaulu'!M$18*Ohj.lask.[[#This Row],[%-osuus 5]],0),0)</f>
        <v>96002</v>
      </c>
      <c r="Y89" s="132">
        <f>IFERROR(ROUND(VLOOKUP($A89,'2.6 Työpaikkaohjaajakysely'!B:J,COLUMN('2.6 Työpaikkaohjaajakysely'!H:H),FALSE),1),0)</f>
        <v>1410533.5</v>
      </c>
      <c r="Z89" s="9">
        <f>IFERROR(Ohj.lask.[[#This Row],[Painotetut pisteet 6]]/Ohj.lask.[[#Totals],[Painotetut pisteet 6]],0)</f>
        <v>4.1558765868944672E-3</v>
      </c>
      <c r="AA89" s="16">
        <f>ROUND(IFERROR('1.1 Jakotaulu'!M$20*Ohj.lask.[[#This Row],[%-osuus 6]],0),0)</f>
        <v>100452</v>
      </c>
      <c r="AB89" s="132">
        <f>IFERROR(ROUND(VLOOKUP($A89,'2.7 Työpaikkakysely'!B:H,COLUMN('2.7 Työpaikkakysely'!F:F),FALSE),1),0)</f>
        <v>437875</v>
      </c>
      <c r="AC89" s="9">
        <f>IFERROR(Ohj.lask.[[#This Row],[Pisteet 7]]/Ohj.lask.[[#Totals],[Pisteet 7]],0)</f>
        <v>2.3729581786176342E-3</v>
      </c>
      <c r="AD89" s="16">
        <f>ROUND(IFERROR('1.1 Jakotaulu'!M$21*Ohj.lask.[[#This Row],[%-osuus 7]],0),0)</f>
        <v>19119</v>
      </c>
      <c r="AE89" s="12">
        <f>IFERROR(Ohj.lask.[[#This Row],[Jaettava € 8]]/Ohj.lask.[[#Totals],[Jaettava € 8]],"")</f>
        <v>5.3753740678811395E-3</v>
      </c>
      <c r="AF8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11415440</v>
      </c>
      <c r="AG89" s="102">
        <v>0</v>
      </c>
      <c r="AH89" s="102">
        <v>0</v>
      </c>
      <c r="AI89" s="102">
        <v>0</v>
      </c>
      <c r="AJ89" s="102">
        <v>0</v>
      </c>
      <c r="AK89" s="102">
        <v>14000</v>
      </c>
      <c r="AL89" s="107">
        <v>0</v>
      </c>
      <c r="AM89" s="107">
        <v>8668</v>
      </c>
      <c r="AN8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22668</v>
      </c>
      <c r="AO89" s="10">
        <f>Ohj.lask.[[#This Row],[Jaettava € 1]]+Ohj.lask.[[#This Row],[Harkinnanvarainen korotus 8, €]]</f>
        <v>8435735</v>
      </c>
      <c r="AP89" s="102">
        <f>Ohj.lask.[[#This Row],[Jaettava € 2]]</f>
        <v>1992760</v>
      </c>
      <c r="AQ89" s="10">
        <f>Ohj.lask.[[#This Row],[Jaettava € 3]]+Ohj.lask.[[#This Row],[Jaettava € 4]]+Ohj.lask.[[#This Row],[Jaettava € 5]]+Ohj.lask.[[#This Row],[Jaettava € 6]]+Ohj.lask.[[#This Row],[Jaettava € 7]]</f>
        <v>1009613</v>
      </c>
      <c r="AR89" s="33">
        <f>Ohj.lask.[[#This Row],[Jaettava € 8]]+Ohj.lask.[[#This Row],[Harkinnanvarainen korotus 8, €]]</f>
        <v>11438108</v>
      </c>
      <c r="AS89" s="33">
        <v>0</v>
      </c>
      <c r="AT89" s="16">
        <f>Ohj.lask.[[#This Row],[Perus-, suoritus- ja vaikuttavuusrahoitus yhteensä, €]]+Ohj.lask.[[#This Row],[Alv-korvaus, €]]</f>
        <v>11438108</v>
      </c>
    </row>
    <row r="90" spans="1:46" ht="12.75" x14ac:dyDescent="0.2">
      <c r="A90" s="3" t="s">
        <v>236</v>
      </c>
      <c r="B90" s="7" t="s">
        <v>81</v>
      </c>
      <c r="C90" s="7" t="s">
        <v>173</v>
      </c>
      <c r="D90" s="7" t="s">
        <v>325</v>
      </c>
      <c r="E90" s="7" t="s">
        <v>373</v>
      </c>
      <c r="F90" s="105">
        <v>1332</v>
      </c>
      <c r="G90" s="106">
        <f>Ohj.lask.[[#This Row],[Tavoitteelliset opiskelija-vuodet]]-Ohj.lask.[[#This Row],[Järjestämisluvan opisk.vuosien vähimmäismäärä]]</f>
        <v>95</v>
      </c>
      <c r="H90" s="32">
        <v>1427</v>
      </c>
      <c r="I90" s="8">
        <f>IFERROR(VLOOKUP($A90,'2.1 Toteut. op.vuodet'!$A:$T,COLUMN('2.1 Toteut. op.vuodet'!S:S),FALSE),0)</f>
        <v>0.93295848691076833</v>
      </c>
      <c r="J90" s="74">
        <f t="shared" si="2"/>
        <v>1331.3</v>
      </c>
      <c r="K90" s="9">
        <f>IFERROR(Ohj.lask.[[#This Row],[Painotetut opiskelija-vuodet]]/Ohj.lask.[[#Totals],[Painotetut opiskelija-vuodet]],0)</f>
        <v>6.1424449265425774E-3</v>
      </c>
      <c r="L90" s="10">
        <f>ROUND(IFERROR('1.1 Jakotaulu'!L$12*Ohj.lask.[[#This Row],[%-osuus 1]],0),0)</f>
        <v>9085266</v>
      </c>
      <c r="M90" s="132">
        <f>IFERROR(ROUND(VLOOKUP($A90,'2.2 Tutk. ja osien pain. pist.'!$A:$Q,COLUMN('2.2 Tutk. ja osien pain. pist.'!O:O),FALSE),1),0)</f>
        <v>102304.9</v>
      </c>
      <c r="N90" s="9">
        <f>IFERROR(Ohj.lask.[[#This Row],[Painotetut pisteet 2]]/Ohj.lask.[[#Totals],[Painotetut pisteet 2]],0)</f>
        <v>6.6783950116567348E-3</v>
      </c>
      <c r="O90" s="16">
        <f>ROUND(IFERROR('1.1 Jakotaulu'!K$13*Ohj.lask.[[#This Row],[%-osuus 2]],0),0)</f>
        <v>2869746</v>
      </c>
      <c r="P90" s="133">
        <f>IFERROR(ROUND(VLOOKUP($A90,'2.3 Työll. ja jatko-opisk.'!$A:$Z,COLUMN('2.3 Työll. ja jatko-opisk.'!L:L),FALSE),1),0)</f>
        <v>2741.3</v>
      </c>
      <c r="Q90" s="9">
        <f>IFERROR(Ohj.lask.[[#This Row],[Painotetut pisteet 3]]/Ohj.lask.[[#Totals],[Painotetut pisteet 3]],0)</f>
        <v>8.7711495635702744E-3</v>
      </c>
      <c r="R90" s="10">
        <f>ROUND(IFERROR('1.1 Jakotaulu'!L$15*Ohj.lask.[[#This Row],[%-osuus 3]],0),0)</f>
        <v>1319155</v>
      </c>
      <c r="S90" s="132">
        <f>IFERROR(ROUND(VLOOKUP($A90,'2.4 Aloittaneet palaute'!$A:$I,COLUMN('2.4 Aloittaneet palaute'!H:H),FALSE),1),0)</f>
        <v>15202.3</v>
      </c>
      <c r="T90" s="13">
        <f>IFERROR(Ohj.lask.[[#This Row],[Painotetut pisteet 4]]/Ohj.lask.[[#Totals],[Painotetut pisteet 4]],0)</f>
        <v>9.1201299949828871E-3</v>
      </c>
      <c r="U90" s="16">
        <f>ROUND(IFERROR('1.1 Jakotaulu'!M$17*Ohj.lask.[[#This Row],[%-osuus 4]],0),0)</f>
        <v>73481</v>
      </c>
      <c r="V90" s="132">
        <f>IFERROR(ROUND(VLOOKUP($A90,'2.5 Päättäneet palaute'!$A:$Z,COLUMN('2.5 Päättäneet palaute'!X:X),FALSE),1),0)</f>
        <v>89470.9</v>
      </c>
      <c r="W90" s="13">
        <f>IFERROR(Ohj.lask.[[#This Row],[Painotetut pisteet 5]]/Ohj.lask.[[#Totals],[Painotetut pisteet 5]],0)</f>
        <v>8.7481297968482145E-3</v>
      </c>
      <c r="X90" s="16">
        <f>ROUND(IFERROR('1.1 Jakotaulu'!M$18*Ohj.lask.[[#This Row],[%-osuus 5]],0),0)</f>
        <v>211451</v>
      </c>
      <c r="Y90" s="132">
        <f>IFERROR(ROUND(VLOOKUP($A90,'2.6 Työpaikkaohjaajakysely'!B:J,COLUMN('2.6 Työpaikkaohjaajakysely'!H:H),FALSE),1),0)</f>
        <v>3554633.4</v>
      </c>
      <c r="Z90" s="9">
        <f>IFERROR(Ohj.lask.[[#This Row],[Painotetut pisteet 6]]/Ohj.lask.[[#Totals],[Painotetut pisteet 6]],0)</f>
        <v>1.0473071162119209E-2</v>
      </c>
      <c r="AA90" s="16">
        <f>ROUND(IFERROR('1.1 Jakotaulu'!M$20*Ohj.lask.[[#This Row],[%-osuus 6]],0),0)</f>
        <v>253144</v>
      </c>
      <c r="AB90" s="132">
        <f>IFERROR(ROUND(VLOOKUP($A90,'2.7 Työpaikkakysely'!B:H,COLUMN('2.7 Työpaikkakysely'!F:F),FALSE),1),0)</f>
        <v>2450487.7999999998</v>
      </c>
      <c r="AC90" s="9">
        <f>IFERROR(Ohj.lask.[[#This Row],[Pisteet 7]]/Ohj.lask.[[#Totals],[Pisteet 7]],0)</f>
        <v>1.3279828870368788E-2</v>
      </c>
      <c r="AD90" s="16">
        <f>ROUND(IFERROR('1.1 Jakotaulu'!M$21*Ohj.lask.[[#This Row],[%-osuus 7]],0),0)</f>
        <v>106995</v>
      </c>
      <c r="AE90" s="12">
        <f>IFERROR(Ohj.lask.[[#This Row],[Jaettava € 8]]/Ohj.lask.[[#Totals],[Jaettava € 8]],"")</f>
        <v>6.5543781921560398E-3</v>
      </c>
      <c r="AF9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13919238</v>
      </c>
      <c r="AG90" s="102">
        <v>0</v>
      </c>
      <c r="AH90" s="102">
        <v>0</v>
      </c>
      <c r="AI90" s="102">
        <v>0</v>
      </c>
      <c r="AJ90" s="102">
        <v>0</v>
      </c>
      <c r="AK90" s="102">
        <v>23000</v>
      </c>
      <c r="AL90" s="107">
        <v>51000</v>
      </c>
      <c r="AM90" s="107">
        <v>0</v>
      </c>
      <c r="AN9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74000</v>
      </c>
      <c r="AO90" s="10">
        <f>Ohj.lask.[[#This Row],[Jaettava € 1]]+Ohj.lask.[[#This Row],[Harkinnanvarainen korotus 8, €]]</f>
        <v>9159266</v>
      </c>
      <c r="AP90" s="102">
        <f>Ohj.lask.[[#This Row],[Jaettava € 2]]</f>
        <v>2869746</v>
      </c>
      <c r="AQ90" s="10">
        <f>Ohj.lask.[[#This Row],[Jaettava € 3]]+Ohj.lask.[[#This Row],[Jaettava € 4]]+Ohj.lask.[[#This Row],[Jaettava € 5]]+Ohj.lask.[[#This Row],[Jaettava € 6]]+Ohj.lask.[[#This Row],[Jaettava € 7]]</f>
        <v>1964226</v>
      </c>
      <c r="AR90" s="33">
        <f>Ohj.lask.[[#This Row],[Jaettava € 8]]+Ohj.lask.[[#This Row],[Harkinnanvarainen korotus 8, €]]</f>
        <v>13993238</v>
      </c>
      <c r="AS90" s="33">
        <v>752978</v>
      </c>
      <c r="AT90" s="16">
        <f>Ohj.lask.[[#This Row],[Perus-, suoritus- ja vaikuttavuusrahoitus yhteensä, €]]+Ohj.lask.[[#This Row],[Alv-korvaus, €]]</f>
        <v>14746216</v>
      </c>
    </row>
    <row r="91" spans="1:46" ht="12.75" x14ac:dyDescent="0.2">
      <c r="A91" s="3" t="s">
        <v>235</v>
      </c>
      <c r="B91" s="7" t="s">
        <v>82</v>
      </c>
      <c r="C91" s="7" t="s">
        <v>222</v>
      </c>
      <c r="D91" s="7" t="s">
        <v>325</v>
      </c>
      <c r="E91" s="7" t="s">
        <v>373</v>
      </c>
      <c r="F91" s="105">
        <v>64</v>
      </c>
      <c r="G91" s="106">
        <f>Ohj.lask.[[#This Row],[Tavoitteelliset opiskelija-vuodet]]-Ohj.lask.[[#This Row],[Järjestämisluvan opisk.vuosien vähimmäismäärä]]</f>
        <v>32</v>
      </c>
      <c r="H91" s="32">
        <v>96</v>
      </c>
      <c r="I91" s="8">
        <f>IFERROR(VLOOKUP($A91,'2.1 Toteut. op.vuodet'!$A:$T,COLUMN('2.1 Toteut. op.vuodet'!S:S),FALSE),0)</f>
        <v>1.0596557214843216</v>
      </c>
      <c r="J91" s="74">
        <f t="shared" si="2"/>
        <v>101.7</v>
      </c>
      <c r="K91" s="9">
        <f>IFERROR(Ohj.lask.[[#This Row],[Painotetut opiskelija-vuodet]]/Ohj.lask.[[#Totals],[Painotetut opiskelija-vuodet]],0)</f>
        <v>4.6923056338119142E-4</v>
      </c>
      <c r="L91" s="10">
        <f>ROUND(IFERROR('1.1 Jakotaulu'!L$12*Ohj.lask.[[#This Row],[%-osuus 1]],0),0)</f>
        <v>694037</v>
      </c>
      <c r="M91" s="132">
        <f>IFERROR(ROUND(VLOOKUP($A91,'2.2 Tutk. ja osien pain. pist.'!$A:$Q,COLUMN('2.2 Tutk. ja osien pain. pist.'!O:O),FALSE),1),0)</f>
        <v>7992.2</v>
      </c>
      <c r="N91" s="9">
        <f>IFERROR(Ohj.lask.[[#This Row],[Painotetut pisteet 2]]/Ohj.lask.[[#Totals],[Painotetut pisteet 2]],0)</f>
        <v>5.2172543653493581E-4</v>
      </c>
      <c r="O91" s="16">
        <f>ROUND(IFERROR('1.1 Jakotaulu'!K$13*Ohj.lask.[[#This Row],[%-osuus 2]],0),0)</f>
        <v>224189</v>
      </c>
      <c r="P91" s="133">
        <f>IFERROR(ROUND(VLOOKUP($A91,'2.3 Työll. ja jatko-opisk.'!$A:$Z,COLUMN('2.3 Työll. ja jatko-opisk.'!L:L),FALSE),1),0)</f>
        <v>86.6</v>
      </c>
      <c r="Q91" s="9">
        <f>IFERROR(Ohj.lask.[[#This Row],[Painotetut pisteet 3]]/Ohj.lask.[[#Totals],[Painotetut pisteet 3]],0)</f>
        <v>2.7708807945324687E-4</v>
      </c>
      <c r="R91" s="10">
        <f>ROUND(IFERROR('1.1 Jakotaulu'!L$15*Ohj.lask.[[#This Row],[%-osuus 3]],0),0)</f>
        <v>41673</v>
      </c>
      <c r="S91" s="132">
        <f>IFERROR(ROUND(VLOOKUP($A91,'2.4 Aloittaneet palaute'!$A:$I,COLUMN('2.4 Aloittaneet palaute'!H:H),FALSE),1),0)</f>
        <v>579.1</v>
      </c>
      <c r="T91" s="13">
        <f>IFERROR(Ohj.lask.[[#This Row],[Painotetut pisteet 4]]/Ohj.lask.[[#Totals],[Painotetut pisteet 4]],0)</f>
        <v>3.4741238365869576E-4</v>
      </c>
      <c r="U91" s="16">
        <f>ROUND(IFERROR('1.1 Jakotaulu'!M$17*Ohj.lask.[[#This Row],[%-osuus 4]],0),0)</f>
        <v>2799</v>
      </c>
      <c r="V91" s="132">
        <f>IFERROR(ROUND(VLOOKUP($A91,'2.5 Päättäneet palaute'!$A:$Z,COLUMN('2.5 Päättäneet palaute'!X:X),FALSE),1),0)</f>
        <v>5667.4</v>
      </c>
      <c r="W91" s="13">
        <f>IFERROR(Ohj.lask.[[#This Row],[Painotetut pisteet 5]]/Ohj.lask.[[#Totals],[Painotetut pisteet 5]],0)</f>
        <v>5.5413716426969627E-4</v>
      </c>
      <c r="X91" s="16">
        <f>ROUND(IFERROR('1.1 Jakotaulu'!M$18*Ohj.lask.[[#This Row],[%-osuus 5]],0),0)</f>
        <v>13394</v>
      </c>
      <c r="Y91" s="132">
        <f>IFERROR(ROUND(VLOOKUP($A91,'2.6 Työpaikkaohjaajakysely'!B:J,COLUMN('2.6 Työpaikkaohjaajakysely'!H:H),FALSE),1),0)</f>
        <v>215101.7</v>
      </c>
      <c r="Z91" s="9">
        <f>IFERROR(Ohj.lask.[[#This Row],[Painotetut pisteet 6]]/Ohj.lask.[[#Totals],[Painotetut pisteet 6]],0)</f>
        <v>6.3375745335449152E-4</v>
      </c>
      <c r="AA91" s="16">
        <f>ROUND(IFERROR('1.1 Jakotaulu'!M$20*Ohj.lask.[[#This Row],[%-osuus 6]],0),0)</f>
        <v>15319</v>
      </c>
      <c r="AB91" s="132">
        <f>IFERROR(ROUND(VLOOKUP($A91,'2.7 Työpaikkakysely'!B:H,COLUMN('2.7 Työpaikkakysely'!F:F),FALSE),1),0)</f>
        <v>105850</v>
      </c>
      <c r="AC91" s="9">
        <f>IFERROR(Ohj.lask.[[#This Row],[Pisteet 7]]/Ohj.lask.[[#Totals],[Pisteet 7]],0)</f>
        <v>5.7362859995815376E-4</v>
      </c>
      <c r="AD91" s="16">
        <f>ROUND(IFERROR('1.1 Jakotaulu'!M$21*Ohj.lask.[[#This Row],[%-osuus 7]],0),0)</f>
        <v>4622</v>
      </c>
      <c r="AE91" s="12">
        <f>IFERROR(Ohj.lask.[[#This Row],[Jaettava € 8]]/Ohj.lask.[[#Totals],[Jaettava € 8]],"")</f>
        <v>4.6901827340460421E-4</v>
      </c>
      <c r="AF9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996033</v>
      </c>
      <c r="AG91" s="102">
        <v>0</v>
      </c>
      <c r="AH91" s="102">
        <v>0</v>
      </c>
      <c r="AI91" s="102">
        <v>0</v>
      </c>
      <c r="AJ91" s="102">
        <v>0</v>
      </c>
      <c r="AK91" s="102">
        <v>0</v>
      </c>
      <c r="AL91" s="107">
        <v>0</v>
      </c>
      <c r="AM91" s="107">
        <v>0</v>
      </c>
      <c r="AN9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91" s="10">
        <f>Ohj.lask.[[#This Row],[Jaettava € 1]]+Ohj.lask.[[#This Row],[Harkinnanvarainen korotus 8, €]]</f>
        <v>694037</v>
      </c>
      <c r="AP91" s="102">
        <f>Ohj.lask.[[#This Row],[Jaettava € 2]]</f>
        <v>224189</v>
      </c>
      <c r="AQ91" s="10">
        <f>Ohj.lask.[[#This Row],[Jaettava € 3]]+Ohj.lask.[[#This Row],[Jaettava € 4]]+Ohj.lask.[[#This Row],[Jaettava € 5]]+Ohj.lask.[[#This Row],[Jaettava € 6]]+Ohj.lask.[[#This Row],[Jaettava € 7]]</f>
        <v>77807</v>
      </c>
      <c r="AR91" s="33">
        <f>Ohj.lask.[[#This Row],[Jaettava € 8]]+Ohj.lask.[[#This Row],[Harkinnanvarainen korotus 8, €]]</f>
        <v>996033</v>
      </c>
      <c r="AS91" s="33">
        <v>54400</v>
      </c>
      <c r="AT91" s="16">
        <f>Ohj.lask.[[#This Row],[Perus-, suoritus- ja vaikuttavuusrahoitus yhteensä, €]]+Ohj.lask.[[#This Row],[Alv-korvaus, €]]</f>
        <v>1050433</v>
      </c>
    </row>
    <row r="92" spans="1:46" ht="12.75" x14ac:dyDescent="0.2">
      <c r="A92" s="3" t="s">
        <v>242</v>
      </c>
      <c r="B92" s="7" t="s">
        <v>83</v>
      </c>
      <c r="C92" s="7" t="s">
        <v>241</v>
      </c>
      <c r="D92" s="7" t="s">
        <v>324</v>
      </c>
      <c r="E92" s="7" t="s">
        <v>373</v>
      </c>
      <c r="F92" s="105">
        <v>4815</v>
      </c>
      <c r="G92" s="106">
        <f>Ohj.lask.[[#This Row],[Tavoitteelliset opiskelija-vuodet]]-Ohj.lask.[[#This Row],[Järjestämisluvan opisk.vuosien vähimmäismäärä]]</f>
        <v>534</v>
      </c>
      <c r="H92" s="32">
        <v>5349</v>
      </c>
      <c r="I92" s="8">
        <f>IFERROR(VLOOKUP($A92,'2.1 Toteut. op.vuodet'!$A:$T,COLUMN('2.1 Toteut. op.vuodet'!S:S),FALSE),0)</f>
        <v>1.1802517392712235</v>
      </c>
      <c r="J92" s="74">
        <f t="shared" si="2"/>
        <v>6313.2</v>
      </c>
      <c r="K92" s="9">
        <f>IFERROR(Ohj.lask.[[#This Row],[Painotetut opiskelija-vuodet]]/Ohj.lask.[[#Totals],[Painotetut opiskelija-vuodet]],0)</f>
        <v>2.9128283114435966E-2</v>
      </c>
      <c r="L92" s="10">
        <f>ROUND(IFERROR('1.1 Jakotaulu'!L$12*Ohj.lask.[[#This Row],[%-osuus 1]],0),0)</f>
        <v>43083527</v>
      </c>
      <c r="M92" s="132">
        <f>IFERROR(ROUND(VLOOKUP($A92,'2.2 Tutk. ja osien pain. pist.'!$A:$Q,COLUMN('2.2 Tutk. ja osien pain. pist.'!O:O),FALSE),1),0)</f>
        <v>443037.4</v>
      </c>
      <c r="N92" s="9">
        <f>IFERROR(Ohj.lask.[[#This Row],[Painotetut pisteet 2]]/Ohj.lask.[[#Totals],[Painotetut pisteet 2]],0)</f>
        <v>2.8921183268224394E-2</v>
      </c>
      <c r="O92" s="16">
        <f>ROUND(IFERROR('1.1 Jakotaulu'!K$13*Ohj.lask.[[#This Row],[%-osuus 2]],0),0)</f>
        <v>12427606</v>
      </c>
      <c r="P92" s="133">
        <f>IFERROR(ROUND(VLOOKUP($A92,'2.3 Työll. ja jatko-opisk.'!$A:$Z,COLUMN('2.3 Työll. ja jatko-opisk.'!L:L),FALSE),1),0)</f>
        <v>9751.7000000000007</v>
      </c>
      <c r="Q92" s="9">
        <f>IFERROR(Ohj.lask.[[#This Row],[Painotetut pisteet 3]]/Ohj.lask.[[#Totals],[Painotetut pisteet 3]],0)</f>
        <v>3.1201845547392932E-2</v>
      </c>
      <c r="R92" s="10">
        <f>ROUND(IFERROR('1.1 Jakotaulu'!L$15*Ohj.lask.[[#This Row],[%-osuus 3]],0),0)</f>
        <v>4692667</v>
      </c>
      <c r="S92" s="132">
        <f>IFERROR(ROUND(VLOOKUP($A92,'2.4 Aloittaneet palaute'!$A:$I,COLUMN('2.4 Aloittaneet palaute'!H:H),FALSE),1),0)</f>
        <v>52528.2</v>
      </c>
      <c r="T92" s="13">
        <f>IFERROR(Ohj.lask.[[#This Row],[Painotetut pisteet 4]]/Ohj.lask.[[#Totals],[Painotetut pisteet 4]],0)</f>
        <v>3.1512600882922986E-2</v>
      </c>
      <c r="U92" s="16">
        <f>ROUND(IFERROR('1.1 Jakotaulu'!M$17*Ohj.lask.[[#This Row],[%-osuus 4]],0),0)</f>
        <v>253897</v>
      </c>
      <c r="V92" s="132">
        <f>IFERROR(ROUND(VLOOKUP($A92,'2.5 Päättäneet palaute'!$A:$Z,COLUMN('2.5 Päättäneet palaute'!X:X),FALSE),1),0)</f>
        <v>317940.09999999998</v>
      </c>
      <c r="W92" s="13">
        <f>IFERROR(Ohj.lask.[[#This Row],[Painotetut pisteet 5]]/Ohj.lask.[[#Totals],[Painotetut pisteet 5]],0)</f>
        <v>3.1086993228221699E-2</v>
      </c>
      <c r="X92" s="16">
        <f>ROUND(IFERROR('1.1 Jakotaulu'!M$18*Ohj.lask.[[#This Row],[%-osuus 5]],0),0)</f>
        <v>751403</v>
      </c>
      <c r="Y92" s="132">
        <f>IFERROR(ROUND(VLOOKUP($A92,'2.6 Työpaikkaohjaajakysely'!B:J,COLUMN('2.6 Työpaikkaohjaajakysely'!H:H),FALSE),1),0)</f>
        <v>10338298.800000001</v>
      </c>
      <c r="Z92" s="9">
        <f>IFERROR(Ohj.lask.[[#This Row],[Painotetut pisteet 6]]/Ohj.lask.[[#Totals],[Painotetut pisteet 6]],0)</f>
        <v>3.0459889064130111E-2</v>
      </c>
      <c r="AA92" s="16">
        <f>ROUND(IFERROR('1.1 Jakotaulu'!M$20*Ohj.lask.[[#This Row],[%-osuus 6]],0),0)</f>
        <v>736245</v>
      </c>
      <c r="AB92" s="132">
        <f>IFERROR(ROUND(VLOOKUP($A92,'2.7 Työpaikkakysely'!B:H,COLUMN('2.7 Työpaikkakysely'!F:F),FALSE),1),0)</f>
        <v>3675426</v>
      </c>
      <c r="AC92" s="9">
        <f>IFERROR(Ohj.lask.[[#This Row],[Pisteet 7]]/Ohj.lask.[[#Totals],[Pisteet 7]],0)</f>
        <v>1.9918086637976357E-2</v>
      </c>
      <c r="AD92" s="16">
        <f>ROUND(IFERROR('1.1 Jakotaulu'!M$21*Ohj.lask.[[#This Row],[%-osuus 7]],0),0)</f>
        <v>160480</v>
      </c>
      <c r="AE92" s="12">
        <f>IFERROR(Ohj.lask.[[#This Row],[Jaettava € 8]]/Ohj.lask.[[#Totals],[Jaettava € 8]],"")</f>
        <v>2.9244780855522363E-2</v>
      </c>
      <c r="AF9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62105825</v>
      </c>
      <c r="AG92" s="102">
        <v>0</v>
      </c>
      <c r="AH92" s="102">
        <v>0</v>
      </c>
      <c r="AI92" s="102">
        <v>0</v>
      </c>
      <c r="AJ92" s="102">
        <v>0</v>
      </c>
      <c r="AK92" s="102">
        <v>87000</v>
      </c>
      <c r="AL92" s="107">
        <v>0</v>
      </c>
      <c r="AM92" s="107">
        <v>213666</v>
      </c>
      <c r="AN9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300666</v>
      </c>
      <c r="AO92" s="10">
        <f>Ohj.lask.[[#This Row],[Jaettava € 1]]+Ohj.lask.[[#This Row],[Harkinnanvarainen korotus 8, €]]</f>
        <v>43384193</v>
      </c>
      <c r="AP92" s="102">
        <f>Ohj.lask.[[#This Row],[Jaettava € 2]]</f>
        <v>12427606</v>
      </c>
      <c r="AQ92" s="10">
        <f>Ohj.lask.[[#This Row],[Jaettava € 3]]+Ohj.lask.[[#This Row],[Jaettava € 4]]+Ohj.lask.[[#This Row],[Jaettava € 5]]+Ohj.lask.[[#This Row],[Jaettava € 6]]+Ohj.lask.[[#This Row],[Jaettava € 7]]</f>
        <v>6594692</v>
      </c>
      <c r="AR92" s="33">
        <f>Ohj.lask.[[#This Row],[Jaettava € 8]]+Ohj.lask.[[#This Row],[Harkinnanvarainen korotus 8, €]]</f>
        <v>62406491</v>
      </c>
      <c r="AS92" s="33">
        <v>0</v>
      </c>
      <c r="AT92" s="16">
        <f>Ohj.lask.[[#This Row],[Perus-, suoritus- ja vaikuttavuusrahoitus yhteensä, €]]+Ohj.lask.[[#This Row],[Alv-korvaus, €]]</f>
        <v>62406491</v>
      </c>
    </row>
    <row r="93" spans="1:46" ht="12.75" x14ac:dyDescent="0.2">
      <c r="A93" s="3" t="s">
        <v>232</v>
      </c>
      <c r="B93" s="7" t="s">
        <v>84</v>
      </c>
      <c r="C93" s="96" t="s">
        <v>214</v>
      </c>
      <c r="D93" s="96" t="s">
        <v>325</v>
      </c>
      <c r="E93" s="96" t="s">
        <v>373</v>
      </c>
      <c r="F93" s="104">
        <v>117</v>
      </c>
      <c r="G93" s="106">
        <f>Ohj.lask.[[#This Row],[Tavoitteelliset opiskelija-vuodet]]-Ohj.lask.[[#This Row],[Järjestämisluvan opisk.vuosien vähimmäismäärä]]</f>
        <v>15</v>
      </c>
      <c r="H93" s="32">
        <v>132</v>
      </c>
      <c r="I93" s="8">
        <f>IFERROR(VLOOKUP($A93,'2.1 Toteut. op.vuodet'!$A:$T,COLUMN('2.1 Toteut. op.vuodet'!S:S),FALSE),0)</f>
        <v>0.92906720682253519</v>
      </c>
      <c r="J93" s="74">
        <f t="shared" si="2"/>
        <v>122.6</v>
      </c>
      <c r="K93" s="9">
        <f>IFERROR(Ohj.lask.[[#This Row],[Painotetut opiskelija-vuodet]]/Ohj.lask.[[#Totals],[Painotetut opiskelija-vuodet]],0)</f>
        <v>5.6566044317142637E-4</v>
      </c>
      <c r="L93" s="10">
        <f>ROUND(IFERROR('1.1 Jakotaulu'!L$12*Ohj.lask.[[#This Row],[%-osuus 1]],0),0)</f>
        <v>836666</v>
      </c>
      <c r="M93" s="132">
        <f>IFERROR(ROUND(VLOOKUP($A93,'2.2 Tutk. ja osien pain. pist.'!$A:$Q,COLUMN('2.2 Tutk. ja osien pain. pist.'!O:O),FALSE),1),0)</f>
        <v>11744</v>
      </c>
      <c r="N93" s="9">
        <f>IFERROR(Ohj.lask.[[#This Row],[Painotetut pisteet 2]]/Ohj.lask.[[#Totals],[Painotetut pisteet 2]],0)</f>
        <v>7.6664041523814299E-4</v>
      </c>
      <c r="O93" s="16">
        <f>ROUND(IFERROR('1.1 Jakotaulu'!K$13*Ohj.lask.[[#This Row],[%-osuus 2]],0),0)</f>
        <v>329430</v>
      </c>
      <c r="P93" s="133">
        <f>IFERROR(ROUND(VLOOKUP($A93,'2.3 Työll. ja jatko-opisk.'!$A:$Z,COLUMN('2.3 Työll. ja jatko-opisk.'!L:L),FALSE),1),0)</f>
        <v>257.7</v>
      </c>
      <c r="Q93" s="13">
        <f>IFERROR(Ohj.lask.[[#This Row],[Painotetut pisteet 3]]/Ohj.lask.[[#Totals],[Painotetut pisteet 3]],0)</f>
        <v>8.2454501241456947E-4</v>
      </c>
      <c r="R93" s="10">
        <f>ROUND(IFERROR('1.1 Jakotaulu'!L$15*Ohj.lask.[[#This Row],[%-osuus 3]],0),0)</f>
        <v>124009</v>
      </c>
      <c r="S93" s="132">
        <f>IFERROR(ROUND(VLOOKUP($A93,'2.4 Aloittaneet palaute'!$A:$I,COLUMN('2.4 Aloittaneet palaute'!H:H),FALSE),1),0)</f>
        <v>2018.7</v>
      </c>
      <c r="T93" s="13">
        <f>IFERROR(Ohj.lask.[[#This Row],[Painotetut pisteet 4]]/Ohj.lask.[[#Totals],[Painotetut pisteet 4]],0)</f>
        <v>1.2110540129369868E-3</v>
      </c>
      <c r="U93" s="16">
        <f>ROUND(IFERROR('1.1 Jakotaulu'!M$17*Ohj.lask.[[#This Row],[%-osuus 4]],0),0)</f>
        <v>9757</v>
      </c>
      <c r="V93" s="132">
        <f>IFERROR(ROUND(VLOOKUP($A93,'2.5 Päättäneet palaute'!$A:$Z,COLUMN('2.5 Päättäneet palaute'!X:X),FALSE),1),0)</f>
        <v>11355.2</v>
      </c>
      <c r="W93" s="13">
        <f>IFERROR(Ohj.lask.[[#This Row],[Painotetut pisteet 5]]/Ohj.lask.[[#Totals],[Painotetut pisteet 5]],0)</f>
        <v>1.1102689642014426E-3</v>
      </c>
      <c r="X93" s="16">
        <f>ROUND(IFERROR('1.1 Jakotaulu'!M$18*Ohj.lask.[[#This Row],[%-osuus 5]],0),0)</f>
        <v>26836</v>
      </c>
      <c r="Y93" s="132">
        <f>IFERROR(ROUND(VLOOKUP($A93,'2.6 Työpaikkaohjaajakysely'!B:J,COLUMN('2.6 Työpaikkaohjaajakysely'!H:H),FALSE),1),0)</f>
        <v>720920.2</v>
      </c>
      <c r="Z93" s="9">
        <f>IFERROR(Ohj.lask.[[#This Row],[Painotetut pisteet 6]]/Ohj.lask.[[#Totals],[Painotetut pisteet 6]],0)</f>
        <v>2.1240582943966072E-3</v>
      </c>
      <c r="AA93" s="16">
        <f>ROUND(IFERROR('1.1 Jakotaulu'!M$20*Ohj.lask.[[#This Row],[%-osuus 6]],0),0)</f>
        <v>51341</v>
      </c>
      <c r="AB93" s="132">
        <f>IFERROR(ROUND(VLOOKUP($A93,'2.7 Työpaikkakysely'!B:H,COLUMN('2.7 Työpaikkakysely'!F:F),FALSE),1),0)</f>
        <v>266691</v>
      </c>
      <c r="AC93" s="9">
        <f>IFERROR(Ohj.lask.[[#This Row],[Pisteet 7]]/Ohj.lask.[[#Totals],[Pisteet 7]],0)</f>
        <v>1.4452676896687766E-3</v>
      </c>
      <c r="AD93" s="16">
        <f>ROUND(IFERROR('1.1 Jakotaulu'!M$21*Ohj.lask.[[#This Row],[%-osuus 7]],0),0)</f>
        <v>11645</v>
      </c>
      <c r="AE93" s="12">
        <f>IFERROR(Ohj.lask.[[#This Row],[Jaettava € 8]]/Ohj.lask.[[#Totals],[Jaettava € 8]],"")</f>
        <v>6.5438312812728496E-4</v>
      </c>
      <c r="AF9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1389684</v>
      </c>
      <c r="AG93" s="102">
        <v>0</v>
      </c>
      <c r="AH93" s="102">
        <v>0</v>
      </c>
      <c r="AI93" s="102">
        <v>0</v>
      </c>
      <c r="AJ93" s="102">
        <v>0</v>
      </c>
      <c r="AK93" s="102">
        <v>0</v>
      </c>
      <c r="AL93" s="107">
        <v>0</v>
      </c>
      <c r="AM93" s="107">
        <v>0</v>
      </c>
      <c r="AN9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93" s="10">
        <f>Ohj.lask.[[#This Row],[Jaettava € 1]]+Ohj.lask.[[#This Row],[Harkinnanvarainen korotus 8, €]]</f>
        <v>836666</v>
      </c>
      <c r="AP93" s="102">
        <f>Ohj.lask.[[#This Row],[Jaettava € 2]]</f>
        <v>329430</v>
      </c>
      <c r="AQ93" s="10">
        <f>Ohj.lask.[[#This Row],[Jaettava € 3]]+Ohj.lask.[[#This Row],[Jaettava € 4]]+Ohj.lask.[[#This Row],[Jaettava € 5]]+Ohj.lask.[[#This Row],[Jaettava € 6]]+Ohj.lask.[[#This Row],[Jaettava € 7]]</f>
        <v>223588</v>
      </c>
      <c r="AR93" s="33">
        <f>Ohj.lask.[[#This Row],[Jaettava € 8]]+Ohj.lask.[[#This Row],[Harkinnanvarainen korotus 8, €]]</f>
        <v>1389684</v>
      </c>
      <c r="AS93" s="33">
        <v>55265</v>
      </c>
      <c r="AT93" s="16">
        <f>Ohj.lask.[[#This Row],[Perus-, suoritus- ja vaikuttavuusrahoitus yhteensä, €]]+Ohj.lask.[[#This Row],[Alv-korvaus, €]]</f>
        <v>1444949</v>
      </c>
    </row>
    <row r="94" spans="1:46" ht="12.75" x14ac:dyDescent="0.2">
      <c r="A94" s="3" t="s">
        <v>231</v>
      </c>
      <c r="B94" s="7" t="s">
        <v>85</v>
      </c>
      <c r="C94" s="7" t="s">
        <v>177</v>
      </c>
      <c r="D94" s="7" t="s">
        <v>325</v>
      </c>
      <c r="E94" s="7" t="s">
        <v>373</v>
      </c>
      <c r="F94" s="105">
        <v>48</v>
      </c>
      <c r="G94" s="106">
        <f>Ohj.lask.[[#This Row],[Tavoitteelliset opiskelija-vuodet]]-Ohj.lask.[[#This Row],[Järjestämisluvan opisk.vuosien vähimmäismäärä]]</f>
        <v>0</v>
      </c>
      <c r="H94" s="32">
        <v>48</v>
      </c>
      <c r="I94" s="8">
        <f>IFERROR(VLOOKUP($A94,'2.1 Toteut. op.vuodet'!$A:$T,COLUMN('2.1 Toteut. op.vuodet'!S:S),FALSE),0)</f>
        <v>1.2324960428870217</v>
      </c>
      <c r="J94" s="74">
        <f t="shared" si="2"/>
        <v>59.2</v>
      </c>
      <c r="K94" s="9">
        <f>IFERROR(Ohj.lask.[[#This Row],[Painotetut opiskelija-vuodet]]/Ohj.lask.[[#Totals],[Painotetut opiskelija-vuodet]],0)</f>
        <v>2.731410949082255E-4</v>
      </c>
      <c r="L94" s="10">
        <f>ROUND(IFERROR('1.1 Jakotaulu'!L$12*Ohj.lask.[[#This Row],[%-osuus 1]],0),0)</f>
        <v>404002</v>
      </c>
      <c r="M94" s="132">
        <f>IFERROR(ROUND(VLOOKUP($A94,'2.2 Tutk. ja osien pain. pist.'!$A:$Q,COLUMN('2.2 Tutk. ja osien pain. pist.'!O:O),FALSE),1),0)</f>
        <v>4062</v>
      </c>
      <c r="N94" s="9">
        <f>IFERROR(Ohj.lask.[[#This Row],[Painotetut pisteet 2]]/Ohj.lask.[[#Totals],[Painotetut pisteet 2]],0)</f>
        <v>2.6516462591087676E-4</v>
      </c>
      <c r="O94" s="16">
        <f>ROUND(IFERROR('1.1 Jakotaulu'!K$13*Ohj.lask.[[#This Row],[%-osuus 2]],0),0)</f>
        <v>113943</v>
      </c>
      <c r="P94" s="133">
        <f>IFERROR(ROUND(VLOOKUP($A94,'2.3 Työll. ja jatko-opisk.'!$A:$Z,COLUMN('2.3 Työll. ja jatko-opisk.'!L:L),FALSE),1),0)</f>
        <v>88.7</v>
      </c>
      <c r="Q94" s="9">
        <f>IFERROR(Ohj.lask.[[#This Row],[Painotetut pisteet 3]]/Ohj.lask.[[#Totals],[Painotetut pisteet 3]],0)</f>
        <v>2.83807305398418E-4</v>
      </c>
      <c r="R94" s="10">
        <f>ROUND(IFERROR('1.1 Jakotaulu'!L$15*Ohj.lask.[[#This Row],[%-osuus 3]],0),0)</f>
        <v>42684</v>
      </c>
      <c r="S94" s="132">
        <f>IFERROR(ROUND(VLOOKUP($A94,'2.4 Aloittaneet palaute'!$A:$I,COLUMN('2.4 Aloittaneet palaute'!H:H),FALSE),1),0)</f>
        <v>904.2</v>
      </c>
      <c r="T94" s="13">
        <f>IFERROR(Ohj.lask.[[#This Row],[Painotetut pisteet 4]]/Ohj.lask.[[#Totals],[Painotetut pisteet 4]],0)</f>
        <v>5.4244565239888222E-4</v>
      </c>
      <c r="U94" s="16">
        <f>ROUND(IFERROR('1.1 Jakotaulu'!M$17*Ohj.lask.[[#This Row],[%-osuus 4]],0),0)</f>
        <v>4370</v>
      </c>
      <c r="V94" s="132">
        <f>IFERROR(ROUND(VLOOKUP($A94,'2.5 Päättäneet palaute'!$A:$Z,COLUMN('2.5 Päättäneet palaute'!X:X),FALSE),1),0)</f>
        <v>3786.5</v>
      </c>
      <c r="W94" s="13">
        <f>IFERROR(Ohj.lask.[[#This Row],[Painotetut pisteet 5]]/Ohj.lask.[[#Totals],[Painotetut pisteet 5]],0)</f>
        <v>3.7022980070353339E-4</v>
      </c>
      <c r="X94" s="16">
        <f>ROUND(IFERROR('1.1 Jakotaulu'!M$18*Ohj.lask.[[#This Row],[%-osuus 5]],0),0)</f>
        <v>8949</v>
      </c>
      <c r="Y94" s="132">
        <f>IFERROR(ROUND(VLOOKUP($A94,'2.6 Työpaikkaohjaajakysely'!B:J,COLUMN('2.6 Työpaikkaohjaajakysely'!H:H),FALSE),1),0)</f>
        <v>87073.2</v>
      </c>
      <c r="Z94" s="9">
        <f>IFERROR(Ohj.lask.[[#This Row],[Painotetut pisteet 6]]/Ohj.lask.[[#Totals],[Painotetut pisteet 6]],0)</f>
        <v>2.5654511092858078E-4</v>
      </c>
      <c r="AA94" s="16">
        <f>ROUND(IFERROR('1.1 Jakotaulu'!M$20*Ohj.lask.[[#This Row],[%-osuus 6]],0),0)</f>
        <v>6201</v>
      </c>
      <c r="AB94" s="132">
        <f>IFERROR(ROUND(VLOOKUP($A94,'2.7 Työpaikkakysely'!B:H,COLUMN('2.7 Työpaikkakysely'!F:F),FALSE),1),0)</f>
        <v>31627</v>
      </c>
      <c r="AC94" s="9">
        <f>IFERROR(Ohj.lask.[[#This Row],[Pisteet 7]]/Ohj.lask.[[#Totals],[Pisteet 7]],0)</f>
        <v>1.7139491479335408E-4</v>
      </c>
      <c r="AD94" s="16">
        <f>ROUND(IFERROR('1.1 Jakotaulu'!M$21*Ohj.lask.[[#This Row],[%-osuus 7]],0),0)</f>
        <v>1381</v>
      </c>
      <c r="AE94" s="12">
        <f>IFERROR(Ohj.lask.[[#This Row],[Jaettava € 8]]/Ohj.lask.[[#Totals],[Jaettava € 8]],"")</f>
        <v>2.7383449798649192E-4</v>
      </c>
      <c r="AF9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581530</v>
      </c>
      <c r="AG94" s="102">
        <v>0</v>
      </c>
      <c r="AH94" s="102">
        <v>0</v>
      </c>
      <c r="AI94" s="102">
        <v>0</v>
      </c>
      <c r="AJ94" s="102">
        <v>0</v>
      </c>
      <c r="AK94" s="102">
        <v>0</v>
      </c>
      <c r="AL94" s="107">
        <v>0</v>
      </c>
      <c r="AM94" s="107">
        <v>0</v>
      </c>
      <c r="AN9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94" s="10">
        <f>Ohj.lask.[[#This Row],[Jaettava € 1]]+Ohj.lask.[[#This Row],[Harkinnanvarainen korotus 8, €]]</f>
        <v>404002</v>
      </c>
      <c r="AP94" s="102">
        <f>Ohj.lask.[[#This Row],[Jaettava € 2]]</f>
        <v>113943</v>
      </c>
      <c r="AQ94" s="10">
        <f>Ohj.lask.[[#This Row],[Jaettava € 3]]+Ohj.lask.[[#This Row],[Jaettava € 4]]+Ohj.lask.[[#This Row],[Jaettava € 5]]+Ohj.lask.[[#This Row],[Jaettava € 6]]+Ohj.lask.[[#This Row],[Jaettava € 7]]</f>
        <v>63585</v>
      </c>
      <c r="AR94" s="33">
        <f>Ohj.lask.[[#This Row],[Jaettava € 8]]+Ohj.lask.[[#This Row],[Harkinnanvarainen korotus 8, €]]</f>
        <v>581530</v>
      </c>
      <c r="AS94" s="33">
        <v>44992</v>
      </c>
      <c r="AT94" s="16">
        <f>Ohj.lask.[[#This Row],[Perus-, suoritus- ja vaikuttavuusrahoitus yhteensä, €]]+Ohj.lask.[[#This Row],[Alv-korvaus, €]]</f>
        <v>626522</v>
      </c>
    </row>
    <row r="95" spans="1:46" ht="12.75" x14ac:dyDescent="0.2">
      <c r="A95" s="3" t="s">
        <v>230</v>
      </c>
      <c r="B95" s="7" t="s">
        <v>86</v>
      </c>
      <c r="C95" s="7" t="s">
        <v>180</v>
      </c>
      <c r="D95" s="7" t="s">
        <v>325</v>
      </c>
      <c r="E95" s="7" t="s">
        <v>373</v>
      </c>
      <c r="F95" s="105">
        <v>194</v>
      </c>
      <c r="G95" s="106">
        <f>Ohj.lask.[[#This Row],[Tavoitteelliset opiskelija-vuodet]]-Ohj.lask.[[#This Row],[Järjestämisluvan opisk.vuosien vähimmäismäärä]]</f>
        <v>100</v>
      </c>
      <c r="H95" s="32">
        <v>294</v>
      </c>
      <c r="I95" s="8">
        <f>IFERROR(VLOOKUP($A95,'2.1 Toteut. op.vuodet'!$A:$T,COLUMN('2.1 Toteut. op.vuodet'!S:S),FALSE),0)</f>
        <v>0.86742838479403483</v>
      </c>
      <c r="J95" s="74">
        <f t="shared" si="2"/>
        <v>255</v>
      </c>
      <c r="K95" s="9">
        <f>IFERROR(Ohj.lask.[[#This Row],[Painotetut opiskelija-vuodet]]/Ohj.lask.[[#Totals],[Painotetut opiskelija-vuodet]],0)</f>
        <v>1.1765368108377957E-3</v>
      </c>
      <c r="L95" s="10">
        <f>ROUND(IFERROR('1.1 Jakotaulu'!L$12*Ohj.lask.[[#This Row],[%-osuus 1]],0),0)</f>
        <v>1740211</v>
      </c>
      <c r="M95" s="132">
        <f>IFERROR(ROUND(VLOOKUP($A95,'2.2 Tutk. ja osien pain. pist.'!$A:$Q,COLUMN('2.2 Tutk. ja osien pain. pist.'!O:O),FALSE),1),0)</f>
        <v>29584</v>
      </c>
      <c r="N95" s="9">
        <f>IFERROR(Ohj.lask.[[#This Row],[Painotetut pisteet 2]]/Ohj.lask.[[#Totals],[Painotetut pisteet 2]],0)</f>
        <v>1.931223607323333E-3</v>
      </c>
      <c r="O95" s="16">
        <f>ROUND(IFERROR('1.1 Jakotaulu'!K$13*Ohj.lask.[[#This Row],[%-osuus 2]],0),0)</f>
        <v>829858</v>
      </c>
      <c r="P95" s="133">
        <f>IFERROR(ROUND(VLOOKUP($A95,'2.3 Työll. ja jatko-opisk.'!$A:$Z,COLUMN('2.3 Työll. ja jatko-opisk.'!L:L),FALSE),1),0)</f>
        <v>514.4</v>
      </c>
      <c r="Q95" s="9">
        <f>IFERROR(Ohj.lask.[[#This Row],[Painotetut pisteet 3]]/Ohj.lask.[[#Totals],[Painotetut pisteet 3]],0)</f>
        <v>1.6458903934266766E-3</v>
      </c>
      <c r="R95" s="10">
        <f>ROUND(IFERROR('1.1 Jakotaulu'!L$15*Ohj.lask.[[#This Row],[%-osuus 3]],0),0)</f>
        <v>247537</v>
      </c>
      <c r="S95" s="132">
        <f>IFERROR(ROUND(VLOOKUP($A95,'2.4 Aloittaneet palaute'!$A:$I,COLUMN('2.4 Aloittaneet palaute'!H:H),FALSE),1),0)</f>
        <v>5122.5</v>
      </c>
      <c r="T95" s="13">
        <f>IFERROR(Ohj.lask.[[#This Row],[Painotetut pisteet 4]]/Ohj.lask.[[#Totals],[Painotetut pisteet 4]],0)</f>
        <v>3.0730788038191483E-3</v>
      </c>
      <c r="U95" s="16">
        <f>ROUND(IFERROR('1.1 Jakotaulu'!M$17*Ohj.lask.[[#This Row],[%-osuus 4]],0),0)</f>
        <v>24760</v>
      </c>
      <c r="V95" s="132">
        <f>IFERROR(ROUND(VLOOKUP($A95,'2.5 Päättäneet palaute'!$A:$Z,COLUMN('2.5 Päättäneet palaute'!X:X),FALSE),1),0)</f>
        <v>34097.300000000003</v>
      </c>
      <c r="W95" s="13">
        <f>IFERROR(Ohj.lask.[[#This Row],[Painotetut pisteet 5]]/Ohj.lask.[[#Totals],[Painotetut pisteet 5]],0)</f>
        <v>3.3339063999811409E-3</v>
      </c>
      <c r="X95" s="16">
        <f>ROUND(IFERROR('1.1 Jakotaulu'!M$18*Ohj.lask.[[#This Row],[%-osuus 5]],0),0)</f>
        <v>80584</v>
      </c>
      <c r="Y95" s="132">
        <f>IFERROR(ROUND(VLOOKUP($A95,'2.6 Työpaikkaohjaajakysely'!B:J,COLUMN('2.6 Työpaikkaohjaajakysely'!H:H),FALSE),1),0)</f>
        <v>476464.8</v>
      </c>
      <c r="Z95" s="9">
        <f>IFERROR(Ohj.lask.[[#This Row],[Painotetut pisteet 6]]/Ohj.lask.[[#Totals],[Painotetut pisteet 6]],0)</f>
        <v>1.4038155824015203E-3</v>
      </c>
      <c r="AA95" s="16">
        <f>ROUND(IFERROR('1.1 Jakotaulu'!M$20*Ohj.lask.[[#This Row],[%-osuus 6]],0),0)</f>
        <v>33932</v>
      </c>
      <c r="AB95" s="132">
        <f>IFERROR(ROUND(VLOOKUP($A95,'2.7 Työpaikkakysely'!B:H,COLUMN('2.7 Työpaikkakysely'!F:F),FALSE),1),0)</f>
        <v>319584</v>
      </c>
      <c r="AC95" s="9">
        <f>IFERROR(Ohj.lask.[[#This Row],[Pisteet 7]]/Ohj.lask.[[#Totals],[Pisteet 7]],0)</f>
        <v>1.7319085733493304E-3</v>
      </c>
      <c r="AD95" s="16">
        <f>ROUND(IFERROR('1.1 Jakotaulu'!M$21*Ohj.lask.[[#This Row],[%-osuus 7]],0),0)</f>
        <v>13954</v>
      </c>
      <c r="AE95" s="12">
        <f>IFERROR(Ohj.lask.[[#This Row],[Jaettava € 8]]/Ohj.lask.[[#Totals],[Jaettava € 8]],"")</f>
        <v>1.3989259103746974E-3</v>
      </c>
      <c r="AF9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2970836</v>
      </c>
      <c r="AG95" s="102">
        <v>0</v>
      </c>
      <c r="AH95" s="102">
        <v>0</v>
      </c>
      <c r="AI95" s="102">
        <v>0</v>
      </c>
      <c r="AJ95" s="102">
        <v>0</v>
      </c>
      <c r="AK95" s="102">
        <v>7000</v>
      </c>
      <c r="AL95" s="107">
        <v>0</v>
      </c>
      <c r="AM95" s="107">
        <v>0</v>
      </c>
      <c r="AN9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7000</v>
      </c>
      <c r="AO95" s="10">
        <f>Ohj.lask.[[#This Row],[Jaettava € 1]]+Ohj.lask.[[#This Row],[Harkinnanvarainen korotus 8, €]]</f>
        <v>1747211</v>
      </c>
      <c r="AP95" s="102">
        <f>Ohj.lask.[[#This Row],[Jaettava € 2]]</f>
        <v>829858</v>
      </c>
      <c r="AQ95" s="10">
        <f>Ohj.lask.[[#This Row],[Jaettava € 3]]+Ohj.lask.[[#This Row],[Jaettava € 4]]+Ohj.lask.[[#This Row],[Jaettava € 5]]+Ohj.lask.[[#This Row],[Jaettava € 6]]+Ohj.lask.[[#This Row],[Jaettava € 7]]</f>
        <v>400767</v>
      </c>
      <c r="AR95" s="33">
        <f>Ohj.lask.[[#This Row],[Jaettava € 8]]+Ohj.lask.[[#This Row],[Harkinnanvarainen korotus 8, €]]</f>
        <v>2977836</v>
      </c>
      <c r="AS95" s="33">
        <v>137519</v>
      </c>
      <c r="AT95" s="16">
        <f>Ohj.lask.[[#This Row],[Perus-, suoritus- ja vaikuttavuusrahoitus yhteensä, €]]+Ohj.lask.[[#This Row],[Alv-korvaus, €]]</f>
        <v>3115355</v>
      </c>
    </row>
    <row r="96" spans="1:46" ht="12.75" x14ac:dyDescent="0.2">
      <c r="A96" s="3" t="s">
        <v>234</v>
      </c>
      <c r="B96" s="7" t="s">
        <v>87</v>
      </c>
      <c r="C96" s="7" t="s">
        <v>173</v>
      </c>
      <c r="D96" s="7" t="s">
        <v>325</v>
      </c>
      <c r="E96" s="7" t="s">
        <v>373</v>
      </c>
      <c r="F96" s="105">
        <v>105</v>
      </c>
      <c r="G96" s="106">
        <f>Ohj.lask.[[#This Row],[Tavoitteelliset opiskelija-vuodet]]-Ohj.lask.[[#This Row],[Järjestämisluvan opisk.vuosien vähimmäismäärä]]</f>
        <v>21</v>
      </c>
      <c r="H96" s="32">
        <v>126</v>
      </c>
      <c r="I96" s="8">
        <f>IFERROR(VLOOKUP($A96,'2.1 Toteut. op.vuodet'!$A:$T,COLUMN('2.1 Toteut. op.vuodet'!S:S),FALSE),0)</f>
        <v>1.3188356649563937</v>
      </c>
      <c r="J96" s="74">
        <f t="shared" si="2"/>
        <v>166.2</v>
      </c>
      <c r="K96" s="9">
        <f>IFERROR(Ohj.lask.[[#This Row],[Painotetut opiskelija-vuodet]]/Ohj.lask.[[#Totals],[Painotetut opiskelija-vuodet]],0)</f>
        <v>7.6682516847545728E-4</v>
      </c>
      <c r="L96" s="10">
        <f>ROUND(IFERROR('1.1 Jakotaulu'!L$12*Ohj.lask.[[#This Row],[%-osuus 1]],0),0)</f>
        <v>1134208</v>
      </c>
      <c r="M96" s="132">
        <f>IFERROR(ROUND(VLOOKUP($A96,'2.2 Tutk. ja osien pain. pist.'!$A:$Q,COLUMN('2.2 Tutk. ja osien pain. pist.'!O:O),FALSE),1),0)</f>
        <v>18591.2</v>
      </c>
      <c r="N96" s="9">
        <f>IFERROR(Ohj.lask.[[#This Row],[Painotetut pisteet 2]]/Ohj.lask.[[#Totals],[Painotetut pisteet 2]],0)</f>
        <v>1.2136210224604363E-3</v>
      </c>
      <c r="O96" s="16">
        <f>ROUND(IFERROR('1.1 Jakotaulu'!K$13*Ohj.lask.[[#This Row],[%-osuus 2]],0),0)</f>
        <v>521500</v>
      </c>
      <c r="P96" s="133">
        <f>IFERROR(ROUND(VLOOKUP($A96,'2.3 Työll. ja jatko-opisk.'!$A:$Z,COLUMN('2.3 Työll. ja jatko-opisk.'!L:L),FALSE),1),0)</f>
        <v>319.3</v>
      </c>
      <c r="Q96" s="9">
        <f>IFERROR(Ohj.lask.[[#This Row],[Painotetut pisteet 3]]/Ohj.lask.[[#Totals],[Painotetut pisteet 3]],0)</f>
        <v>1.0216423068062557E-3</v>
      </c>
      <c r="R96" s="10">
        <f>ROUND(IFERROR('1.1 Jakotaulu'!L$15*Ohj.lask.[[#This Row],[%-osuus 3]],0),0)</f>
        <v>153652</v>
      </c>
      <c r="S96" s="132">
        <f>IFERROR(ROUND(VLOOKUP($A96,'2.4 Aloittaneet palaute'!$A:$I,COLUMN('2.4 Aloittaneet palaute'!H:H),FALSE),1),0)</f>
        <v>1297.7</v>
      </c>
      <c r="T96" s="13">
        <f>IFERROR(Ohj.lask.[[#This Row],[Painotetut pisteet 4]]/Ohj.lask.[[#Totals],[Painotetut pisteet 4]],0)</f>
        <v>7.7851329696751763E-4</v>
      </c>
      <c r="U96" s="16">
        <f>ROUND(IFERROR('1.1 Jakotaulu'!M$17*Ohj.lask.[[#This Row],[%-osuus 4]],0),0)</f>
        <v>6272</v>
      </c>
      <c r="V96" s="132">
        <f>IFERROR(ROUND(VLOOKUP($A96,'2.5 Päättäneet palaute'!$A:$Z,COLUMN('2.5 Päättäneet palaute'!X:X),FALSE),1),0)</f>
        <v>8169.2</v>
      </c>
      <c r="W96" s="13">
        <f>IFERROR(Ohj.lask.[[#This Row],[Painotetut pisteet 5]]/Ohj.lask.[[#Totals],[Painotetut pisteet 5]],0)</f>
        <v>7.9875380639305555E-4</v>
      </c>
      <c r="X96" s="16">
        <f>ROUND(IFERROR('1.1 Jakotaulu'!M$18*Ohj.lask.[[#This Row],[%-osuus 5]],0),0)</f>
        <v>19307</v>
      </c>
      <c r="Y96" s="132">
        <f>IFERROR(ROUND(VLOOKUP($A96,'2.6 Työpaikkaohjaajakysely'!B:J,COLUMN('2.6 Työpaikkaohjaajakysely'!H:H),FALSE),1),0)</f>
        <v>460296.3</v>
      </c>
      <c r="Z96" s="9">
        <f>IFERROR(Ohj.lask.[[#This Row],[Painotetut pisteet 6]]/Ohj.lask.[[#Totals],[Painotetut pisteet 6]],0)</f>
        <v>1.3561780817004003E-3</v>
      </c>
      <c r="AA96" s="16">
        <f>ROUND(IFERROR('1.1 Jakotaulu'!M$20*Ohj.lask.[[#This Row],[%-osuus 6]],0),0)</f>
        <v>32780</v>
      </c>
      <c r="AB96" s="132">
        <f>IFERROR(ROUND(VLOOKUP($A96,'2.7 Työpaikkakysely'!B:H,COLUMN('2.7 Työpaikkakysely'!F:F),FALSE),1),0)</f>
        <v>483082</v>
      </c>
      <c r="AC96" s="9">
        <f>IFERROR(Ohj.lask.[[#This Row],[Pisteet 7]]/Ohj.lask.[[#Totals],[Pisteet 7]],0)</f>
        <v>2.6179466350966922E-3</v>
      </c>
      <c r="AD96" s="16">
        <f>ROUND(IFERROR('1.1 Jakotaulu'!M$21*Ohj.lask.[[#This Row],[%-osuus 7]],0),0)</f>
        <v>21093</v>
      </c>
      <c r="AE96" s="12">
        <f>IFERROR(Ohj.lask.[[#This Row],[Jaettava € 8]]/Ohj.lask.[[#Totals],[Jaettava € 8]],"")</f>
        <v>8.8941565492900074E-4</v>
      </c>
      <c r="AF9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1888812</v>
      </c>
      <c r="AG96" s="102">
        <v>0</v>
      </c>
      <c r="AH96" s="102">
        <v>0</v>
      </c>
      <c r="AI96" s="102">
        <v>0</v>
      </c>
      <c r="AJ96" s="102">
        <v>0</v>
      </c>
      <c r="AK96" s="102">
        <v>0</v>
      </c>
      <c r="AL96" s="107">
        <v>0</v>
      </c>
      <c r="AM96" s="107">
        <v>0</v>
      </c>
      <c r="AN9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96" s="10">
        <f>Ohj.lask.[[#This Row],[Jaettava € 1]]+Ohj.lask.[[#This Row],[Harkinnanvarainen korotus 8, €]]</f>
        <v>1134208</v>
      </c>
      <c r="AP96" s="102">
        <f>Ohj.lask.[[#This Row],[Jaettava € 2]]</f>
        <v>521500</v>
      </c>
      <c r="AQ96" s="10">
        <f>Ohj.lask.[[#This Row],[Jaettava € 3]]+Ohj.lask.[[#This Row],[Jaettava € 4]]+Ohj.lask.[[#This Row],[Jaettava € 5]]+Ohj.lask.[[#This Row],[Jaettava € 6]]+Ohj.lask.[[#This Row],[Jaettava € 7]]</f>
        <v>233104</v>
      </c>
      <c r="AR96" s="33">
        <f>Ohj.lask.[[#This Row],[Jaettava € 8]]+Ohj.lask.[[#This Row],[Harkinnanvarainen korotus 8, €]]</f>
        <v>1888812</v>
      </c>
      <c r="AS96" s="33">
        <v>131140</v>
      </c>
      <c r="AT96" s="16">
        <f>Ohj.lask.[[#This Row],[Perus-, suoritus- ja vaikuttavuusrahoitus yhteensä, €]]+Ohj.lask.[[#This Row],[Alv-korvaus, €]]</f>
        <v>2019952</v>
      </c>
    </row>
    <row r="97" spans="1:46" ht="12.75" x14ac:dyDescent="0.2">
      <c r="A97" s="3" t="s">
        <v>233</v>
      </c>
      <c r="B97" s="7" t="s">
        <v>88</v>
      </c>
      <c r="C97" s="7" t="s">
        <v>177</v>
      </c>
      <c r="D97" s="7" t="s">
        <v>325</v>
      </c>
      <c r="E97" s="7" t="s">
        <v>373</v>
      </c>
      <c r="F97" s="105">
        <v>68</v>
      </c>
      <c r="G97" s="106">
        <f>Ohj.lask.[[#This Row],[Tavoitteelliset opiskelija-vuodet]]-Ohj.lask.[[#This Row],[Järjestämisluvan opisk.vuosien vähimmäismäärä]]</f>
        <v>0</v>
      </c>
      <c r="H97" s="32">
        <v>68</v>
      </c>
      <c r="I97" s="8">
        <f>IFERROR(VLOOKUP($A97,'2.1 Toteut. op.vuodet'!$A:$T,COLUMN('2.1 Toteut. op.vuodet'!S:S),FALSE),0)</f>
        <v>1.1665045894319042</v>
      </c>
      <c r="J97" s="74">
        <f t="shared" si="2"/>
        <v>79.3</v>
      </c>
      <c r="K97" s="9">
        <f>IFERROR(Ohj.lask.[[#This Row],[Painotetut opiskelija-vuodet]]/Ohj.lask.[[#Totals],[Painotetut opiskelija-vuodet]],0)</f>
        <v>3.658798788213223E-4</v>
      </c>
      <c r="L97" s="10">
        <f>ROUND(IFERROR('1.1 Jakotaulu'!L$12*Ohj.lask.[[#This Row],[%-osuus 1]],0),0)</f>
        <v>541171</v>
      </c>
      <c r="M97" s="132">
        <f>IFERROR(ROUND(VLOOKUP($A97,'2.2 Tutk. ja osien pain. pist.'!$A:$Q,COLUMN('2.2 Tutk. ja osien pain. pist.'!O:O),FALSE),1),0)</f>
        <v>4339.6000000000004</v>
      </c>
      <c r="N97" s="9">
        <f>IFERROR(Ohj.lask.[[#This Row],[Painotetut pisteet 2]]/Ohj.lask.[[#Totals],[Painotetut pisteet 2]],0)</f>
        <v>2.8328616706126071E-4</v>
      </c>
      <c r="O97" s="16">
        <f>ROUND(IFERROR('1.1 Jakotaulu'!K$13*Ohj.lask.[[#This Row],[%-osuus 2]],0),0)</f>
        <v>121730</v>
      </c>
      <c r="P97" s="133">
        <f>IFERROR(ROUND(VLOOKUP($A97,'2.3 Työll. ja jatko-opisk.'!$A:$Z,COLUMN('2.3 Työll. ja jatko-opisk.'!L:L),FALSE),1),0)</f>
        <v>163.6</v>
      </c>
      <c r="Q97" s="9">
        <f>IFERROR(Ohj.lask.[[#This Row],[Painotetut pisteet 3]]/Ohj.lask.[[#Totals],[Painotetut pisteet 3]],0)</f>
        <v>5.2345969744285433E-4</v>
      </c>
      <c r="R97" s="10">
        <f>ROUND(IFERROR('1.1 Jakotaulu'!L$15*Ohj.lask.[[#This Row],[%-osuus 3]],0),0)</f>
        <v>78727</v>
      </c>
      <c r="S97" s="132">
        <f>IFERROR(ROUND(VLOOKUP($A97,'2.4 Aloittaneet palaute'!$A:$I,COLUMN('2.4 Aloittaneet palaute'!H:H),FALSE),1),0)</f>
        <v>523.6</v>
      </c>
      <c r="T97" s="13">
        <f>IFERROR(Ohj.lask.[[#This Row],[Painotetut pisteet 4]]/Ohj.lask.[[#Totals],[Painotetut pisteet 4]],0)</f>
        <v>3.1411694713122618E-4</v>
      </c>
      <c r="U97" s="16">
        <f>ROUND(IFERROR('1.1 Jakotaulu'!M$17*Ohj.lask.[[#This Row],[%-osuus 4]],0),0)</f>
        <v>2531</v>
      </c>
      <c r="V97" s="132">
        <f>IFERROR(ROUND(VLOOKUP($A97,'2.5 Päättäneet palaute'!$A:$Z,COLUMN('2.5 Päättäneet palaute'!X:X),FALSE),1),0)</f>
        <v>1064.3</v>
      </c>
      <c r="W97" s="13">
        <f>IFERROR(Ohj.lask.[[#This Row],[Painotetut pisteet 5]]/Ohj.lask.[[#Totals],[Painotetut pisteet 5]],0)</f>
        <v>1.0406327132939933E-4</v>
      </c>
      <c r="X97" s="16">
        <f>ROUND(IFERROR('1.1 Jakotaulu'!M$18*Ohj.lask.[[#This Row],[%-osuus 5]],0),0)</f>
        <v>2515</v>
      </c>
      <c r="Y97" s="132">
        <f>IFERROR(ROUND(VLOOKUP($A97,'2.6 Työpaikkaohjaajakysely'!B:J,COLUMN('2.6 Työpaikkaohjaajakysely'!H:H),FALSE),1),0)</f>
        <v>75961.5</v>
      </c>
      <c r="Z97" s="9">
        <f>IFERROR(Ohj.lask.[[#This Row],[Painotetut pisteet 6]]/Ohj.lask.[[#Totals],[Painotetut pisteet 6]],0)</f>
        <v>2.2380653799103961E-4</v>
      </c>
      <c r="AA97" s="16">
        <f>ROUND(IFERROR('1.1 Jakotaulu'!M$20*Ohj.lask.[[#This Row],[%-osuus 6]],0),0)</f>
        <v>5410</v>
      </c>
      <c r="AB97" s="132">
        <f>IFERROR(ROUND(VLOOKUP($A97,'2.7 Työpaikkakysely'!B:H,COLUMN('2.7 Työpaikkakysely'!F:F),FALSE),1),0)</f>
        <v>47460</v>
      </c>
      <c r="AC97" s="9">
        <f>IFERROR(Ohj.lask.[[#This Row],[Pisteet 7]]/Ohj.lask.[[#Totals],[Pisteet 7]],0)</f>
        <v>2.5719804774694359E-4</v>
      </c>
      <c r="AD97" s="16">
        <f>ROUND(IFERROR('1.1 Jakotaulu'!M$21*Ohj.lask.[[#This Row],[%-osuus 7]],0),0)</f>
        <v>2072</v>
      </c>
      <c r="AE97" s="12">
        <f>IFERROR(Ohj.lask.[[#This Row],[Jaettava € 8]]/Ohj.lask.[[#Totals],[Jaettava € 8]],"")</f>
        <v>3.5512171283252935E-4</v>
      </c>
      <c r="AF9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754156</v>
      </c>
      <c r="AG97" s="102">
        <v>0</v>
      </c>
      <c r="AH97" s="102">
        <v>0</v>
      </c>
      <c r="AI97" s="102">
        <v>0</v>
      </c>
      <c r="AJ97" s="102">
        <v>0</v>
      </c>
      <c r="AK97" s="102">
        <v>0</v>
      </c>
      <c r="AL97" s="107">
        <v>0</v>
      </c>
      <c r="AM97" s="107">
        <v>0</v>
      </c>
      <c r="AN9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97" s="10">
        <f>Ohj.lask.[[#This Row],[Jaettava € 1]]+Ohj.lask.[[#This Row],[Harkinnanvarainen korotus 8, €]]</f>
        <v>541171</v>
      </c>
      <c r="AP97" s="102">
        <f>Ohj.lask.[[#This Row],[Jaettava € 2]]</f>
        <v>121730</v>
      </c>
      <c r="AQ97" s="10">
        <f>Ohj.lask.[[#This Row],[Jaettava € 3]]+Ohj.lask.[[#This Row],[Jaettava € 4]]+Ohj.lask.[[#This Row],[Jaettava € 5]]+Ohj.lask.[[#This Row],[Jaettava € 6]]+Ohj.lask.[[#This Row],[Jaettava € 7]]</f>
        <v>91255</v>
      </c>
      <c r="AR97" s="33">
        <f>Ohj.lask.[[#This Row],[Jaettava € 8]]+Ohj.lask.[[#This Row],[Harkinnanvarainen korotus 8, €]]</f>
        <v>754156</v>
      </c>
      <c r="AS97" s="33">
        <v>27219</v>
      </c>
      <c r="AT97" s="16">
        <f>Ohj.lask.[[#This Row],[Perus-, suoritus- ja vaikuttavuusrahoitus yhteensä, €]]+Ohj.lask.[[#This Row],[Alv-korvaus, €]]</f>
        <v>781375</v>
      </c>
    </row>
    <row r="98" spans="1:46" ht="12.75" x14ac:dyDescent="0.2">
      <c r="A98" s="3" t="s">
        <v>228</v>
      </c>
      <c r="B98" s="7" t="s">
        <v>89</v>
      </c>
      <c r="C98" s="7" t="s">
        <v>180</v>
      </c>
      <c r="D98" s="7" t="s">
        <v>325</v>
      </c>
      <c r="E98" s="7" t="s">
        <v>373</v>
      </c>
      <c r="F98" s="105">
        <v>179</v>
      </c>
      <c r="G98" s="106">
        <f>Ohj.lask.[[#This Row],[Tavoitteelliset opiskelija-vuodet]]-Ohj.lask.[[#This Row],[Järjestämisluvan opisk.vuosien vähimmäismäärä]]</f>
        <v>11</v>
      </c>
      <c r="H98" s="32">
        <v>190</v>
      </c>
      <c r="I98" s="8">
        <f>IFERROR(VLOOKUP($A98,'2.1 Toteut. op.vuodet'!$A:$T,COLUMN('2.1 Toteut. op.vuodet'!S:S),FALSE),0)</f>
        <v>0.85912097013128907</v>
      </c>
      <c r="J98" s="74">
        <f t="shared" si="2"/>
        <v>163.19999999999999</v>
      </c>
      <c r="K98" s="9">
        <f>IFERROR(Ohj.lask.[[#This Row],[Painotetut opiskelija-vuodet]]/Ohj.lask.[[#Totals],[Painotetut opiskelija-vuodet]],0)</f>
        <v>7.5298355893618915E-4</v>
      </c>
      <c r="L98" s="10">
        <f>ROUND(IFERROR('1.1 Jakotaulu'!L$12*Ohj.lask.[[#This Row],[%-osuus 1]],0),0)</f>
        <v>1113735</v>
      </c>
      <c r="M98" s="132">
        <f>IFERROR(ROUND(VLOOKUP($A98,'2.2 Tutk. ja osien pain. pist.'!$A:$Q,COLUMN('2.2 Tutk. ja osien pain. pist.'!O:O),FALSE),1),0)</f>
        <v>12296.2</v>
      </c>
      <c r="N98" s="9">
        <f>IFERROR(Ohj.lask.[[#This Row],[Painotetut pisteet 2]]/Ohj.lask.[[#Totals],[Painotetut pisteet 2]],0)</f>
        <v>8.0268765955817908E-4</v>
      </c>
      <c r="O98" s="16">
        <f>ROUND(IFERROR('1.1 Jakotaulu'!K$13*Ohj.lask.[[#This Row],[%-osuus 2]],0),0)</f>
        <v>344920</v>
      </c>
      <c r="P98" s="133">
        <f>IFERROR(ROUND(VLOOKUP($A98,'2.3 Työll. ja jatko-opisk.'!$A:$Z,COLUMN('2.3 Työll. ja jatko-opisk.'!L:L),FALSE),1),0)</f>
        <v>325.3</v>
      </c>
      <c r="Q98" s="9">
        <f>IFERROR(Ohj.lask.[[#This Row],[Painotetut pisteet 3]]/Ohj.lask.[[#Totals],[Painotetut pisteet 3]],0)</f>
        <v>1.0408400952210302E-3</v>
      </c>
      <c r="R98" s="10">
        <f>ROUND(IFERROR('1.1 Jakotaulu'!L$15*Ohj.lask.[[#This Row],[%-osuus 3]],0),0)</f>
        <v>156539</v>
      </c>
      <c r="S98" s="132">
        <f>IFERROR(ROUND(VLOOKUP($A98,'2.4 Aloittaneet palaute'!$A:$I,COLUMN('2.4 Aloittaneet palaute'!H:H),FALSE),1),0)</f>
        <v>2331.1999999999998</v>
      </c>
      <c r="T98" s="13">
        <f>IFERROR(Ohj.lask.[[#This Row],[Painotetut pisteet 4]]/Ohj.lask.[[#Totals],[Painotetut pisteet 4]],0)</f>
        <v>1.3985283177087747E-3</v>
      </c>
      <c r="U98" s="16">
        <f>ROUND(IFERROR('1.1 Jakotaulu'!M$17*Ohj.lask.[[#This Row],[%-osuus 4]],0),0)</f>
        <v>11268</v>
      </c>
      <c r="V98" s="132">
        <f>IFERROR(ROUND(VLOOKUP($A98,'2.5 Päättäneet palaute'!$A:$Z,COLUMN('2.5 Päättäneet palaute'!X:X),FALSE),1),0)</f>
        <v>17700.3</v>
      </c>
      <c r="W98" s="13">
        <f>IFERROR(Ohj.lask.[[#This Row],[Painotetut pisteet 5]]/Ohj.lask.[[#Totals],[Painotetut pisteet 5]],0)</f>
        <v>1.7306690984795329E-3</v>
      </c>
      <c r="X98" s="16">
        <f>ROUND(IFERROR('1.1 Jakotaulu'!M$18*Ohj.lask.[[#This Row],[%-osuus 5]],0),0)</f>
        <v>41832</v>
      </c>
      <c r="Y98" s="132">
        <f>IFERROR(ROUND(VLOOKUP($A98,'2.6 Työpaikkaohjaajakysely'!B:J,COLUMN('2.6 Työpaikkaohjaajakysely'!H:H),FALSE),1),0)</f>
        <v>819245.2</v>
      </c>
      <c r="Z98" s="9">
        <f>IFERROR(Ohj.lask.[[#This Row],[Painotetut pisteet 6]]/Ohj.lask.[[#Totals],[Painotetut pisteet 6]],0)</f>
        <v>2.4137547570516225E-3</v>
      </c>
      <c r="AA98" s="16">
        <f>ROUND(IFERROR('1.1 Jakotaulu'!M$20*Ohj.lask.[[#This Row],[%-osuus 6]],0),0)</f>
        <v>58343</v>
      </c>
      <c r="AB98" s="132">
        <f>IFERROR(ROUND(VLOOKUP($A98,'2.7 Työpaikkakysely'!B:H,COLUMN('2.7 Työpaikkakysely'!F:F),FALSE),1),0)</f>
        <v>508033.5</v>
      </c>
      <c r="AC98" s="9">
        <f>IFERROR(Ohj.lask.[[#This Row],[Pisteet 7]]/Ohj.lask.[[#Totals],[Pisteet 7]],0)</f>
        <v>2.7531652842403471E-3</v>
      </c>
      <c r="AD98" s="16">
        <f>ROUND(IFERROR('1.1 Jakotaulu'!M$21*Ohj.lask.[[#This Row],[%-osuus 7]],0),0)</f>
        <v>22182</v>
      </c>
      <c r="AE98" s="12">
        <f>IFERROR(Ohj.lask.[[#This Row],[Jaettava € 8]]/Ohj.lask.[[#Totals],[Jaettava € 8]],"")</f>
        <v>8.2349487203452751E-4</v>
      </c>
      <c r="AF9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1748819</v>
      </c>
      <c r="AG98" s="102">
        <v>0</v>
      </c>
      <c r="AH98" s="102">
        <v>0</v>
      </c>
      <c r="AI98" s="102">
        <v>0</v>
      </c>
      <c r="AJ98" s="102">
        <v>0</v>
      </c>
      <c r="AK98" s="102">
        <v>6000</v>
      </c>
      <c r="AL98" s="107">
        <v>0</v>
      </c>
      <c r="AM98" s="107">
        <v>3297</v>
      </c>
      <c r="AN9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9297</v>
      </c>
      <c r="AO98" s="10">
        <f>Ohj.lask.[[#This Row],[Jaettava € 1]]+Ohj.lask.[[#This Row],[Harkinnanvarainen korotus 8, €]]</f>
        <v>1123032</v>
      </c>
      <c r="AP98" s="102">
        <f>Ohj.lask.[[#This Row],[Jaettava € 2]]</f>
        <v>344920</v>
      </c>
      <c r="AQ98" s="10">
        <f>Ohj.lask.[[#This Row],[Jaettava € 3]]+Ohj.lask.[[#This Row],[Jaettava € 4]]+Ohj.lask.[[#This Row],[Jaettava € 5]]+Ohj.lask.[[#This Row],[Jaettava € 6]]+Ohj.lask.[[#This Row],[Jaettava € 7]]</f>
        <v>290164</v>
      </c>
      <c r="AR98" s="33">
        <f>Ohj.lask.[[#This Row],[Jaettava € 8]]+Ohj.lask.[[#This Row],[Harkinnanvarainen korotus 8, €]]</f>
        <v>1758116</v>
      </c>
      <c r="AS98" s="33">
        <v>109060</v>
      </c>
      <c r="AT98" s="16">
        <f>Ohj.lask.[[#This Row],[Perus-, suoritus- ja vaikuttavuusrahoitus yhteensä, €]]+Ohj.lask.[[#This Row],[Alv-korvaus, €]]</f>
        <v>1867176</v>
      </c>
    </row>
    <row r="99" spans="1:46" ht="12.75" x14ac:dyDescent="0.2">
      <c r="A99" s="3" t="s">
        <v>227</v>
      </c>
      <c r="B99" s="7" t="s">
        <v>90</v>
      </c>
      <c r="C99" s="7" t="s">
        <v>186</v>
      </c>
      <c r="D99" s="7" t="s">
        <v>324</v>
      </c>
      <c r="E99" s="7" t="s">
        <v>373</v>
      </c>
      <c r="F99" s="105">
        <v>1630</v>
      </c>
      <c r="G99" s="106">
        <f>Ohj.lask.[[#This Row],[Tavoitteelliset opiskelija-vuodet]]-Ohj.lask.[[#This Row],[Järjestämisluvan opisk.vuosien vähimmäismäärä]]</f>
        <v>103</v>
      </c>
      <c r="H99" s="32">
        <v>1733</v>
      </c>
      <c r="I99" s="8">
        <f>IFERROR(VLOOKUP($A99,'2.1 Toteut. op.vuodet'!$A:$T,COLUMN('2.1 Toteut. op.vuodet'!S:S),FALSE),0)</f>
        <v>1.0245813504346193</v>
      </c>
      <c r="J99" s="74">
        <f t="shared" si="2"/>
        <v>1775.6</v>
      </c>
      <c r="K99" s="9">
        <f>IFERROR(Ohj.lask.[[#This Row],[Painotetut opiskelija-vuodet]]/Ohj.lask.[[#Totals],[Painotetut opiskelija-vuodet]],0)</f>
        <v>8.1923872993081952E-3</v>
      </c>
      <c r="L99" s="10">
        <f>ROUND(IFERROR('1.1 Jakotaulu'!L$12*Ohj.lask.[[#This Row],[%-osuus 1]],0),0)</f>
        <v>12117327</v>
      </c>
      <c r="M99" s="132">
        <f>IFERROR(ROUND(VLOOKUP($A99,'2.2 Tutk. ja osien pain. pist.'!$A:$Q,COLUMN('2.2 Tutk. ja osien pain. pist.'!O:O),FALSE),1),0)</f>
        <v>148692.5</v>
      </c>
      <c r="N99" s="9">
        <f>IFERROR(Ohj.lask.[[#This Row],[Painotetut pisteet 2]]/Ohj.lask.[[#Totals],[Painotetut pisteet 2]],0)</f>
        <v>9.7065463166551066E-3</v>
      </c>
      <c r="O99" s="16">
        <f>ROUND(IFERROR('1.1 Jakotaulu'!K$13*Ohj.lask.[[#This Row],[%-osuus 2]],0),0)</f>
        <v>4170961</v>
      </c>
      <c r="P99" s="133">
        <f>IFERROR(ROUND(VLOOKUP($A99,'2.3 Työll. ja jatko-opisk.'!$A:$Z,COLUMN('2.3 Työll. ja jatko-opisk.'!L:L),FALSE),1),0)</f>
        <v>3614.3</v>
      </c>
      <c r="Q99" s="9">
        <f>IFERROR(Ohj.lask.[[#This Row],[Painotetut pisteet 3]]/Ohj.lask.[[#Totals],[Painotetut pisteet 3]],0)</f>
        <v>1.1564427777919981E-2</v>
      </c>
      <c r="R99" s="10">
        <f>ROUND(IFERROR('1.1 Jakotaulu'!L$15*Ohj.lask.[[#This Row],[%-osuus 3]],0),0)</f>
        <v>1739256</v>
      </c>
      <c r="S99" s="132">
        <f>IFERROR(ROUND(VLOOKUP($A99,'2.4 Aloittaneet palaute'!$A:$I,COLUMN('2.4 Aloittaneet palaute'!H:H),FALSE),1),0)</f>
        <v>21435.8</v>
      </c>
      <c r="T99" s="13">
        <f>IFERROR(Ohj.lask.[[#This Row],[Painotetut pisteet 4]]/Ohj.lask.[[#Totals],[Painotetut pisteet 4]],0)</f>
        <v>1.2859717447126696E-2</v>
      </c>
      <c r="U99" s="16">
        <f>ROUND(IFERROR('1.1 Jakotaulu'!M$17*Ohj.lask.[[#This Row],[%-osuus 4]],0),0)</f>
        <v>103611</v>
      </c>
      <c r="V99" s="132">
        <f>IFERROR(ROUND(VLOOKUP($A99,'2.5 Päättäneet palaute'!$A:$Z,COLUMN('2.5 Päättäneet palaute'!X:X),FALSE),1),0)</f>
        <v>121736.4</v>
      </c>
      <c r="W99" s="13">
        <f>IFERROR(Ohj.lask.[[#This Row],[Painotetut pisteet 5]]/Ohj.lask.[[#Totals],[Painotetut pisteet 5]],0)</f>
        <v>1.1902929647528223E-2</v>
      </c>
      <c r="X99" s="16">
        <f>ROUND(IFERROR('1.1 Jakotaulu'!M$18*Ohj.lask.[[#This Row],[%-osuus 5]],0),0)</f>
        <v>287705</v>
      </c>
      <c r="Y99" s="132">
        <f>IFERROR(ROUND(VLOOKUP($A99,'2.6 Työpaikkaohjaajakysely'!B:J,COLUMN('2.6 Työpaikkaohjaajakysely'!H:H),FALSE),1),0)</f>
        <v>3266933.9</v>
      </c>
      <c r="Z99" s="9">
        <f>IFERROR(Ohj.lask.[[#This Row],[Painotetut pisteet 6]]/Ohj.lask.[[#Totals],[Painotetut pisteet 6]],0)</f>
        <v>9.6254176919171579E-3</v>
      </c>
      <c r="AA99" s="16">
        <f>ROUND(IFERROR('1.1 Jakotaulu'!M$20*Ohj.lask.[[#This Row],[%-osuus 6]],0),0)</f>
        <v>232656</v>
      </c>
      <c r="AB99" s="132">
        <f>IFERROR(ROUND(VLOOKUP($A99,'2.7 Työpaikkakysely'!B:H,COLUMN('2.7 Työpaikkakysely'!F:F),FALSE),1),0)</f>
        <v>1738570.4</v>
      </c>
      <c r="AC99" s="9">
        <f>IFERROR(Ohj.lask.[[#This Row],[Pisteet 7]]/Ohj.lask.[[#Totals],[Pisteet 7]],0)</f>
        <v>9.4217638590523133E-3</v>
      </c>
      <c r="AD99" s="16">
        <f>ROUND(IFERROR('1.1 Jakotaulu'!M$21*Ohj.lask.[[#This Row],[%-osuus 7]],0),0)</f>
        <v>75911</v>
      </c>
      <c r="AE99" s="12">
        <f>IFERROR(Ohj.lask.[[#This Row],[Jaettava € 8]]/Ohj.lask.[[#Totals],[Jaettava € 8]],"")</f>
        <v>8.8184884204145515E-3</v>
      </c>
      <c r="AF9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18727427</v>
      </c>
      <c r="AG99" s="102">
        <v>0</v>
      </c>
      <c r="AH99" s="102">
        <v>0</v>
      </c>
      <c r="AI99" s="102">
        <v>0</v>
      </c>
      <c r="AJ99" s="102">
        <v>0</v>
      </c>
      <c r="AK99" s="102">
        <v>27000</v>
      </c>
      <c r="AL99" s="107">
        <v>0</v>
      </c>
      <c r="AM99" s="107">
        <v>45122</v>
      </c>
      <c r="AN9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72122</v>
      </c>
      <c r="AO99" s="10">
        <f>Ohj.lask.[[#This Row],[Jaettava € 1]]+Ohj.lask.[[#This Row],[Harkinnanvarainen korotus 8, €]]</f>
        <v>12189449</v>
      </c>
      <c r="AP99" s="102">
        <f>Ohj.lask.[[#This Row],[Jaettava € 2]]</f>
        <v>4170961</v>
      </c>
      <c r="AQ99" s="10">
        <f>Ohj.lask.[[#This Row],[Jaettava € 3]]+Ohj.lask.[[#This Row],[Jaettava € 4]]+Ohj.lask.[[#This Row],[Jaettava € 5]]+Ohj.lask.[[#This Row],[Jaettava € 6]]+Ohj.lask.[[#This Row],[Jaettava € 7]]</f>
        <v>2439139</v>
      </c>
      <c r="AR99" s="33">
        <f>Ohj.lask.[[#This Row],[Jaettava € 8]]+Ohj.lask.[[#This Row],[Harkinnanvarainen korotus 8, €]]</f>
        <v>18799549</v>
      </c>
      <c r="AS99" s="33">
        <v>0</v>
      </c>
      <c r="AT99" s="16">
        <f>Ohj.lask.[[#This Row],[Perus-, suoritus- ja vaikuttavuusrahoitus yhteensä, €]]+Ohj.lask.[[#This Row],[Alv-korvaus, €]]</f>
        <v>18799549</v>
      </c>
    </row>
    <row r="100" spans="1:46" ht="12.75" x14ac:dyDescent="0.2">
      <c r="A100" s="3" t="s">
        <v>226</v>
      </c>
      <c r="B100" s="7" t="s">
        <v>91</v>
      </c>
      <c r="C100" s="7" t="s">
        <v>173</v>
      </c>
      <c r="D100" s="7" t="s">
        <v>325</v>
      </c>
      <c r="E100" s="7" t="s">
        <v>373</v>
      </c>
      <c r="F100" s="105">
        <v>67</v>
      </c>
      <c r="G100" s="106">
        <f>Ohj.lask.[[#This Row],[Tavoitteelliset opiskelija-vuodet]]-Ohj.lask.[[#This Row],[Järjestämisluvan opisk.vuosien vähimmäismäärä]]</f>
        <v>63</v>
      </c>
      <c r="H100" s="32">
        <v>130</v>
      </c>
      <c r="I100" s="8">
        <f>IFERROR(VLOOKUP($A100,'2.1 Toteut. op.vuodet'!$A:$T,COLUMN('2.1 Toteut. op.vuodet'!S:S),FALSE),0)</f>
        <v>0.89060432707015325</v>
      </c>
      <c r="J100" s="74">
        <f t="shared" si="2"/>
        <v>115.8</v>
      </c>
      <c r="K100" s="9">
        <f>IFERROR(Ohj.lask.[[#This Row],[Painotetut opiskelija-vuodet]]/Ohj.lask.[[#Totals],[Painotetut opiskelija-vuodet]],0)</f>
        <v>5.3428612821575185E-4</v>
      </c>
      <c r="L100" s="10">
        <f>ROUND(IFERROR('1.1 Jakotaulu'!L$12*Ohj.lask.[[#This Row],[%-osuus 1]],0),0)</f>
        <v>790260</v>
      </c>
      <c r="M100" s="132">
        <f>IFERROR(ROUND(VLOOKUP($A100,'2.2 Tutk. ja osien pain. pist.'!$A:$Q,COLUMN('2.2 Tutk. ja osien pain. pist.'!O:O),FALSE),1),0)</f>
        <v>3558.1</v>
      </c>
      <c r="N100" s="9">
        <f>IFERROR(Ohj.lask.[[#This Row],[Painotetut pisteet 2]]/Ohj.lask.[[#Totals],[Painotetut pisteet 2]],0)</f>
        <v>2.3227037308062301E-4</v>
      </c>
      <c r="O100" s="16">
        <f>ROUND(IFERROR('1.1 Jakotaulu'!K$13*Ohj.lask.[[#This Row],[%-osuus 2]],0),0)</f>
        <v>99808</v>
      </c>
      <c r="P100" s="133">
        <f>IFERROR(ROUND(VLOOKUP($A100,'2.3 Työll. ja jatko-opisk.'!$A:$Z,COLUMN('2.3 Työll. ja jatko-opisk.'!L:L),FALSE),1),0)</f>
        <v>214.1</v>
      </c>
      <c r="Q100" s="9">
        <f>IFERROR(Ohj.lask.[[#This Row],[Painotetut pisteet 3]]/Ohj.lask.[[#Totals],[Painotetut pisteet 3]],0)</f>
        <v>6.8504108326720731E-4</v>
      </c>
      <c r="R100" s="10">
        <f>ROUND(IFERROR('1.1 Jakotaulu'!L$15*Ohj.lask.[[#This Row],[%-osuus 3]],0),0)</f>
        <v>103028</v>
      </c>
      <c r="S100" s="132">
        <f>IFERROR(ROUND(VLOOKUP($A100,'2.4 Aloittaneet palaute'!$A:$I,COLUMN('2.4 Aloittaneet palaute'!H:H),FALSE),1),0)</f>
        <v>1430.6</v>
      </c>
      <c r="T100" s="13">
        <f>IFERROR(Ohj.lask.[[#This Row],[Painotetut pisteet 4]]/Ohj.lask.[[#Totals],[Painotetut pisteet 4]],0)</f>
        <v>8.5824236930086349E-4</v>
      </c>
      <c r="U100" s="16">
        <f>ROUND(IFERROR('1.1 Jakotaulu'!M$17*Ohj.lask.[[#This Row],[%-osuus 4]],0),0)</f>
        <v>6915</v>
      </c>
      <c r="V100" s="132">
        <f>IFERROR(ROUND(VLOOKUP($A100,'2.5 Päättäneet palaute'!$A:$Z,COLUMN('2.5 Päättäneet palaute'!X:X),FALSE),1),0)</f>
        <v>6340</v>
      </c>
      <c r="W100" s="13">
        <f>IFERROR(Ohj.lask.[[#This Row],[Painotetut pisteet 5]]/Ohj.lask.[[#Totals],[Painotetut pisteet 5]],0)</f>
        <v>6.1990147536257804E-4</v>
      </c>
      <c r="X100" s="16">
        <f>ROUND(IFERROR('1.1 Jakotaulu'!M$18*Ohj.lask.[[#This Row],[%-osuus 5]],0),0)</f>
        <v>14984</v>
      </c>
      <c r="Y100" s="132">
        <f>IFERROR(ROUND(VLOOKUP($A100,'2.6 Työpaikkaohjaajakysely'!B:J,COLUMN('2.6 Työpaikkaohjaajakysely'!H:H),FALSE),1),0)</f>
        <v>0</v>
      </c>
      <c r="Z100" s="9">
        <f>IFERROR(Ohj.lask.[[#This Row],[Painotetut pisteet 6]]/Ohj.lask.[[#Totals],[Painotetut pisteet 6]],0)</f>
        <v>0</v>
      </c>
      <c r="AA100" s="16">
        <f>ROUND(IFERROR('1.1 Jakotaulu'!M$20*Ohj.lask.[[#This Row],[%-osuus 6]],0),0)</f>
        <v>0</v>
      </c>
      <c r="AB100" s="132">
        <f>IFERROR(ROUND(VLOOKUP($A100,'2.7 Työpaikkakysely'!B:H,COLUMN('2.7 Työpaikkakysely'!F:F),FALSE),1),0)</f>
        <v>0</v>
      </c>
      <c r="AC100" s="9">
        <f>IFERROR(Ohj.lask.[[#This Row],[Pisteet 7]]/Ohj.lask.[[#Totals],[Pisteet 7]],0)</f>
        <v>0</v>
      </c>
      <c r="AD100" s="16">
        <f>ROUND(IFERROR('1.1 Jakotaulu'!M$21*Ohj.lask.[[#This Row],[%-osuus 7]],0),0)</f>
        <v>0</v>
      </c>
      <c r="AE100" s="12">
        <f>IFERROR(Ohj.lask.[[#This Row],[Jaettava € 8]]/Ohj.lask.[[#Totals],[Jaettava € 8]],"")</f>
        <v>4.7794721903220703E-4</v>
      </c>
      <c r="AF10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1014995</v>
      </c>
      <c r="AG100" s="102">
        <v>0</v>
      </c>
      <c r="AH100" s="102">
        <v>0</v>
      </c>
      <c r="AI100" s="102">
        <v>0</v>
      </c>
      <c r="AJ100" s="102">
        <v>0</v>
      </c>
      <c r="AK100" s="102">
        <v>0</v>
      </c>
      <c r="AL100" s="107">
        <v>0</v>
      </c>
      <c r="AM100" s="107">
        <v>0</v>
      </c>
      <c r="AN10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00" s="10">
        <f>Ohj.lask.[[#This Row],[Jaettava € 1]]+Ohj.lask.[[#This Row],[Harkinnanvarainen korotus 8, €]]</f>
        <v>790260</v>
      </c>
      <c r="AP100" s="102">
        <f>Ohj.lask.[[#This Row],[Jaettava € 2]]</f>
        <v>99808</v>
      </c>
      <c r="AQ100" s="10">
        <f>Ohj.lask.[[#This Row],[Jaettava € 3]]+Ohj.lask.[[#This Row],[Jaettava € 4]]+Ohj.lask.[[#This Row],[Jaettava € 5]]+Ohj.lask.[[#This Row],[Jaettava € 6]]+Ohj.lask.[[#This Row],[Jaettava € 7]]</f>
        <v>124927</v>
      </c>
      <c r="AR100" s="33">
        <f>Ohj.lask.[[#This Row],[Jaettava € 8]]+Ohj.lask.[[#This Row],[Harkinnanvarainen korotus 8, €]]</f>
        <v>1014995</v>
      </c>
      <c r="AS100" s="33">
        <v>105636</v>
      </c>
      <c r="AT100" s="16">
        <f>Ohj.lask.[[#This Row],[Perus-, suoritus- ja vaikuttavuusrahoitus yhteensä, €]]+Ohj.lask.[[#This Row],[Alv-korvaus, €]]</f>
        <v>1120631</v>
      </c>
    </row>
    <row r="101" spans="1:46" ht="12.75" x14ac:dyDescent="0.2">
      <c r="A101" s="3" t="s">
        <v>249</v>
      </c>
      <c r="B101" s="7" t="s">
        <v>437</v>
      </c>
      <c r="C101" s="7" t="s">
        <v>173</v>
      </c>
      <c r="D101" s="7" t="s">
        <v>325</v>
      </c>
      <c r="E101" s="7" t="s">
        <v>373</v>
      </c>
      <c r="F101" s="105">
        <v>1430</v>
      </c>
      <c r="G101" s="106">
        <f>Ohj.lask.[[#This Row],[Tavoitteelliset opiskelija-vuodet]]-Ohj.lask.[[#This Row],[Järjestämisluvan opisk.vuosien vähimmäismäärä]]</f>
        <v>0</v>
      </c>
      <c r="H101" s="32">
        <v>1430</v>
      </c>
      <c r="I101" s="8">
        <f>IFERROR(VLOOKUP($A101,'2.1 Toteut. op.vuodet'!$A:$T,COLUMN('2.1 Toteut. op.vuodet'!S:S),FALSE),0)</f>
        <v>0.73990433846929382</v>
      </c>
      <c r="J101" s="74">
        <f t="shared" si="2"/>
        <v>1058.0999999999999</v>
      </c>
      <c r="K101" s="9">
        <f>IFERROR(Ohj.lask.[[#This Row],[Painotetut opiskelija-vuodet]]/Ohj.lask.[[#Totals],[Painotetut opiskelija-vuodet]],0)</f>
        <v>4.8819356844998878E-3</v>
      </c>
      <c r="L101" s="10">
        <f>ROUND(IFERROR('1.1 Jakotaulu'!L$12*Ohj.lask.[[#This Row],[%-osuus 1]],0),0)</f>
        <v>7220852</v>
      </c>
      <c r="M101" s="132">
        <f>IFERROR(ROUND(VLOOKUP($A101,'2.2 Tutk. ja osien pain. pist.'!$A:$Q,COLUMN('2.2 Tutk. ja osien pain. pist.'!O:O),FALSE),1),0)</f>
        <v>118750.6</v>
      </c>
      <c r="N101" s="9">
        <f>IFERROR(Ohj.lask.[[#This Row],[Painotetut pisteet 2]]/Ohj.lask.[[#Totals],[Painotetut pisteet 2]],0)</f>
        <v>7.7519592382304693E-3</v>
      </c>
      <c r="O101" s="16">
        <f>ROUND(IFERROR('1.1 Jakotaulu'!K$13*Ohj.lask.[[#This Row],[%-osuus 2]],0),0)</f>
        <v>3331063</v>
      </c>
      <c r="P101" s="133">
        <f>IFERROR(ROUND(VLOOKUP($A101,'2.3 Työll. ja jatko-opisk.'!$A:$Z,COLUMN('2.3 Työll. ja jatko-opisk.'!L:L),FALSE),1),0)</f>
        <v>2289.5</v>
      </c>
      <c r="Q101" s="9">
        <f>IFERROR(Ohj.lask.[[#This Row],[Painotetut pisteet 3]]/Ohj.lask.[[#Totals],[Painotetut pisteet 3]],0)</f>
        <v>7.3255560959377452E-3</v>
      </c>
      <c r="R101" s="10">
        <f>ROUND(IFERROR('1.1 Jakotaulu'!L$15*Ohj.lask.[[#This Row],[%-osuus 3]],0),0)</f>
        <v>1101742</v>
      </c>
      <c r="S101" s="132">
        <f>IFERROR(ROUND(VLOOKUP($A101,'2.4 Aloittaneet palaute'!$A:$I,COLUMN('2.4 Aloittaneet palaute'!H:H),FALSE),1),0)</f>
        <v>20924.8</v>
      </c>
      <c r="T101" s="13">
        <f>IFERROR(Ohj.lask.[[#This Row],[Painotetut pisteet 4]]/Ohj.lask.[[#Totals],[Painotetut pisteet 4]],0)</f>
        <v>1.2553159463963869E-2</v>
      </c>
      <c r="U101" s="16">
        <f>ROUND(IFERROR('1.1 Jakotaulu'!M$17*Ohj.lask.[[#This Row],[%-osuus 4]],0),0)</f>
        <v>101141</v>
      </c>
      <c r="V101" s="132">
        <f>IFERROR(ROUND(VLOOKUP($A101,'2.5 Päättäneet palaute'!$A:$Z,COLUMN('2.5 Päättäneet palaute'!X:X),FALSE),1),0)</f>
        <v>195016.8</v>
      </c>
      <c r="W101" s="13">
        <f>IFERROR(Ohj.lask.[[#This Row],[Painotetut pisteet 5]]/Ohj.lask.[[#Totals],[Painotetut pisteet 5]],0)</f>
        <v>1.906801294014019E-2</v>
      </c>
      <c r="X101" s="16">
        <f>ROUND(IFERROR('1.1 Jakotaulu'!M$18*Ohj.lask.[[#This Row],[%-osuus 5]],0),0)</f>
        <v>460892</v>
      </c>
      <c r="Y101" s="132">
        <f>IFERROR(ROUND(VLOOKUP($A101,'2.6 Työpaikkaohjaajakysely'!B:J,COLUMN('2.6 Työpaikkaohjaajakysely'!H:H),FALSE),1),0)</f>
        <v>2724166.6</v>
      </c>
      <c r="Z101" s="9">
        <f>IFERROR(Ohj.lask.[[#This Row],[Painotetut pisteet 6]]/Ohj.lask.[[#Totals],[Painotetut pisteet 6]],0)</f>
        <v>8.0262540320665231E-3</v>
      </c>
      <c r="AA101" s="16">
        <f>ROUND(IFERROR('1.1 Jakotaulu'!M$20*Ohj.lask.[[#This Row],[%-osuus 6]],0),0)</f>
        <v>194002</v>
      </c>
      <c r="AB101" s="132">
        <f>IFERROR(ROUND(VLOOKUP($A101,'2.7 Työpaikkakysely'!B:H,COLUMN('2.7 Työpaikkakysely'!F:F),FALSE),1),0)</f>
        <v>827353.1</v>
      </c>
      <c r="AC101" s="9">
        <f>IFERROR(Ohj.lask.[[#This Row],[Pisteet 7]]/Ohj.lask.[[#Totals],[Pisteet 7]],0)</f>
        <v>4.4836410054231307E-3</v>
      </c>
      <c r="AD101" s="16">
        <f>ROUND(IFERROR('1.1 Jakotaulu'!M$21*Ohj.lask.[[#This Row],[%-osuus 7]],0),0)</f>
        <v>36125</v>
      </c>
      <c r="AE101" s="12">
        <f>IFERROR(Ohj.lask.[[#This Row],[Jaettava € 8]]/Ohj.lask.[[#Totals],[Jaettava € 8]],"")</f>
        <v>5.8605644596611472E-3</v>
      </c>
      <c r="AF10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12445817</v>
      </c>
      <c r="AG101" s="102">
        <v>0</v>
      </c>
      <c r="AH101" s="102">
        <v>0</v>
      </c>
      <c r="AI101" s="102">
        <v>0</v>
      </c>
      <c r="AJ101" s="102">
        <v>0</v>
      </c>
      <c r="AK101" s="102">
        <v>26000</v>
      </c>
      <c r="AL101" s="107">
        <v>0</v>
      </c>
      <c r="AM101" s="107">
        <v>1589</v>
      </c>
      <c r="AN10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27589</v>
      </c>
      <c r="AO101" s="10">
        <f>Ohj.lask.[[#This Row],[Jaettava € 1]]+Ohj.lask.[[#This Row],[Harkinnanvarainen korotus 8, €]]</f>
        <v>7248441</v>
      </c>
      <c r="AP101" s="102">
        <f>Ohj.lask.[[#This Row],[Jaettava € 2]]</f>
        <v>3331063</v>
      </c>
      <c r="AQ101" s="10">
        <f>Ohj.lask.[[#This Row],[Jaettava € 3]]+Ohj.lask.[[#This Row],[Jaettava € 4]]+Ohj.lask.[[#This Row],[Jaettava € 5]]+Ohj.lask.[[#This Row],[Jaettava € 6]]+Ohj.lask.[[#This Row],[Jaettava € 7]]</f>
        <v>1893902</v>
      </c>
      <c r="AR101" s="33">
        <f>Ohj.lask.[[#This Row],[Jaettava € 8]]+Ohj.lask.[[#This Row],[Harkinnanvarainen korotus 8, €]]</f>
        <v>12473406</v>
      </c>
      <c r="AS101" s="33">
        <v>1130440</v>
      </c>
      <c r="AT101" s="16">
        <f>Ohj.lask.[[#This Row],[Perus-, suoritus- ja vaikuttavuusrahoitus yhteensä, €]]+Ohj.lask.[[#This Row],[Alv-korvaus, €]]</f>
        <v>13603846</v>
      </c>
    </row>
    <row r="102" spans="1:46" ht="12.75" x14ac:dyDescent="0.2">
      <c r="A102" s="3" t="s">
        <v>225</v>
      </c>
      <c r="B102" s="7" t="s">
        <v>92</v>
      </c>
      <c r="C102" s="96" t="s">
        <v>180</v>
      </c>
      <c r="D102" s="96" t="s">
        <v>325</v>
      </c>
      <c r="E102" s="96" t="s">
        <v>373</v>
      </c>
      <c r="F102" s="104">
        <v>30</v>
      </c>
      <c r="G102" s="106">
        <f>Ohj.lask.[[#This Row],[Tavoitteelliset opiskelija-vuodet]]-Ohj.lask.[[#This Row],[Järjestämisluvan opisk.vuosien vähimmäismäärä]]</f>
        <v>7</v>
      </c>
      <c r="H102" s="32">
        <v>37</v>
      </c>
      <c r="I102" s="8">
        <f>IFERROR(VLOOKUP($A102,'2.1 Toteut. op.vuodet'!$A:$T,COLUMN('2.1 Toteut. op.vuodet'!S:S),FALSE),0)</f>
        <v>0.73821299904523097</v>
      </c>
      <c r="J102" s="74">
        <f t="shared" ref="J102:J132" si="3">IFERROR(ROUND(H102*I102,1),0)</f>
        <v>27.3</v>
      </c>
      <c r="K102" s="9">
        <f>IFERROR(Ohj.lask.[[#This Row],[Painotetut opiskelija-vuodet]]/Ohj.lask.[[#Totals],[Painotetut opiskelija-vuodet]],0)</f>
        <v>1.2595864680734048E-4</v>
      </c>
      <c r="L102" s="10">
        <f>ROUND(IFERROR('1.1 Jakotaulu'!L$12*Ohj.lask.[[#This Row],[%-osuus 1]],0),0)</f>
        <v>186305</v>
      </c>
      <c r="M102" s="132">
        <f>IFERROR(ROUND(VLOOKUP($A102,'2.2 Tutk. ja osien pain. pist.'!$A:$Q,COLUMN('2.2 Tutk. ja osien pain. pist.'!O:O),FALSE),1),0)</f>
        <v>1873.5</v>
      </c>
      <c r="N102" s="9">
        <f>IFERROR(Ohj.lask.[[#This Row],[Painotetut pisteet 2]]/Ohj.lask.[[#Totals],[Painotetut pisteet 2]],0)</f>
        <v>1.2230081896701813E-4</v>
      </c>
      <c r="O102" s="16">
        <f>ROUND(IFERROR('1.1 Jakotaulu'!K$13*Ohj.lask.[[#This Row],[%-osuus 2]],0),0)</f>
        <v>52553</v>
      </c>
      <c r="P102" s="133">
        <f>IFERROR(ROUND(VLOOKUP($A102,'2.3 Työll. ja jatko-opisk.'!$A:$Z,COLUMN('2.3 Työll. ja jatko-opisk.'!L:L),FALSE),1),0)</f>
        <v>80.5</v>
      </c>
      <c r="Q102" s="13">
        <f>IFERROR(Ohj.lask.[[#This Row],[Painotetut pisteet 3]]/Ohj.lask.[[#Totals],[Painotetut pisteet 3]],0)</f>
        <v>2.5757032789822603E-4</v>
      </c>
      <c r="R102" s="10">
        <f>ROUND(IFERROR('1.1 Jakotaulu'!L$15*Ohj.lask.[[#This Row],[%-osuus 3]],0),0)</f>
        <v>38738</v>
      </c>
      <c r="S102" s="132">
        <f>IFERROR(ROUND(VLOOKUP($A102,'2.4 Aloittaneet palaute'!$A:$I,COLUMN('2.4 Aloittaneet palaute'!H:H),FALSE),1),0)</f>
        <v>475.4</v>
      </c>
      <c r="T102" s="13">
        <f>IFERROR(Ohj.lask.[[#This Row],[Painotetut pisteet 4]]/Ohj.lask.[[#Totals],[Painotetut pisteet 4]],0)</f>
        <v>2.8520091036322561E-4</v>
      </c>
      <c r="U102" s="16">
        <f>ROUND(IFERROR('1.1 Jakotaulu'!M$17*Ohj.lask.[[#This Row],[%-osuus 4]],0),0)</f>
        <v>2298</v>
      </c>
      <c r="V102" s="132">
        <f>IFERROR(ROUND(VLOOKUP($A102,'2.5 Päättäneet palaute'!$A:$Z,COLUMN('2.5 Päättäneet palaute'!X:X),FALSE),1),0)</f>
        <v>2795.8</v>
      </c>
      <c r="W102" s="13">
        <f>IFERROR(Ohj.lask.[[#This Row],[Painotetut pisteet 5]]/Ohj.lask.[[#Totals],[Painotetut pisteet 5]],0)</f>
        <v>2.7336286195878481E-4</v>
      </c>
      <c r="X102" s="16">
        <f>ROUND(IFERROR('1.1 Jakotaulu'!M$18*Ohj.lask.[[#This Row],[%-osuus 5]],0),0)</f>
        <v>6607</v>
      </c>
      <c r="Y102" s="132">
        <f>IFERROR(ROUND(VLOOKUP($A102,'2.6 Työpaikkaohjaajakysely'!B:J,COLUMN('2.6 Työpaikkaohjaajakysely'!H:H),FALSE),1),0)</f>
        <v>202449.2</v>
      </c>
      <c r="Z102" s="9">
        <f>IFERROR(Ohj.lask.[[#This Row],[Painotetut pisteet 6]]/Ohj.lask.[[#Totals],[Painotetut pisteet 6]],0)</f>
        <v>5.9647919763374316E-4</v>
      </c>
      <c r="AA102" s="16">
        <f>ROUND(IFERROR('1.1 Jakotaulu'!M$20*Ohj.lask.[[#This Row],[%-osuus 6]],0),0)</f>
        <v>14417</v>
      </c>
      <c r="AB102" s="132">
        <f>IFERROR(ROUND(VLOOKUP($A102,'2.7 Työpaikkakysely'!B:H,COLUMN('2.7 Työpaikkakysely'!F:F),FALSE),1),0)</f>
        <v>63600</v>
      </c>
      <c r="AC102" s="9">
        <f>IFERROR(Ohj.lask.[[#This Row],[Pisteet 7]]/Ohj.lask.[[#Totals],[Pisteet 7]],0)</f>
        <v>3.4466489331448825E-4</v>
      </c>
      <c r="AD102" s="16">
        <f>ROUND(IFERROR('1.1 Jakotaulu'!M$21*Ohj.lask.[[#This Row],[%-osuus 7]],0),0)</f>
        <v>2777</v>
      </c>
      <c r="AE102" s="12">
        <f>IFERROR(Ohj.lask.[[#This Row],[Jaettava € 8]]/Ohj.lask.[[#Totals],[Jaettava € 8]],"")</f>
        <v>1.4300580858426506E-4</v>
      </c>
      <c r="AF10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303695</v>
      </c>
      <c r="AG102" s="102">
        <v>0</v>
      </c>
      <c r="AH102" s="102">
        <v>0</v>
      </c>
      <c r="AI102" s="102">
        <v>0</v>
      </c>
      <c r="AJ102" s="102">
        <v>0</v>
      </c>
      <c r="AK102" s="102">
        <v>0</v>
      </c>
      <c r="AL102" s="107">
        <v>0</v>
      </c>
      <c r="AM102" s="107">
        <v>0</v>
      </c>
      <c r="AN10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02" s="10">
        <f>Ohj.lask.[[#This Row],[Jaettava € 1]]+Ohj.lask.[[#This Row],[Harkinnanvarainen korotus 8, €]]</f>
        <v>186305</v>
      </c>
      <c r="AP102" s="102">
        <f>Ohj.lask.[[#This Row],[Jaettava € 2]]</f>
        <v>52553</v>
      </c>
      <c r="AQ102" s="10">
        <f>Ohj.lask.[[#This Row],[Jaettava € 3]]+Ohj.lask.[[#This Row],[Jaettava € 4]]+Ohj.lask.[[#This Row],[Jaettava € 5]]+Ohj.lask.[[#This Row],[Jaettava € 6]]+Ohj.lask.[[#This Row],[Jaettava € 7]]</f>
        <v>64837</v>
      </c>
      <c r="AR102" s="33">
        <f>Ohj.lask.[[#This Row],[Jaettava € 8]]+Ohj.lask.[[#This Row],[Harkinnanvarainen korotus 8, €]]</f>
        <v>303695</v>
      </c>
      <c r="AS102" s="33">
        <v>15192</v>
      </c>
      <c r="AT102" s="16">
        <f>Ohj.lask.[[#This Row],[Perus-, suoritus- ja vaikuttavuusrahoitus yhteensä, €]]+Ohj.lask.[[#This Row],[Alv-korvaus, €]]</f>
        <v>318887</v>
      </c>
    </row>
    <row r="103" spans="1:46" ht="12.75" x14ac:dyDescent="0.2">
      <c r="A103" s="3" t="s">
        <v>224</v>
      </c>
      <c r="B103" s="7" t="s">
        <v>93</v>
      </c>
      <c r="C103" s="7" t="s">
        <v>222</v>
      </c>
      <c r="D103" s="7" t="s">
        <v>325</v>
      </c>
      <c r="E103" s="7" t="s">
        <v>373</v>
      </c>
      <c r="F103" s="105">
        <v>50</v>
      </c>
      <c r="G103" s="106">
        <f>Ohj.lask.[[#This Row],[Tavoitteelliset opiskelija-vuodet]]-Ohj.lask.[[#This Row],[Järjestämisluvan opisk.vuosien vähimmäismäärä]]</f>
        <v>0</v>
      </c>
      <c r="H103" s="32">
        <v>50</v>
      </c>
      <c r="I103" s="8">
        <f>IFERROR(VLOOKUP($A103,'2.1 Toteut. op.vuodet'!$A:$T,COLUMN('2.1 Toteut. op.vuodet'!S:S),FALSE),0)</f>
        <v>1.0371604110090369</v>
      </c>
      <c r="J103" s="74">
        <f t="shared" si="3"/>
        <v>51.9</v>
      </c>
      <c r="K103" s="9">
        <f>IFERROR(Ohj.lask.[[#This Row],[Painotetut opiskelija-vuodet]]/Ohj.lask.[[#Totals],[Painotetut opiskelija-vuodet]],0)</f>
        <v>2.3945984502933958E-4</v>
      </c>
      <c r="L103" s="10">
        <f>ROUND(IFERROR('1.1 Jakotaulu'!L$12*Ohj.lask.[[#This Row],[%-osuus 1]],0),0)</f>
        <v>354184</v>
      </c>
      <c r="M103" s="132">
        <f>IFERROR(ROUND(VLOOKUP($A103,'2.2 Tutk. ja osien pain. pist.'!$A:$Q,COLUMN('2.2 Tutk. ja osien pain. pist.'!O:O),FALSE),1),0)</f>
        <v>7063.2</v>
      </c>
      <c r="N103" s="9">
        <f>IFERROR(Ohj.lask.[[#This Row],[Painotetut pisteet 2]]/Ohj.lask.[[#Totals],[Painotetut pisteet 2]],0)</f>
        <v>4.6108094183498397E-4</v>
      </c>
      <c r="O103" s="16">
        <f>ROUND(IFERROR('1.1 Jakotaulu'!K$13*Ohj.lask.[[#This Row],[%-osuus 2]],0),0)</f>
        <v>198129</v>
      </c>
      <c r="P103" s="133">
        <f>IFERROR(ROUND(VLOOKUP($A103,'2.3 Työll. ja jatko-opisk.'!$A:$Z,COLUMN('2.3 Työll. ja jatko-opisk.'!L:L),FALSE),1),0)</f>
        <v>109.4</v>
      </c>
      <c r="Q103" s="9">
        <f>IFERROR(Ohj.lask.[[#This Row],[Painotetut pisteet 3]]/Ohj.lask.[[#Totals],[Painotetut pisteet 3]],0)</f>
        <v>3.5003967542939044E-4</v>
      </c>
      <c r="R103" s="10">
        <f>ROUND(IFERROR('1.1 Jakotaulu'!L$15*Ohj.lask.[[#This Row],[%-osuus 3]],0),0)</f>
        <v>52645</v>
      </c>
      <c r="S103" s="132">
        <f>IFERROR(ROUND(VLOOKUP($A103,'2.4 Aloittaneet palaute'!$A:$I,COLUMN('2.4 Aloittaneet palaute'!H:H),FALSE),1),0)</f>
        <v>690.3</v>
      </c>
      <c r="T103" s="13">
        <f>IFERROR(Ohj.lask.[[#This Row],[Painotetut pisteet 4]]/Ohj.lask.[[#Totals],[Painotetut pisteet 4]],0)</f>
        <v>4.141232402686887E-4</v>
      </c>
      <c r="U103" s="16">
        <f>ROUND(IFERROR('1.1 Jakotaulu'!M$17*Ohj.lask.[[#This Row],[%-osuus 4]],0),0)</f>
        <v>3337</v>
      </c>
      <c r="V103" s="132">
        <f>IFERROR(ROUND(VLOOKUP($A103,'2.5 Päättäneet palaute'!$A:$Z,COLUMN('2.5 Päättäneet palaute'!X:X),FALSE),1),0)</f>
        <v>3930.5</v>
      </c>
      <c r="W103" s="13">
        <f>IFERROR(Ohj.lask.[[#This Row],[Painotetut pisteet 5]]/Ohj.lask.[[#Totals],[Painotetut pisteet 5]],0)</f>
        <v>3.843095818474153E-4</v>
      </c>
      <c r="X103" s="16">
        <f>ROUND(IFERROR('1.1 Jakotaulu'!M$18*Ohj.lask.[[#This Row],[%-osuus 5]],0),0)</f>
        <v>9289</v>
      </c>
      <c r="Y103" s="132">
        <f>IFERROR(ROUND(VLOOKUP($A103,'2.6 Työpaikkaohjaajakysely'!B:J,COLUMN('2.6 Työpaikkaohjaajakysely'!H:H),FALSE),1),0)</f>
        <v>120216.5</v>
      </c>
      <c r="Z103" s="9">
        <f>IFERROR(Ohj.lask.[[#This Row],[Painotetut pisteet 6]]/Ohj.lask.[[#Totals],[Painotetut pisteet 6]],0)</f>
        <v>3.5419572644563121E-4</v>
      </c>
      <c r="AA103" s="16">
        <f>ROUND(IFERROR('1.1 Jakotaulu'!M$20*Ohj.lask.[[#This Row],[%-osuus 6]],0),0)</f>
        <v>8561</v>
      </c>
      <c r="AB103" s="132">
        <f>IFERROR(ROUND(VLOOKUP($A103,'2.7 Työpaikkakysely'!B:H,COLUMN('2.7 Työpaikkakysely'!F:F),FALSE),1),0)</f>
        <v>46819</v>
      </c>
      <c r="AC103" s="9">
        <f>IFERROR(Ohj.lask.[[#This Row],[Pisteet 7]]/Ohj.lask.[[#Totals],[Pisteet 7]],0)</f>
        <v>2.5372430251715449E-4</v>
      </c>
      <c r="AD103" s="16">
        <f>ROUND(IFERROR('1.1 Jakotaulu'!M$21*Ohj.lask.[[#This Row],[%-osuus 7]],0),0)</f>
        <v>2044</v>
      </c>
      <c r="AE103" s="12">
        <f>IFERROR(Ohj.lask.[[#This Row],[Jaettava € 8]]/Ohj.lask.[[#Totals],[Jaettava € 8]],"")</f>
        <v>2.9580558089116016E-4</v>
      </c>
      <c r="AF10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628189</v>
      </c>
      <c r="AG103" s="102">
        <v>0</v>
      </c>
      <c r="AH103" s="102">
        <v>0</v>
      </c>
      <c r="AI103" s="102">
        <v>0</v>
      </c>
      <c r="AJ103" s="102">
        <v>0</v>
      </c>
      <c r="AK103" s="102">
        <v>0</v>
      </c>
      <c r="AL103" s="107">
        <v>0</v>
      </c>
      <c r="AM103" s="107">
        <v>0</v>
      </c>
      <c r="AN10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03" s="10">
        <f>Ohj.lask.[[#This Row],[Jaettava € 1]]+Ohj.lask.[[#This Row],[Harkinnanvarainen korotus 8, €]]</f>
        <v>354184</v>
      </c>
      <c r="AP103" s="102">
        <f>Ohj.lask.[[#This Row],[Jaettava € 2]]</f>
        <v>198129</v>
      </c>
      <c r="AQ103" s="10">
        <f>Ohj.lask.[[#This Row],[Jaettava € 3]]+Ohj.lask.[[#This Row],[Jaettava € 4]]+Ohj.lask.[[#This Row],[Jaettava € 5]]+Ohj.lask.[[#This Row],[Jaettava € 6]]+Ohj.lask.[[#This Row],[Jaettava € 7]]</f>
        <v>75876</v>
      </c>
      <c r="AR103" s="33">
        <f>Ohj.lask.[[#This Row],[Jaettava € 8]]+Ohj.lask.[[#This Row],[Harkinnanvarainen korotus 8, €]]</f>
        <v>628189</v>
      </c>
      <c r="AS103" s="33">
        <v>33142</v>
      </c>
      <c r="AT103" s="16">
        <f>Ohj.lask.[[#This Row],[Perus-, suoritus- ja vaikuttavuusrahoitus yhteensä, €]]+Ohj.lask.[[#This Row],[Alv-korvaus, €]]</f>
        <v>661331</v>
      </c>
    </row>
    <row r="104" spans="1:46" ht="12.75" x14ac:dyDescent="0.2">
      <c r="A104" s="3" t="s">
        <v>223</v>
      </c>
      <c r="B104" s="7" t="s">
        <v>94</v>
      </c>
      <c r="C104" s="7" t="s">
        <v>222</v>
      </c>
      <c r="D104" s="7" t="s">
        <v>324</v>
      </c>
      <c r="E104" s="7" t="s">
        <v>373</v>
      </c>
      <c r="F104" s="105">
        <v>3103</v>
      </c>
      <c r="G104" s="106">
        <f>Ohj.lask.[[#This Row],[Tavoitteelliset opiskelija-vuodet]]-Ohj.lask.[[#This Row],[Järjestämisluvan opisk.vuosien vähimmäismäärä]]</f>
        <v>0</v>
      </c>
      <c r="H104" s="32">
        <v>3103</v>
      </c>
      <c r="I104" s="8">
        <f>IFERROR(VLOOKUP($A104,'2.1 Toteut. op.vuodet'!$A:$T,COLUMN('2.1 Toteut. op.vuodet'!S:S),FALSE),0)</f>
        <v>1.2483166796639649</v>
      </c>
      <c r="J104" s="74">
        <f t="shared" si="3"/>
        <v>3873.5</v>
      </c>
      <c r="K104" s="9">
        <f>IFERROR(Ohj.lask.[[#This Row],[Painotetut opiskelija-vuodet]]/Ohj.lask.[[#Totals],[Painotetut opiskelija-vuodet]],0)</f>
        <v>1.7871824850118435E-2</v>
      </c>
      <c r="L104" s="10">
        <f>ROUND(IFERROR('1.1 Jakotaulu'!L$12*Ohj.lask.[[#This Row],[%-osuus 1]],0),0)</f>
        <v>26434145</v>
      </c>
      <c r="M104" s="132">
        <f>IFERROR(ROUND(VLOOKUP($A104,'2.2 Tutk. ja osien pain. pist.'!$A:$Q,COLUMN('2.2 Tutk. ja osien pain. pist.'!O:O),FALSE),1),0)</f>
        <v>300242.7</v>
      </c>
      <c r="N104" s="9">
        <f>IFERROR(Ohj.lask.[[#This Row],[Painotetut pisteet 2]]/Ohj.lask.[[#Totals],[Painotetut pisteet 2]],0)</f>
        <v>1.9599641365822651E-2</v>
      </c>
      <c r="O104" s="16">
        <f>ROUND(IFERROR('1.1 Jakotaulu'!K$13*Ohj.lask.[[#This Row],[%-osuus 2]],0),0)</f>
        <v>8422083</v>
      </c>
      <c r="P104" s="133">
        <f>IFERROR(ROUND(VLOOKUP($A104,'2.3 Työll. ja jatko-opisk.'!$A:$Z,COLUMN('2.3 Työll. ja jatko-opisk.'!L:L),FALSE),1),0)</f>
        <v>5546.5</v>
      </c>
      <c r="Q104" s="9">
        <f>IFERROR(Ohj.lask.[[#This Row],[Painotetut pisteet 3]]/Ohj.lask.[[#Totals],[Painotetut pisteet 3]],0)</f>
        <v>1.7746755573757895E-2</v>
      </c>
      <c r="R104" s="10">
        <f>ROUND(IFERROR('1.1 Jakotaulu'!L$15*Ohj.lask.[[#This Row],[%-osuus 3]],0),0)</f>
        <v>2669061</v>
      </c>
      <c r="S104" s="132">
        <f>IFERROR(ROUND(VLOOKUP($A104,'2.4 Aloittaneet palaute'!$A:$I,COLUMN('2.4 Aloittaneet palaute'!H:H),FALSE),1),0)</f>
        <v>26682.1</v>
      </c>
      <c r="T104" s="13">
        <f>IFERROR(Ohj.lask.[[#This Row],[Painotetut pisteet 4]]/Ohj.lask.[[#Totals],[Painotetut pisteet 4]],0)</f>
        <v>1.6007066071524235E-2</v>
      </c>
      <c r="U104" s="16">
        <f>ROUND(IFERROR('1.1 Jakotaulu'!M$17*Ohj.lask.[[#This Row],[%-osuus 4]],0),0)</f>
        <v>128969</v>
      </c>
      <c r="V104" s="132">
        <f>IFERROR(ROUND(VLOOKUP($A104,'2.5 Päättäneet palaute'!$A:$Z,COLUMN('2.5 Päättäneet palaute'!X:X),FALSE),1),0)</f>
        <v>200167.5</v>
      </c>
      <c r="W104" s="13">
        <f>IFERROR(Ohj.lask.[[#This Row],[Painotetut pisteet 5]]/Ohj.lask.[[#Totals],[Painotetut pisteet 5]],0)</f>
        <v>1.9571629111930416E-2</v>
      </c>
      <c r="X104" s="16">
        <f>ROUND(IFERROR('1.1 Jakotaulu'!M$18*Ohj.lask.[[#This Row],[%-osuus 5]],0),0)</f>
        <v>473065</v>
      </c>
      <c r="Y104" s="132">
        <f>IFERROR(ROUND(VLOOKUP($A104,'2.6 Työpaikkaohjaajakysely'!B:J,COLUMN('2.6 Työpaikkaohjaajakysely'!H:H),FALSE),1),0)</f>
        <v>7314550.9000000004</v>
      </c>
      <c r="Z104" s="9">
        <f>IFERROR(Ohj.lask.[[#This Row],[Painotetut pisteet 6]]/Ohj.lask.[[#Totals],[Painotetut pisteet 6]],0)</f>
        <v>2.1550974031427014E-2</v>
      </c>
      <c r="AA104" s="16">
        <f>ROUND(IFERROR('1.1 Jakotaulu'!M$20*Ohj.lask.[[#This Row],[%-osuus 6]],0),0)</f>
        <v>520908</v>
      </c>
      <c r="AB104" s="132">
        <f>IFERROR(ROUND(VLOOKUP($A104,'2.7 Työpaikkakysely'!B:H,COLUMN('2.7 Työpaikkakysely'!F:F),FALSE),1),0)</f>
        <v>3646715.9</v>
      </c>
      <c r="AC104" s="9">
        <f>IFERROR(Ohj.lask.[[#This Row],[Pisteet 7]]/Ohj.lask.[[#Totals],[Pisteet 7]],0)</f>
        <v>1.9762499160719309E-2</v>
      </c>
      <c r="AD104" s="16">
        <f>ROUND(IFERROR('1.1 Jakotaulu'!M$21*Ohj.lask.[[#This Row],[%-osuus 7]],0),0)</f>
        <v>159226</v>
      </c>
      <c r="AE104" s="12">
        <f>IFERROR(Ohj.lask.[[#This Row],[Jaettava € 8]]/Ohj.lask.[[#Totals],[Jaettava € 8]],"")</f>
        <v>1.8273899034834611E-2</v>
      </c>
      <c r="AF10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38807457</v>
      </c>
      <c r="AG104" s="102">
        <v>0</v>
      </c>
      <c r="AH104" s="102">
        <v>60000</v>
      </c>
      <c r="AI104" s="102">
        <v>0</v>
      </c>
      <c r="AJ104" s="102">
        <v>0</v>
      </c>
      <c r="AK104" s="102">
        <v>45000</v>
      </c>
      <c r="AL104" s="107">
        <v>31000</v>
      </c>
      <c r="AM104" s="107">
        <v>216303</v>
      </c>
      <c r="AN10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352303</v>
      </c>
      <c r="AO104" s="10">
        <f>Ohj.lask.[[#This Row],[Jaettava € 1]]+Ohj.lask.[[#This Row],[Harkinnanvarainen korotus 8, €]]</f>
        <v>26786448</v>
      </c>
      <c r="AP104" s="102">
        <f>Ohj.lask.[[#This Row],[Jaettava € 2]]</f>
        <v>8422083</v>
      </c>
      <c r="AQ104" s="10">
        <f>Ohj.lask.[[#This Row],[Jaettava € 3]]+Ohj.lask.[[#This Row],[Jaettava € 4]]+Ohj.lask.[[#This Row],[Jaettava € 5]]+Ohj.lask.[[#This Row],[Jaettava € 6]]+Ohj.lask.[[#This Row],[Jaettava € 7]]</f>
        <v>3951229</v>
      </c>
      <c r="AR104" s="33">
        <f>Ohj.lask.[[#This Row],[Jaettava € 8]]+Ohj.lask.[[#This Row],[Harkinnanvarainen korotus 8, €]]</f>
        <v>39159760</v>
      </c>
      <c r="AS104" s="33">
        <v>0</v>
      </c>
      <c r="AT104" s="16">
        <f>Ohj.lask.[[#This Row],[Perus-, suoritus- ja vaikuttavuusrahoitus yhteensä, €]]+Ohj.lask.[[#This Row],[Alv-korvaus, €]]</f>
        <v>39159760</v>
      </c>
    </row>
    <row r="105" spans="1:46" ht="12.75" x14ac:dyDescent="0.2">
      <c r="A105" s="3" t="s">
        <v>221</v>
      </c>
      <c r="B105" s="7" t="s">
        <v>95</v>
      </c>
      <c r="C105" s="7" t="s">
        <v>186</v>
      </c>
      <c r="D105" s="7" t="s">
        <v>324</v>
      </c>
      <c r="E105" s="7" t="s">
        <v>373</v>
      </c>
      <c r="F105" s="105">
        <v>1889</v>
      </c>
      <c r="G105" s="106">
        <f>Ohj.lask.[[#This Row],[Tavoitteelliset opiskelija-vuodet]]-Ohj.lask.[[#This Row],[Järjestämisluvan opisk.vuosien vähimmäismäärä]]</f>
        <v>148</v>
      </c>
      <c r="H105" s="32">
        <v>2037</v>
      </c>
      <c r="I105" s="8">
        <f>IFERROR(VLOOKUP($A105,'2.1 Toteut. op.vuodet'!$A:$T,COLUMN('2.1 Toteut. op.vuodet'!S:S),FALSE),0)</f>
        <v>1.0806147826544708</v>
      </c>
      <c r="J105" s="74">
        <f t="shared" si="3"/>
        <v>2201.1999999999998</v>
      </c>
      <c r="K105" s="9">
        <f>IFERROR(Ohj.lask.[[#This Row],[Painotetut opiskelija-vuodet]]/Ohj.lask.[[#Totals],[Painotetut opiskelija-vuodet]],0)</f>
        <v>1.0156050305945708E-2</v>
      </c>
      <c r="L105" s="10">
        <f>ROUND(IFERROR('1.1 Jakotaulu'!L$12*Ohj.lask.[[#This Row],[%-osuus 1]],0),0)</f>
        <v>15021773</v>
      </c>
      <c r="M105" s="132">
        <f>IFERROR(ROUND(VLOOKUP($A105,'2.2 Tutk. ja osien pain. pist.'!$A:$Q,COLUMN('2.2 Tutk. ja osien pain. pist.'!O:O),FALSE),1),0)</f>
        <v>170924.3</v>
      </c>
      <c r="N105" s="9">
        <f>IFERROR(Ohj.lask.[[#This Row],[Painotetut pisteet 2]]/Ohj.lask.[[#Totals],[Painotetut pisteet 2]],0)</f>
        <v>1.1157823256666291E-2</v>
      </c>
      <c r="O105" s="16">
        <f>ROUND(IFERROR('1.1 Jakotaulu'!K$13*Ohj.lask.[[#This Row],[%-osuus 2]],0),0)</f>
        <v>4794584</v>
      </c>
      <c r="P105" s="133">
        <f>IFERROR(ROUND(VLOOKUP($A105,'2.3 Työll. ja jatko-opisk.'!$A:$Z,COLUMN('2.3 Työll. ja jatko-opisk.'!L:L),FALSE),1),0)</f>
        <v>3903.4</v>
      </c>
      <c r="Q105" s="9">
        <f>IFERROR(Ohj.lask.[[#This Row],[Painotetut pisteet 3]]/Ohj.lask.[[#Totals],[Painotetut pisteet 3]],0)</f>
        <v>1.2489441216371869E-2</v>
      </c>
      <c r="R105" s="10">
        <f>ROUND(IFERROR('1.1 Jakotaulu'!L$15*Ohj.lask.[[#This Row],[%-osuus 3]],0),0)</f>
        <v>1878376</v>
      </c>
      <c r="S105" s="132">
        <f>IFERROR(ROUND(VLOOKUP($A105,'2.4 Aloittaneet palaute'!$A:$I,COLUMN('2.4 Aloittaneet palaute'!H:H),FALSE),1),0)</f>
        <v>20869.7</v>
      </c>
      <c r="T105" s="13">
        <f>IFERROR(Ohj.lask.[[#This Row],[Painotetut pisteet 4]]/Ohj.lask.[[#Totals],[Painotetut pisteet 4]],0)</f>
        <v>1.2520103994546507E-2</v>
      </c>
      <c r="U105" s="16">
        <f>ROUND(IFERROR('1.1 Jakotaulu'!M$17*Ohj.lask.[[#This Row],[%-osuus 4]],0),0)</f>
        <v>100874</v>
      </c>
      <c r="V105" s="132">
        <f>IFERROR(ROUND(VLOOKUP($A105,'2.5 Päättäneet palaute'!$A:$Z,COLUMN('2.5 Päättäneet palaute'!X:X),FALSE),1),0)</f>
        <v>112831</v>
      </c>
      <c r="W105" s="13">
        <f>IFERROR(Ohj.lask.[[#This Row],[Painotetut pisteet 5]]/Ohj.lask.[[#Totals],[Painotetut pisteet 5]],0)</f>
        <v>1.1032192960037072E-2</v>
      </c>
      <c r="X105" s="16">
        <f>ROUND(IFERROR('1.1 Jakotaulu'!M$18*Ohj.lask.[[#This Row],[%-osuus 5]],0),0)</f>
        <v>266659</v>
      </c>
      <c r="Y105" s="132">
        <f>IFERROR(ROUND(VLOOKUP($A105,'2.6 Työpaikkaohjaajakysely'!B:J,COLUMN('2.6 Työpaikkaohjaajakysely'!H:H),FALSE),1),0)</f>
        <v>3456199.5</v>
      </c>
      <c r="Z105" s="9">
        <f>IFERROR(Ohj.lask.[[#This Row],[Painotetut pisteet 6]]/Ohj.lask.[[#Totals],[Painotetut pisteet 6]],0)</f>
        <v>1.0183053845716081E-2</v>
      </c>
      <c r="AA105" s="16">
        <f>ROUND(IFERROR('1.1 Jakotaulu'!M$20*Ohj.lask.[[#This Row],[%-osuus 6]],0),0)</f>
        <v>246134</v>
      </c>
      <c r="AB105" s="132">
        <f>IFERROR(ROUND(VLOOKUP($A105,'2.7 Työpaikkakysely'!B:H,COLUMN('2.7 Työpaikkakysely'!F:F),FALSE),1),0)</f>
        <v>1084645</v>
      </c>
      <c r="AC105" s="9">
        <f>IFERROR(Ohj.lask.[[#This Row],[Pisteet 7]]/Ohj.lask.[[#Totals],[Pisteet 7]],0)</f>
        <v>5.8779725347341688E-3</v>
      </c>
      <c r="AD105" s="16">
        <f>ROUND(IFERROR('1.1 Jakotaulu'!M$21*Ohj.lask.[[#This Row],[%-osuus 7]],0),0)</f>
        <v>47359</v>
      </c>
      <c r="AE105" s="12">
        <f>IFERROR(Ohj.lask.[[#This Row],[Jaettava € 8]]/Ohj.lask.[[#Totals],[Jaettava € 8]],"")</f>
        <v>1.0527020175867107E-2</v>
      </c>
      <c r="AF10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22355759</v>
      </c>
      <c r="AG105" s="102">
        <v>0</v>
      </c>
      <c r="AH105" s="102">
        <v>0</v>
      </c>
      <c r="AI105" s="102">
        <v>0</v>
      </c>
      <c r="AJ105" s="102">
        <v>0</v>
      </c>
      <c r="AK105" s="102">
        <v>21000</v>
      </c>
      <c r="AL105" s="107">
        <v>0</v>
      </c>
      <c r="AM105" s="107">
        <v>98617</v>
      </c>
      <c r="AN10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119617</v>
      </c>
      <c r="AO105" s="10">
        <f>Ohj.lask.[[#This Row],[Jaettava € 1]]+Ohj.lask.[[#This Row],[Harkinnanvarainen korotus 8, €]]</f>
        <v>15141390</v>
      </c>
      <c r="AP105" s="102">
        <f>Ohj.lask.[[#This Row],[Jaettava € 2]]</f>
        <v>4794584</v>
      </c>
      <c r="AQ105" s="10">
        <f>Ohj.lask.[[#This Row],[Jaettava € 3]]+Ohj.lask.[[#This Row],[Jaettava € 4]]+Ohj.lask.[[#This Row],[Jaettava € 5]]+Ohj.lask.[[#This Row],[Jaettava € 6]]+Ohj.lask.[[#This Row],[Jaettava € 7]]</f>
        <v>2539402</v>
      </c>
      <c r="AR105" s="33">
        <f>Ohj.lask.[[#This Row],[Jaettava € 8]]+Ohj.lask.[[#This Row],[Harkinnanvarainen korotus 8, €]]</f>
        <v>22475376</v>
      </c>
      <c r="AS105" s="33">
        <v>0</v>
      </c>
      <c r="AT105" s="16">
        <f>Ohj.lask.[[#This Row],[Perus-, suoritus- ja vaikuttavuusrahoitus yhteensä, €]]+Ohj.lask.[[#This Row],[Alv-korvaus, €]]</f>
        <v>22475376</v>
      </c>
    </row>
    <row r="106" spans="1:46" ht="12.75" x14ac:dyDescent="0.2">
      <c r="A106" s="3" t="s">
        <v>220</v>
      </c>
      <c r="B106" s="7" t="s">
        <v>96</v>
      </c>
      <c r="C106" s="7" t="s">
        <v>182</v>
      </c>
      <c r="D106" s="7" t="s">
        <v>324</v>
      </c>
      <c r="E106" s="7" t="s">
        <v>373</v>
      </c>
      <c r="F106" s="105">
        <v>3324</v>
      </c>
      <c r="G106" s="106">
        <f>Ohj.lask.[[#This Row],[Tavoitteelliset opiskelija-vuodet]]-Ohj.lask.[[#This Row],[Järjestämisluvan opisk.vuosien vähimmäismäärä]]</f>
        <v>552</v>
      </c>
      <c r="H106" s="32">
        <v>3876</v>
      </c>
      <c r="I106" s="8">
        <f>IFERROR(VLOOKUP($A106,'2.1 Toteut. op.vuodet'!$A:$T,COLUMN('2.1 Toteut. op.vuodet'!S:S),FALSE),0)</f>
        <v>1.0434022011291926</v>
      </c>
      <c r="J106" s="74">
        <f t="shared" si="3"/>
        <v>4044.2</v>
      </c>
      <c r="K106" s="9">
        <f>IFERROR(Ohj.lask.[[#This Row],[Painotetut opiskelija-vuodet]]/Ohj.lask.[[#Totals],[Painotetut opiskelija-vuodet]],0)</f>
        <v>1.8659412432902794E-2</v>
      </c>
      <c r="L106" s="10">
        <f>ROUND(IFERROR('1.1 Jakotaulu'!L$12*Ohj.lask.[[#This Row],[%-osuus 1]],0),0)</f>
        <v>27599062</v>
      </c>
      <c r="M106" s="132">
        <f>IFERROR(ROUND(VLOOKUP($A106,'2.2 Tutk. ja osien pain. pist.'!$A:$Q,COLUMN('2.2 Tutk. ja osien pain. pist.'!O:O),FALSE),1),0)</f>
        <v>318951.40000000002</v>
      </c>
      <c r="N106" s="9">
        <f>IFERROR(Ohj.lask.[[#This Row],[Painotetut pisteet 2]]/Ohj.lask.[[#Totals],[Painotetut pisteet 2]],0)</f>
        <v>2.0820932709195085E-2</v>
      </c>
      <c r="O106" s="16">
        <f>ROUND(IFERROR('1.1 Jakotaulu'!K$13*Ohj.lask.[[#This Row],[%-osuus 2]],0),0)</f>
        <v>8946880</v>
      </c>
      <c r="P106" s="133">
        <f>IFERROR(ROUND(VLOOKUP($A106,'2.3 Työll. ja jatko-opisk.'!$A:$Z,COLUMN('2.3 Työll. ja jatko-opisk.'!L:L),FALSE),1),0)</f>
        <v>6131.1</v>
      </c>
      <c r="Q106" s="9">
        <f>IFERROR(Ohj.lask.[[#This Row],[Painotetut pisteet 3]]/Ohj.lask.[[#Totals],[Painotetut pisteet 3]],0)</f>
        <v>1.9617260091637438E-2</v>
      </c>
      <c r="R106" s="10">
        <f>ROUND(IFERROR('1.1 Jakotaulu'!L$15*Ohj.lask.[[#This Row],[%-osuus 3]],0),0)</f>
        <v>2950379</v>
      </c>
      <c r="S106" s="132">
        <f>IFERROR(ROUND(VLOOKUP($A106,'2.4 Aloittaneet palaute'!$A:$I,COLUMN('2.4 Aloittaneet palaute'!H:H),FALSE),1),0)</f>
        <v>25061.5</v>
      </c>
      <c r="T106" s="13">
        <f>IFERROR(Ohj.lask.[[#This Row],[Painotetut pisteet 4]]/Ohj.lask.[[#Totals],[Painotetut pisteet 4]],0)</f>
        <v>1.5034839324922125E-2</v>
      </c>
      <c r="U106" s="16">
        <f>ROUND(IFERROR('1.1 Jakotaulu'!M$17*Ohj.lask.[[#This Row],[%-osuus 4]],0),0)</f>
        <v>121136</v>
      </c>
      <c r="V106" s="132">
        <f>IFERROR(ROUND(VLOOKUP($A106,'2.5 Päättäneet palaute'!$A:$Z,COLUMN('2.5 Päättäneet palaute'!X:X),FALSE),1),0)</f>
        <v>184123</v>
      </c>
      <c r="W106" s="13">
        <f>IFERROR(Ohj.lask.[[#This Row],[Painotetut pisteet 5]]/Ohj.lask.[[#Totals],[Painotetut pisteet 5]],0)</f>
        <v>1.8002857941353936E-2</v>
      </c>
      <c r="X106" s="16">
        <f>ROUND(IFERROR('1.1 Jakotaulu'!M$18*Ohj.lask.[[#This Row],[%-osuus 5]],0),0)</f>
        <v>435146</v>
      </c>
      <c r="Y106" s="132">
        <f>IFERROR(ROUND(VLOOKUP($A106,'2.6 Työpaikkaohjaajakysely'!B:J,COLUMN('2.6 Työpaikkaohjaajakysely'!H:H),FALSE),1),0)</f>
        <v>8355242</v>
      </c>
      <c r="Z106" s="9">
        <f>IFERROR(Ohj.lask.[[#This Row],[Painotetut pisteet 6]]/Ohj.lask.[[#Totals],[Painotetut pisteet 6]],0)</f>
        <v>2.4617178256055104E-2</v>
      </c>
      <c r="AA106" s="16">
        <f>ROUND(IFERROR('1.1 Jakotaulu'!M$20*Ohj.lask.[[#This Row],[%-osuus 6]],0),0)</f>
        <v>595021</v>
      </c>
      <c r="AB106" s="132">
        <f>IFERROR(ROUND(VLOOKUP($A106,'2.7 Työpaikkakysely'!B:H,COLUMN('2.7 Työpaikkakysely'!F:F),FALSE),1),0)</f>
        <v>2595797.7999999998</v>
      </c>
      <c r="AC106" s="9">
        <f>IFERROR(Ohj.lask.[[#This Row],[Pisteet 7]]/Ohj.lask.[[#Totals],[Pisteet 7]],0)</f>
        <v>1.4067301443443134E-2</v>
      </c>
      <c r="AD106" s="16">
        <f>ROUND(IFERROR('1.1 Jakotaulu'!M$21*Ohj.lask.[[#This Row],[%-osuus 7]],0),0)</f>
        <v>113340</v>
      </c>
      <c r="AE106" s="12">
        <f>IFERROR(Ohj.lask.[[#This Row],[Jaettava € 8]]/Ohj.lask.[[#Totals],[Jaettava € 8]],"")</f>
        <v>1.9193778677601275E-2</v>
      </c>
      <c r="AF10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40760964</v>
      </c>
      <c r="AG106" s="102">
        <v>0</v>
      </c>
      <c r="AH106" s="102">
        <v>30000</v>
      </c>
      <c r="AI106" s="102">
        <v>0</v>
      </c>
      <c r="AJ106" s="102">
        <v>0</v>
      </c>
      <c r="AK106" s="102">
        <v>40000</v>
      </c>
      <c r="AL106" s="107">
        <v>0</v>
      </c>
      <c r="AM106" s="107">
        <v>81834</v>
      </c>
      <c r="AN10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151834</v>
      </c>
      <c r="AO106" s="10">
        <f>Ohj.lask.[[#This Row],[Jaettava € 1]]+Ohj.lask.[[#This Row],[Harkinnanvarainen korotus 8, €]]</f>
        <v>27750896</v>
      </c>
      <c r="AP106" s="102">
        <f>Ohj.lask.[[#This Row],[Jaettava € 2]]</f>
        <v>8946880</v>
      </c>
      <c r="AQ106" s="10">
        <f>Ohj.lask.[[#This Row],[Jaettava € 3]]+Ohj.lask.[[#This Row],[Jaettava € 4]]+Ohj.lask.[[#This Row],[Jaettava € 5]]+Ohj.lask.[[#This Row],[Jaettava € 6]]+Ohj.lask.[[#This Row],[Jaettava € 7]]</f>
        <v>4215022</v>
      </c>
      <c r="AR106" s="33">
        <f>Ohj.lask.[[#This Row],[Jaettava € 8]]+Ohj.lask.[[#This Row],[Harkinnanvarainen korotus 8, €]]</f>
        <v>40912798</v>
      </c>
      <c r="AS106" s="33">
        <v>0</v>
      </c>
      <c r="AT106" s="16">
        <f>Ohj.lask.[[#This Row],[Perus-, suoritus- ja vaikuttavuusrahoitus yhteensä, €]]+Ohj.lask.[[#This Row],[Alv-korvaus, €]]</f>
        <v>40912798</v>
      </c>
    </row>
    <row r="107" spans="1:46" ht="12.75" x14ac:dyDescent="0.2">
      <c r="A107" s="3" t="s">
        <v>219</v>
      </c>
      <c r="B107" s="7" t="s">
        <v>97</v>
      </c>
      <c r="C107" s="96" t="s">
        <v>214</v>
      </c>
      <c r="D107" s="96" t="s">
        <v>324</v>
      </c>
      <c r="E107" s="96" t="s">
        <v>373</v>
      </c>
      <c r="F107" s="104">
        <v>1814</v>
      </c>
      <c r="G107" s="106">
        <f>Ohj.lask.[[#This Row],[Tavoitteelliset opiskelija-vuodet]]-Ohj.lask.[[#This Row],[Järjestämisluvan opisk.vuosien vähimmäismäärä]]</f>
        <v>565</v>
      </c>
      <c r="H107" s="32">
        <v>2379</v>
      </c>
      <c r="I107" s="8">
        <f>IFERROR(VLOOKUP($A107,'2.1 Toteut. op.vuodet'!$A:$T,COLUMN('2.1 Toteut. op.vuodet'!S:S),FALSE),0)</f>
        <v>1.0564040187399282</v>
      </c>
      <c r="J107" s="74">
        <f t="shared" si="3"/>
        <v>2513.1999999999998</v>
      </c>
      <c r="K107" s="9">
        <f>IFERROR(Ohj.lask.[[#This Row],[Painotetut opiskelija-vuodet]]/Ohj.lask.[[#Totals],[Painotetut opiskelija-vuodet]],0)</f>
        <v>1.1595577698029599E-2</v>
      </c>
      <c r="L107" s="10">
        <f>ROUND(IFERROR('1.1 Jakotaulu'!L$12*Ohj.lask.[[#This Row],[%-osuus 1]],0),0)</f>
        <v>17150973</v>
      </c>
      <c r="M107" s="132">
        <f>IFERROR(ROUND(VLOOKUP($A107,'2.2 Tutk. ja osien pain. pist.'!$A:$Q,COLUMN('2.2 Tutk. ja osien pain. pist.'!O:O),FALSE),1),0)</f>
        <v>220972.1</v>
      </c>
      <c r="N107" s="9">
        <f>IFERROR(Ohj.lask.[[#This Row],[Painotetut pisteet 2]]/Ohj.lask.[[#Totals],[Painotetut pisteet 2]],0)</f>
        <v>1.442490995402286E-2</v>
      </c>
      <c r="O107" s="16">
        <f>ROUND(IFERROR('1.1 Jakotaulu'!K$13*Ohj.lask.[[#This Row],[%-osuus 2]],0),0)</f>
        <v>6198470</v>
      </c>
      <c r="P107" s="133">
        <f>IFERROR(ROUND(VLOOKUP($A107,'2.3 Työll. ja jatko-opisk.'!$A:$Z,COLUMN('2.3 Työll. ja jatko-opisk.'!L:L),FALSE),1),0)</f>
        <v>4598</v>
      </c>
      <c r="Q107" s="13">
        <f>IFERROR(Ohj.lask.[[#This Row],[Painotetut pisteet 3]]/Ohj.lask.[[#Totals],[Painotetut pisteet 3]],0)</f>
        <v>1.4711905188522277E-2</v>
      </c>
      <c r="R107" s="10">
        <f>ROUND(IFERROR('1.1 Jakotaulu'!L$15*Ohj.lask.[[#This Row],[%-osuus 3]],0),0)</f>
        <v>2212628</v>
      </c>
      <c r="S107" s="132">
        <f>IFERROR(ROUND(VLOOKUP($A107,'2.4 Aloittaneet palaute'!$A:$I,COLUMN('2.4 Aloittaneet palaute'!H:H),FALSE),1),0)</f>
        <v>28022.3</v>
      </c>
      <c r="T107" s="13">
        <f>IFERROR(Ohj.lask.[[#This Row],[Painotetut pisteet 4]]/Ohj.lask.[[#Totals],[Painotetut pisteet 4]],0)</f>
        <v>1.6811075873940717E-2</v>
      </c>
      <c r="U107" s="16">
        <f>ROUND(IFERROR('1.1 Jakotaulu'!M$17*Ohj.lask.[[#This Row],[%-osuus 4]],0),0)</f>
        <v>135447</v>
      </c>
      <c r="V107" s="132">
        <f>IFERROR(ROUND(VLOOKUP($A107,'2.5 Päättäneet palaute'!$A:$Z,COLUMN('2.5 Päättäneet palaute'!X:X),FALSE),1),0)</f>
        <v>151268.20000000001</v>
      </c>
      <c r="W107" s="13">
        <f>IFERROR(Ohj.lask.[[#This Row],[Painotetut pisteet 5]]/Ohj.lask.[[#Totals],[Painotetut pisteet 5]],0)</f>
        <v>1.479043854186775E-2</v>
      </c>
      <c r="X107" s="16">
        <f>ROUND(IFERROR('1.1 Jakotaulu'!M$18*Ohj.lask.[[#This Row],[%-osuus 5]],0),0)</f>
        <v>357499</v>
      </c>
      <c r="Y107" s="132">
        <f>IFERROR(ROUND(VLOOKUP($A107,'2.6 Työpaikkaohjaajakysely'!B:J,COLUMN('2.6 Työpaikkaohjaajakysely'!H:H),FALSE),1),0)</f>
        <v>7174054</v>
      </c>
      <c r="Z107" s="9">
        <f>IFERROR(Ohj.lask.[[#This Row],[Painotetut pisteet 6]]/Ohj.lask.[[#Totals],[Painotetut pisteet 6]],0)</f>
        <v>2.1137025849947273E-2</v>
      </c>
      <c r="AA107" s="16">
        <f>ROUND(IFERROR('1.1 Jakotaulu'!M$20*Ohj.lask.[[#This Row],[%-osuus 6]],0),0)</f>
        <v>510902</v>
      </c>
      <c r="AB107" s="132">
        <f>IFERROR(ROUND(VLOOKUP($A107,'2.7 Työpaikkakysely'!B:H,COLUMN('2.7 Työpaikkakysely'!F:F),FALSE),1),0)</f>
        <v>4108744.3</v>
      </c>
      <c r="AC107" s="9">
        <f>IFERROR(Ohj.lask.[[#This Row],[Pisteet 7]]/Ohj.lask.[[#Totals],[Pisteet 7]],0)</f>
        <v>2.2266350877610246E-2</v>
      </c>
      <c r="AD107" s="16">
        <f>ROUND(IFERROR('1.1 Jakotaulu'!M$21*Ohj.lask.[[#This Row],[%-osuus 7]],0),0)</f>
        <v>179400</v>
      </c>
      <c r="AE107" s="12">
        <f>IFERROR(Ohj.lask.[[#This Row],[Jaettava € 8]]/Ohj.lask.[[#Totals],[Jaettava € 8]],"")</f>
        <v>1.2594003751919221E-2</v>
      </c>
      <c r="AF10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26745319</v>
      </c>
      <c r="AG107" s="102">
        <v>0</v>
      </c>
      <c r="AH107" s="102">
        <v>0</v>
      </c>
      <c r="AI107" s="102">
        <v>0</v>
      </c>
      <c r="AJ107" s="102">
        <v>0</v>
      </c>
      <c r="AK107" s="102">
        <v>50000</v>
      </c>
      <c r="AL107" s="107">
        <v>0</v>
      </c>
      <c r="AM107" s="107">
        <v>116236</v>
      </c>
      <c r="AN10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166236</v>
      </c>
      <c r="AO107" s="10">
        <f>Ohj.lask.[[#This Row],[Jaettava € 1]]+Ohj.lask.[[#This Row],[Harkinnanvarainen korotus 8, €]]</f>
        <v>17317209</v>
      </c>
      <c r="AP107" s="102">
        <f>Ohj.lask.[[#This Row],[Jaettava € 2]]</f>
        <v>6198470</v>
      </c>
      <c r="AQ107" s="10">
        <f>Ohj.lask.[[#This Row],[Jaettava € 3]]+Ohj.lask.[[#This Row],[Jaettava € 4]]+Ohj.lask.[[#This Row],[Jaettava € 5]]+Ohj.lask.[[#This Row],[Jaettava € 6]]+Ohj.lask.[[#This Row],[Jaettava € 7]]</f>
        <v>3395876</v>
      </c>
      <c r="AR107" s="33">
        <f>Ohj.lask.[[#This Row],[Jaettava € 8]]+Ohj.lask.[[#This Row],[Harkinnanvarainen korotus 8, €]]</f>
        <v>26911555</v>
      </c>
      <c r="AS107" s="33">
        <v>0</v>
      </c>
      <c r="AT107" s="16">
        <f>Ohj.lask.[[#This Row],[Perus-, suoritus- ja vaikuttavuusrahoitus yhteensä, €]]+Ohj.lask.[[#This Row],[Alv-korvaus, €]]</f>
        <v>26911555</v>
      </c>
    </row>
    <row r="108" spans="1:46" ht="12.75" x14ac:dyDescent="0.2">
      <c r="A108" s="3" t="s">
        <v>218</v>
      </c>
      <c r="B108" s="7" t="s">
        <v>98</v>
      </c>
      <c r="C108" s="7" t="s">
        <v>177</v>
      </c>
      <c r="D108" s="7" t="s">
        <v>324</v>
      </c>
      <c r="E108" s="7" t="s">
        <v>373</v>
      </c>
      <c r="F108" s="105">
        <v>5625</v>
      </c>
      <c r="G108" s="106">
        <f>Ohj.lask.[[#This Row],[Tavoitteelliset opiskelija-vuodet]]-Ohj.lask.[[#This Row],[Järjestämisluvan opisk.vuosien vähimmäismäärä]]</f>
        <v>435</v>
      </c>
      <c r="H108" s="32">
        <v>6060</v>
      </c>
      <c r="I108" s="8">
        <f>IFERROR(VLOOKUP($A108,'2.1 Toteut. op.vuodet'!$A:$T,COLUMN('2.1 Toteut. op.vuodet'!S:S),FALSE),0)</f>
        <v>1.1218994773860924</v>
      </c>
      <c r="J108" s="74">
        <f t="shared" si="3"/>
        <v>6798.7</v>
      </c>
      <c r="K108" s="9">
        <f>IFERROR(Ohj.lask.[[#This Row],[Painotetut opiskelija-vuodet]]/Ohj.lask.[[#Totals],[Painotetut opiskelija-vuodet]],0)</f>
        <v>3.1368316924874198E-2</v>
      </c>
      <c r="L108" s="10">
        <f>ROUND(IFERROR('1.1 Jakotaulu'!L$12*Ohj.lask.[[#This Row],[%-osuus 1]],0),0)</f>
        <v>46396752</v>
      </c>
      <c r="M108" s="132">
        <f>IFERROR(ROUND(VLOOKUP($A108,'2.2 Tutk. ja osien pain. pist.'!$A:$Q,COLUMN('2.2 Tutk. ja osien pain. pist.'!O:O),FALSE),1),0)</f>
        <v>484116.6</v>
      </c>
      <c r="N108" s="9">
        <f>IFERROR(Ohj.lask.[[#This Row],[Painotetut pisteet 2]]/Ohj.lask.[[#Totals],[Painotetut pisteet 2]],0)</f>
        <v>3.160280579425051E-2</v>
      </c>
      <c r="O108" s="16">
        <f>ROUND(IFERROR('1.1 Jakotaulu'!K$13*Ohj.lask.[[#This Row],[%-osuus 2]],0),0)</f>
        <v>13579915</v>
      </c>
      <c r="P108" s="133">
        <f>IFERROR(ROUND(VLOOKUP($A108,'2.3 Työll. ja jatko-opisk.'!$A:$Z,COLUMN('2.3 Työll. ja jatko-opisk.'!L:L),FALSE),1),0)</f>
        <v>10384.299999999999</v>
      </c>
      <c r="Q108" s="9">
        <f>IFERROR(Ohj.lask.[[#This Row],[Painotetut pisteet 3]]/Ohj.lask.[[#Totals],[Painotetut pisteet 3]],0)</f>
        <v>3.3225932372590659E-2</v>
      </c>
      <c r="R108" s="10">
        <f>ROUND(IFERROR('1.1 Jakotaulu'!L$15*Ohj.lask.[[#This Row],[%-osuus 3]],0),0)</f>
        <v>4997084</v>
      </c>
      <c r="S108" s="132">
        <f>IFERROR(ROUND(VLOOKUP($A108,'2.4 Aloittaneet palaute'!$A:$I,COLUMN('2.4 Aloittaneet palaute'!H:H),FALSE),1),0)</f>
        <v>69291.8</v>
      </c>
      <c r="T108" s="13">
        <f>IFERROR(Ohj.lask.[[#This Row],[Painotetut pisteet 4]]/Ohj.lask.[[#Totals],[Painotetut pisteet 4]],0)</f>
        <v>4.1569382500434487E-2</v>
      </c>
      <c r="U108" s="16">
        <f>ROUND(IFERROR('1.1 Jakotaulu'!M$17*Ohj.lask.[[#This Row],[%-osuus 4]],0),0)</f>
        <v>334924</v>
      </c>
      <c r="V108" s="132">
        <f>IFERROR(ROUND(VLOOKUP($A108,'2.5 Päättäneet palaute'!$A:$Z,COLUMN('2.5 Päättäneet palaute'!X:X),FALSE),1),0)</f>
        <v>370191.8</v>
      </c>
      <c r="W108" s="13">
        <f>IFERROR(Ohj.lask.[[#This Row],[Painotetut pisteet 5]]/Ohj.lask.[[#Totals],[Painotetut pisteet 5]],0)</f>
        <v>3.6195968925414573E-2</v>
      </c>
      <c r="X108" s="16">
        <f>ROUND(IFERROR('1.1 Jakotaulu'!M$18*Ohj.lask.[[#This Row],[%-osuus 5]],0),0)</f>
        <v>874891</v>
      </c>
      <c r="Y108" s="132">
        <f>IFERROR(ROUND(VLOOKUP($A108,'2.6 Työpaikkaohjaajakysely'!B:J,COLUMN('2.6 Työpaikkaohjaajakysely'!H:H),FALSE),1),0)</f>
        <v>17799273.399999999</v>
      </c>
      <c r="Z108" s="9">
        <f>IFERROR(Ohj.lask.[[#This Row],[Painotetut pisteet 6]]/Ohj.lask.[[#Totals],[Painotetut pisteet 6]],0)</f>
        <v>5.244227349920684E-2</v>
      </c>
      <c r="AA108" s="16">
        <f>ROUND(IFERROR('1.1 Jakotaulu'!M$20*Ohj.lask.[[#This Row],[%-osuus 6]],0),0)</f>
        <v>1267580</v>
      </c>
      <c r="AB108" s="132">
        <f>IFERROR(ROUND(VLOOKUP($A108,'2.7 Työpaikkakysely'!B:H,COLUMN('2.7 Työpaikkakysely'!F:F),FALSE),1),0)</f>
        <v>7544559.5999999996</v>
      </c>
      <c r="AC108" s="9">
        <f>IFERROR(Ohj.lask.[[#This Row],[Pisteet 7]]/Ohj.lask.[[#Totals],[Pisteet 7]],0)</f>
        <v>4.0885924994320727E-2</v>
      </c>
      <c r="AD108" s="16">
        <f>ROUND(IFERROR('1.1 Jakotaulu'!M$21*Ohj.lask.[[#This Row],[%-osuus 7]],0),0)</f>
        <v>329417</v>
      </c>
      <c r="AE108" s="12">
        <f>IFERROR(Ohj.lask.[[#This Row],[Jaettava € 8]]/Ohj.lask.[[#Totals],[Jaettava € 8]],"")</f>
        <v>3.1916937118199901E-2</v>
      </c>
      <c r="AF10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67780563</v>
      </c>
      <c r="AG108" s="102">
        <v>0</v>
      </c>
      <c r="AH108" s="102">
        <v>65000</v>
      </c>
      <c r="AI108" s="102">
        <v>0</v>
      </c>
      <c r="AJ108" s="102">
        <v>0</v>
      </c>
      <c r="AK108" s="102">
        <v>80000</v>
      </c>
      <c r="AL108" s="107">
        <v>46000</v>
      </c>
      <c r="AM108" s="107">
        <v>221393</v>
      </c>
      <c r="AN10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412393</v>
      </c>
      <c r="AO108" s="10">
        <f>Ohj.lask.[[#This Row],[Jaettava € 1]]+Ohj.lask.[[#This Row],[Harkinnanvarainen korotus 8, €]]</f>
        <v>46809145</v>
      </c>
      <c r="AP108" s="102">
        <f>Ohj.lask.[[#This Row],[Jaettava € 2]]</f>
        <v>13579915</v>
      </c>
      <c r="AQ108" s="10">
        <f>Ohj.lask.[[#This Row],[Jaettava € 3]]+Ohj.lask.[[#This Row],[Jaettava € 4]]+Ohj.lask.[[#This Row],[Jaettava € 5]]+Ohj.lask.[[#This Row],[Jaettava € 6]]+Ohj.lask.[[#This Row],[Jaettava € 7]]</f>
        <v>7803896</v>
      </c>
      <c r="AR108" s="33">
        <f>Ohj.lask.[[#This Row],[Jaettava € 8]]+Ohj.lask.[[#This Row],[Harkinnanvarainen korotus 8, €]]</f>
        <v>68192956</v>
      </c>
      <c r="AS108" s="33">
        <v>0</v>
      </c>
      <c r="AT108" s="16">
        <f>Ohj.lask.[[#This Row],[Perus-, suoritus- ja vaikuttavuusrahoitus yhteensä, €]]+Ohj.lask.[[#This Row],[Alv-korvaus, €]]</f>
        <v>68192956</v>
      </c>
    </row>
    <row r="109" spans="1:46" ht="12.75" x14ac:dyDescent="0.2">
      <c r="A109" s="3" t="s">
        <v>217</v>
      </c>
      <c r="B109" s="7" t="s">
        <v>99</v>
      </c>
      <c r="C109" s="7" t="s">
        <v>199</v>
      </c>
      <c r="D109" s="7" t="s">
        <v>324</v>
      </c>
      <c r="E109" s="7" t="s">
        <v>373</v>
      </c>
      <c r="F109" s="105">
        <v>4109</v>
      </c>
      <c r="G109" s="106">
        <f>Ohj.lask.[[#This Row],[Tavoitteelliset opiskelija-vuodet]]-Ohj.lask.[[#This Row],[Järjestämisluvan opisk.vuosien vähimmäismäärä]]</f>
        <v>622</v>
      </c>
      <c r="H109" s="32">
        <v>4731</v>
      </c>
      <c r="I109" s="8">
        <f>IFERROR(VLOOKUP($A109,'2.1 Toteut. op.vuodet'!$A:$T,COLUMN('2.1 Toteut. op.vuodet'!S:S),FALSE),0)</f>
        <v>1.158117482872502</v>
      </c>
      <c r="J109" s="74">
        <f t="shared" si="3"/>
        <v>5479.1</v>
      </c>
      <c r="K109" s="9">
        <f>IFERROR(Ohj.lask.[[#This Row],[Painotetut opiskelija-vuodet]]/Ohj.lask.[[#Totals],[Painotetut opiskelija-vuodet]],0)</f>
        <v>2.527985427553477E-2</v>
      </c>
      <c r="L109" s="10">
        <f>ROUND(IFERROR('1.1 Jakotaulu'!L$12*Ohj.lask.[[#This Row],[%-osuus 1]],0),0)</f>
        <v>37391331</v>
      </c>
      <c r="M109" s="132">
        <f>IFERROR(ROUND(VLOOKUP($A109,'2.2 Tutk. ja osien pain. pist.'!$A:$Q,COLUMN('2.2 Tutk. ja osien pain. pist.'!O:O),FALSE),1),0)</f>
        <v>432346.6</v>
      </c>
      <c r="N109" s="9">
        <f>IFERROR(Ohj.lask.[[#This Row],[Painotetut pisteet 2]]/Ohj.lask.[[#Totals],[Painotetut pisteet 2]],0)</f>
        <v>2.8223295040088497E-2</v>
      </c>
      <c r="O109" s="16">
        <f>ROUND(IFERROR('1.1 Jakotaulu'!K$13*Ohj.lask.[[#This Row],[%-osuus 2]],0),0)</f>
        <v>12127719</v>
      </c>
      <c r="P109" s="133">
        <f>IFERROR(ROUND(VLOOKUP($A109,'2.3 Työll. ja jatko-opisk.'!$A:$Z,COLUMN('2.3 Työll. ja jatko-opisk.'!L:L),FALSE),1),0)</f>
        <v>8658.2000000000007</v>
      </c>
      <c r="Q109" s="9">
        <f>IFERROR(Ohj.lask.[[#This Row],[Painotetut pisteet 3]]/Ohj.lask.[[#Totals],[Painotetut pisteet 3]],0)</f>
        <v>2.7703048608800258E-2</v>
      </c>
      <c r="R109" s="10">
        <f>ROUND(IFERROR('1.1 Jakotaulu'!L$15*Ohj.lask.[[#This Row],[%-osuus 3]],0),0)</f>
        <v>4166458</v>
      </c>
      <c r="S109" s="132">
        <f>IFERROR(ROUND(VLOOKUP($A109,'2.4 Aloittaneet palaute'!$A:$I,COLUMN('2.4 Aloittaneet palaute'!H:H),FALSE),1),0)</f>
        <v>32925.800000000003</v>
      </c>
      <c r="T109" s="13">
        <f>IFERROR(Ohj.lask.[[#This Row],[Painotetut pisteet 4]]/Ohj.lask.[[#Totals],[Painotetut pisteet 4]],0)</f>
        <v>1.9752772684975797E-2</v>
      </c>
      <c r="U109" s="16">
        <f>ROUND(IFERROR('1.1 Jakotaulu'!M$17*Ohj.lask.[[#This Row],[%-osuus 4]],0),0)</f>
        <v>159148</v>
      </c>
      <c r="V109" s="132">
        <f>IFERROR(ROUND(VLOOKUP($A109,'2.5 Päättäneet palaute'!$A:$Z,COLUMN('2.5 Päättäneet palaute'!X:X),FALSE),1),0)</f>
        <v>295623.59999999998</v>
      </c>
      <c r="W109" s="13">
        <f>IFERROR(Ohj.lask.[[#This Row],[Painotetut pisteet 5]]/Ohj.lask.[[#Totals],[Painotetut pisteet 5]],0)</f>
        <v>2.890496936782281E-2</v>
      </c>
      <c r="X109" s="16">
        <f>ROUND(IFERROR('1.1 Jakotaulu'!M$18*Ohj.lask.[[#This Row],[%-osuus 5]],0),0)</f>
        <v>698661</v>
      </c>
      <c r="Y109" s="132">
        <f>IFERROR(ROUND(VLOOKUP($A109,'2.6 Työpaikkaohjaajakysely'!B:J,COLUMN('2.6 Työpaikkaohjaajakysely'!H:H),FALSE),1),0)</f>
        <v>9545146.6999999993</v>
      </c>
      <c r="Z109" s="9">
        <f>IFERROR(Ohj.lask.[[#This Row],[Painotetut pisteet 6]]/Ohj.lask.[[#Totals],[Painotetut pisteet 6]],0)</f>
        <v>2.8123012809694335E-2</v>
      </c>
      <c r="AA109" s="16">
        <f>ROUND(IFERROR('1.1 Jakotaulu'!M$20*Ohj.lask.[[#This Row],[%-osuus 6]],0),0)</f>
        <v>679760</v>
      </c>
      <c r="AB109" s="132">
        <f>IFERROR(ROUND(VLOOKUP($A109,'2.7 Työpaikkakysely'!B:H,COLUMN('2.7 Työpaikkakysely'!F:F),FALSE),1),0)</f>
        <v>7000846.5999999996</v>
      </c>
      <c r="AC109" s="9">
        <f>IFERROR(Ohj.lask.[[#This Row],[Pisteet 7]]/Ohj.lask.[[#Totals],[Pisteet 7]],0)</f>
        <v>3.7939403246856879E-2</v>
      </c>
      <c r="AD109" s="16">
        <f>ROUND(IFERROR('1.1 Jakotaulu'!M$21*Ohj.lask.[[#This Row],[%-osuus 7]],0),0)</f>
        <v>305677</v>
      </c>
      <c r="AE109" s="12">
        <f>IFERROR(Ohj.lask.[[#This Row],[Jaettava € 8]]/Ohj.lask.[[#Totals],[Jaettava € 8]],"")</f>
        <v>2.6147728363808239E-2</v>
      </c>
      <c r="AF10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55528754</v>
      </c>
      <c r="AG109" s="102">
        <v>0</v>
      </c>
      <c r="AH109" s="102">
        <v>0</v>
      </c>
      <c r="AI109" s="102">
        <v>0</v>
      </c>
      <c r="AJ109" s="102">
        <v>0</v>
      </c>
      <c r="AK109" s="102">
        <v>45000</v>
      </c>
      <c r="AL109" s="107">
        <v>6000</v>
      </c>
      <c r="AM109" s="107">
        <v>187554</v>
      </c>
      <c r="AN10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238554</v>
      </c>
      <c r="AO109" s="10">
        <f>Ohj.lask.[[#This Row],[Jaettava € 1]]+Ohj.lask.[[#This Row],[Harkinnanvarainen korotus 8, €]]</f>
        <v>37629885</v>
      </c>
      <c r="AP109" s="102">
        <f>Ohj.lask.[[#This Row],[Jaettava € 2]]</f>
        <v>12127719</v>
      </c>
      <c r="AQ109" s="10">
        <f>Ohj.lask.[[#This Row],[Jaettava € 3]]+Ohj.lask.[[#This Row],[Jaettava € 4]]+Ohj.lask.[[#This Row],[Jaettava € 5]]+Ohj.lask.[[#This Row],[Jaettava € 6]]+Ohj.lask.[[#This Row],[Jaettava € 7]]</f>
        <v>6009704</v>
      </c>
      <c r="AR109" s="33">
        <f>Ohj.lask.[[#This Row],[Jaettava € 8]]+Ohj.lask.[[#This Row],[Harkinnanvarainen korotus 8, €]]</f>
        <v>55767308</v>
      </c>
      <c r="AS109" s="33">
        <v>0</v>
      </c>
      <c r="AT109" s="16">
        <f>Ohj.lask.[[#This Row],[Perus-, suoritus- ja vaikuttavuusrahoitus yhteensä, €]]+Ohj.lask.[[#This Row],[Alv-korvaus, €]]</f>
        <v>55767308</v>
      </c>
    </row>
    <row r="110" spans="1:46" ht="12.75" x14ac:dyDescent="0.2">
      <c r="A110" s="3" t="s">
        <v>216</v>
      </c>
      <c r="B110" s="7" t="s">
        <v>100</v>
      </c>
      <c r="C110" s="7" t="s">
        <v>173</v>
      </c>
      <c r="D110" s="7" t="s">
        <v>325</v>
      </c>
      <c r="E110" s="7" t="s">
        <v>373</v>
      </c>
      <c r="F110" s="105">
        <v>1564</v>
      </c>
      <c r="G110" s="106">
        <f>Ohj.lask.[[#This Row],[Tavoitteelliset opiskelija-vuodet]]-Ohj.lask.[[#This Row],[Järjestämisluvan opisk.vuosien vähimmäismäärä]]</f>
        <v>552</v>
      </c>
      <c r="H110" s="32">
        <v>2116</v>
      </c>
      <c r="I110" s="8">
        <f>IFERROR(VLOOKUP($A110,'2.1 Toteut. op.vuodet'!$A:$T,COLUMN('2.1 Toteut. op.vuodet'!S:S),FALSE),0)</f>
        <v>1.0752323599050706</v>
      </c>
      <c r="J110" s="74">
        <f t="shared" si="3"/>
        <v>2275.1999999999998</v>
      </c>
      <c r="K110" s="9">
        <f>IFERROR(Ohj.lask.[[#This Row],[Painotetut opiskelija-vuodet]]/Ohj.lask.[[#Totals],[Painotetut opiskelija-vuodet]],0)</f>
        <v>1.049747667458099E-2</v>
      </c>
      <c r="L110" s="10">
        <f>ROUND(IFERROR('1.1 Jakotaulu'!L$12*Ohj.lask.[[#This Row],[%-osuus 1]],0),0)</f>
        <v>15526776</v>
      </c>
      <c r="M110" s="132">
        <f>IFERROR(ROUND(VLOOKUP($A110,'2.2 Tutk. ja osien pain. pist.'!$A:$Q,COLUMN('2.2 Tutk. ja osien pain. pist.'!O:O),FALSE),1),0)</f>
        <v>181282.4</v>
      </c>
      <c r="N110" s="9">
        <f>IFERROR(Ohj.lask.[[#This Row],[Painotetut pisteet 2]]/Ohj.lask.[[#Totals],[Painotetut pisteet 2]],0)</f>
        <v>1.1833993052739028E-2</v>
      </c>
      <c r="O110" s="16">
        <f>ROUND(IFERROR('1.1 Jakotaulu'!K$13*Ohj.lask.[[#This Row],[%-osuus 2]],0),0)</f>
        <v>5085138</v>
      </c>
      <c r="P110" s="133">
        <f>IFERROR(ROUND(VLOOKUP($A110,'2.3 Työll. ja jatko-opisk.'!$A:$Z,COLUMN('2.3 Työll. ja jatko-opisk.'!L:L),FALSE),1),0)</f>
        <v>3918.5</v>
      </c>
      <c r="Q110" s="9">
        <f>IFERROR(Ohj.lask.[[#This Row],[Painotetut pisteet 3]]/Ohj.lask.[[#Totals],[Painotetut pisteet 3]],0)</f>
        <v>1.2537755650549052E-2</v>
      </c>
      <c r="R110" s="10">
        <f>ROUND(IFERROR('1.1 Jakotaulu'!L$15*Ohj.lask.[[#This Row],[%-osuus 3]],0),0)</f>
        <v>1885642</v>
      </c>
      <c r="S110" s="132">
        <f>IFERROR(ROUND(VLOOKUP($A110,'2.4 Aloittaneet palaute'!$A:$I,COLUMN('2.4 Aloittaneet palaute'!H:H),FALSE),1),0)</f>
        <v>17256.400000000001</v>
      </c>
      <c r="T110" s="13">
        <f>IFERROR(Ohj.lask.[[#This Row],[Painotetut pisteet 4]]/Ohj.lask.[[#Totals],[Painotetut pisteet 4]],0)</f>
        <v>1.0352421097164423E-2</v>
      </c>
      <c r="U110" s="16">
        <f>ROUND(IFERROR('1.1 Jakotaulu'!M$17*Ohj.lask.[[#This Row],[%-osuus 4]],0),0)</f>
        <v>83409</v>
      </c>
      <c r="V110" s="132">
        <f>IFERROR(ROUND(VLOOKUP($A110,'2.5 Päättäneet palaute'!$A:$Z,COLUMN('2.5 Päättäneet palaute'!X:X),FALSE),1),0)</f>
        <v>132433.1</v>
      </c>
      <c r="W110" s="13">
        <f>IFERROR(Ohj.lask.[[#This Row],[Painotetut pisteet 5]]/Ohj.lask.[[#Totals],[Painotetut pisteet 5]],0)</f>
        <v>1.2948812945873791E-2</v>
      </c>
      <c r="X110" s="16">
        <f>ROUND(IFERROR('1.1 Jakotaulu'!M$18*Ohj.lask.[[#This Row],[%-osuus 5]],0),0)</f>
        <v>312985</v>
      </c>
      <c r="Y110" s="132">
        <f>IFERROR(ROUND(VLOOKUP($A110,'2.6 Työpaikkaohjaajakysely'!B:J,COLUMN('2.6 Työpaikkaohjaajakysely'!H:H),FALSE),1),0)</f>
        <v>5003466.5</v>
      </c>
      <c r="Z110" s="9">
        <f>IFERROR(Ohj.lask.[[#This Row],[Painotetut pisteet 6]]/Ohj.lask.[[#Totals],[Painotetut pisteet 6]],0)</f>
        <v>1.4741790450677568E-2</v>
      </c>
      <c r="AA110" s="16">
        <f>ROUND(IFERROR('1.1 Jakotaulu'!M$20*Ohj.lask.[[#This Row],[%-osuus 6]],0),0)</f>
        <v>356323</v>
      </c>
      <c r="AB110" s="132">
        <f>IFERROR(ROUND(VLOOKUP($A110,'2.7 Työpaikkakysely'!B:H,COLUMN('2.7 Työpaikkakysely'!F:F),FALSE),1),0)</f>
        <v>4983580</v>
      </c>
      <c r="AC110" s="9">
        <f>IFERROR(Ohj.lask.[[#This Row],[Pisteet 7]]/Ohj.lask.[[#Totals],[Pisteet 7]],0)</f>
        <v>2.7007312406041154E-2</v>
      </c>
      <c r="AD110" s="16">
        <f>ROUND(IFERROR('1.1 Jakotaulu'!M$21*Ohj.lask.[[#This Row],[%-osuus 7]],0),0)</f>
        <v>217598</v>
      </c>
      <c r="AE110" s="12">
        <f>IFERROR(Ohj.lask.[[#This Row],[Jaettava € 8]]/Ohj.lask.[[#Totals],[Jaettava € 8]],"")</f>
        <v>1.1050698457683614E-2</v>
      </c>
      <c r="AF11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23467871</v>
      </c>
      <c r="AG110" s="102">
        <v>0</v>
      </c>
      <c r="AH110" s="102">
        <v>0</v>
      </c>
      <c r="AI110" s="102">
        <v>0</v>
      </c>
      <c r="AJ110" s="102">
        <v>0</v>
      </c>
      <c r="AK110" s="102">
        <v>54000</v>
      </c>
      <c r="AL110" s="107">
        <v>0</v>
      </c>
      <c r="AM110" s="107">
        <v>29785</v>
      </c>
      <c r="AN11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83785</v>
      </c>
      <c r="AO110" s="10">
        <f>Ohj.lask.[[#This Row],[Jaettava € 1]]+Ohj.lask.[[#This Row],[Harkinnanvarainen korotus 8, €]]</f>
        <v>15610561</v>
      </c>
      <c r="AP110" s="102">
        <f>Ohj.lask.[[#This Row],[Jaettava € 2]]</f>
        <v>5085138</v>
      </c>
      <c r="AQ110" s="10">
        <f>Ohj.lask.[[#This Row],[Jaettava € 3]]+Ohj.lask.[[#This Row],[Jaettava € 4]]+Ohj.lask.[[#This Row],[Jaettava € 5]]+Ohj.lask.[[#This Row],[Jaettava € 6]]+Ohj.lask.[[#This Row],[Jaettava € 7]]</f>
        <v>2855957</v>
      </c>
      <c r="AR110" s="33">
        <f>Ohj.lask.[[#This Row],[Jaettava € 8]]+Ohj.lask.[[#This Row],[Harkinnanvarainen korotus 8, €]]</f>
        <v>23551656</v>
      </c>
      <c r="AS110" s="33">
        <v>738263</v>
      </c>
      <c r="AT110" s="16">
        <f>Ohj.lask.[[#This Row],[Perus-, suoritus- ja vaikuttavuusrahoitus yhteensä, €]]+Ohj.lask.[[#This Row],[Alv-korvaus, €]]</f>
        <v>24289919</v>
      </c>
    </row>
    <row r="111" spans="1:46" ht="12.75" x14ac:dyDescent="0.2">
      <c r="A111" s="3" t="s">
        <v>215</v>
      </c>
      <c r="B111" s="7" t="s">
        <v>146</v>
      </c>
      <c r="C111" s="7" t="s">
        <v>214</v>
      </c>
      <c r="D111" s="7" t="s">
        <v>325</v>
      </c>
      <c r="E111" s="7" t="s">
        <v>373</v>
      </c>
      <c r="F111" s="105">
        <v>49</v>
      </c>
      <c r="G111" s="106">
        <f>Ohj.lask.[[#This Row],[Tavoitteelliset opiskelija-vuodet]]-Ohj.lask.[[#This Row],[Järjestämisluvan opisk.vuosien vähimmäismäärä]]</f>
        <v>4</v>
      </c>
      <c r="H111" s="32">
        <v>53</v>
      </c>
      <c r="I111" s="8">
        <f>IFERROR(VLOOKUP($A111,'2.1 Toteut. op.vuodet'!$A:$T,COLUMN('2.1 Toteut. op.vuodet'!S:S),FALSE),0)</f>
        <v>1.0727907578239537</v>
      </c>
      <c r="J111" s="74">
        <f t="shared" si="3"/>
        <v>56.9</v>
      </c>
      <c r="K111" s="9">
        <f>IFERROR(Ohj.lask.[[#This Row],[Painotetut opiskelija-vuodet]]/Ohj.lask.[[#Totals],[Painotetut opiskelija-vuodet]],0)</f>
        <v>2.6252919426145323E-4</v>
      </c>
      <c r="L111" s="10">
        <f>ROUND(IFERROR('1.1 Jakotaulu'!L$12*Ohj.lask.[[#This Row],[%-osuus 1]],0),0)</f>
        <v>388306</v>
      </c>
      <c r="M111" s="132">
        <f>IFERROR(ROUND(VLOOKUP($A111,'2.2 Tutk. ja osien pain. pist.'!$A:$Q,COLUMN('2.2 Tutk. ja osien pain. pist.'!O:O),FALSE),1),0)</f>
        <v>0</v>
      </c>
      <c r="N111" s="9">
        <f>IFERROR(Ohj.lask.[[#This Row],[Painotetut pisteet 2]]/Ohj.lask.[[#Totals],[Painotetut pisteet 2]],0)</f>
        <v>0</v>
      </c>
      <c r="O111" s="16">
        <f>ROUND(IFERROR('1.1 Jakotaulu'!K$13*Ohj.lask.[[#This Row],[%-osuus 2]],0),0)</f>
        <v>0</v>
      </c>
      <c r="P111" s="133">
        <f>IFERROR(ROUND(VLOOKUP($A111,'2.3 Työll. ja jatko-opisk.'!$A:$Z,COLUMN('2.3 Työll. ja jatko-opisk.'!L:L),FALSE),1),0)</f>
        <v>0</v>
      </c>
      <c r="Q111" s="9">
        <f>IFERROR(Ohj.lask.[[#This Row],[Painotetut pisteet 3]]/Ohj.lask.[[#Totals],[Painotetut pisteet 3]],0)</f>
        <v>0</v>
      </c>
      <c r="R111" s="10">
        <f>ROUND(IFERROR('1.1 Jakotaulu'!L$15*Ohj.lask.[[#This Row],[%-osuus 3]],0),0)</f>
        <v>0</v>
      </c>
      <c r="S111" s="132">
        <f>IFERROR(ROUND(VLOOKUP($A111,'2.4 Aloittaneet palaute'!$A:$I,COLUMN('2.4 Aloittaneet palaute'!H:H),FALSE),1),0)</f>
        <v>0</v>
      </c>
      <c r="T111" s="13">
        <f>IFERROR(Ohj.lask.[[#This Row],[Painotetut pisteet 4]]/Ohj.lask.[[#Totals],[Painotetut pisteet 4]],0)</f>
        <v>0</v>
      </c>
      <c r="U111" s="16">
        <f>ROUND(IFERROR('1.1 Jakotaulu'!M$17*Ohj.lask.[[#This Row],[%-osuus 4]],0),0)</f>
        <v>0</v>
      </c>
      <c r="V111" s="132">
        <f>IFERROR(ROUND(VLOOKUP($A111,'2.5 Päättäneet palaute'!$A:$Z,COLUMN('2.5 Päättäneet palaute'!X:X),FALSE),1),0)</f>
        <v>0</v>
      </c>
      <c r="W111" s="13">
        <f>IFERROR(Ohj.lask.[[#This Row],[Painotetut pisteet 5]]/Ohj.lask.[[#Totals],[Painotetut pisteet 5]],0)</f>
        <v>0</v>
      </c>
      <c r="X111" s="16">
        <f>ROUND(IFERROR('1.1 Jakotaulu'!M$18*Ohj.lask.[[#This Row],[%-osuus 5]],0),0)</f>
        <v>0</v>
      </c>
      <c r="Y111" s="132">
        <f>IFERROR(ROUND(VLOOKUP($A111,'2.6 Työpaikkaohjaajakysely'!B:J,COLUMN('2.6 Työpaikkaohjaajakysely'!H:H),FALSE),1),0)</f>
        <v>0</v>
      </c>
      <c r="Z111" s="9">
        <f>IFERROR(Ohj.lask.[[#This Row],[Painotetut pisteet 6]]/Ohj.lask.[[#Totals],[Painotetut pisteet 6]],0)</f>
        <v>0</v>
      </c>
      <c r="AA111" s="16">
        <f>ROUND(IFERROR('1.1 Jakotaulu'!M$20*Ohj.lask.[[#This Row],[%-osuus 6]],0),0)</f>
        <v>0</v>
      </c>
      <c r="AB111" s="132">
        <f>IFERROR(ROUND(VLOOKUP($A111,'2.7 Työpaikkakysely'!B:H,COLUMN('2.7 Työpaikkakysely'!F:F),FALSE),1),0)</f>
        <v>0</v>
      </c>
      <c r="AC111" s="9">
        <f>IFERROR(Ohj.lask.[[#This Row],[Pisteet 7]]/Ohj.lask.[[#Totals],[Pisteet 7]],0)</f>
        <v>0</v>
      </c>
      <c r="AD111" s="16">
        <f>ROUND(IFERROR('1.1 Jakotaulu'!M$21*Ohj.lask.[[#This Row],[%-osuus 7]],0),0)</f>
        <v>0</v>
      </c>
      <c r="AE111" s="12">
        <f>IFERROR(Ohj.lask.[[#This Row],[Jaettava € 8]]/Ohj.lask.[[#Totals],[Jaettava € 8]],"")</f>
        <v>1.8284796755995862E-4</v>
      </c>
      <c r="AF11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388306</v>
      </c>
      <c r="AG111" s="102">
        <v>6460000</v>
      </c>
      <c r="AH111" s="102">
        <v>0</v>
      </c>
      <c r="AI111" s="102">
        <v>0</v>
      </c>
      <c r="AJ111" s="102">
        <v>0</v>
      </c>
      <c r="AK111" s="102">
        <v>0</v>
      </c>
      <c r="AL111" s="107">
        <v>0</v>
      </c>
      <c r="AM111" s="107">
        <v>0</v>
      </c>
      <c r="AN11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6460000</v>
      </c>
      <c r="AO111" s="10">
        <f>Ohj.lask.[[#This Row],[Jaettava € 1]]+Ohj.lask.[[#This Row],[Harkinnanvarainen korotus 8, €]]</f>
        <v>6848306</v>
      </c>
      <c r="AP111" s="102">
        <f>Ohj.lask.[[#This Row],[Jaettava € 2]]</f>
        <v>0</v>
      </c>
      <c r="AQ111" s="10">
        <f>Ohj.lask.[[#This Row],[Jaettava € 3]]+Ohj.lask.[[#This Row],[Jaettava € 4]]+Ohj.lask.[[#This Row],[Jaettava € 5]]+Ohj.lask.[[#This Row],[Jaettava € 6]]+Ohj.lask.[[#This Row],[Jaettava € 7]]</f>
        <v>0</v>
      </c>
      <c r="AR111" s="33">
        <f>Ohj.lask.[[#This Row],[Jaettava € 8]]+Ohj.lask.[[#This Row],[Harkinnanvarainen korotus 8, €]]</f>
        <v>6848306</v>
      </c>
      <c r="AS111" s="33">
        <v>1168348</v>
      </c>
      <c r="AT111" s="16">
        <f>Ohj.lask.[[#This Row],[Perus-, suoritus- ja vaikuttavuusrahoitus yhteensä, €]]+Ohj.lask.[[#This Row],[Alv-korvaus, €]]</f>
        <v>8016654</v>
      </c>
    </row>
    <row r="112" spans="1:46" ht="12.75" x14ac:dyDescent="0.2">
      <c r="A112" s="3" t="s">
        <v>213</v>
      </c>
      <c r="B112" s="7" t="s">
        <v>101</v>
      </c>
      <c r="C112" s="7" t="s">
        <v>173</v>
      </c>
      <c r="D112" s="7" t="s">
        <v>325</v>
      </c>
      <c r="E112" s="7" t="s">
        <v>373</v>
      </c>
      <c r="F112" s="105">
        <v>27</v>
      </c>
      <c r="G112" s="106">
        <f>Ohj.lask.[[#This Row],[Tavoitteelliset opiskelija-vuodet]]-Ohj.lask.[[#This Row],[Järjestämisluvan opisk.vuosien vähimmäismäärä]]</f>
        <v>0</v>
      </c>
      <c r="H112" s="32">
        <v>27</v>
      </c>
      <c r="I112" s="8">
        <f>IFERROR(VLOOKUP($A112,'2.1 Toteut. op.vuodet'!$A:$T,COLUMN('2.1 Toteut. op.vuodet'!S:S),FALSE),0)</f>
        <v>1.1280525686977301</v>
      </c>
      <c r="J112" s="74">
        <f t="shared" si="3"/>
        <v>30.5</v>
      </c>
      <c r="K112" s="9">
        <f>IFERROR(Ohj.lask.[[#This Row],[Painotetut opiskelija-vuodet]]/Ohj.lask.[[#Totals],[Painotetut opiskelija-vuodet]],0)</f>
        <v>1.407230303158932E-4</v>
      </c>
      <c r="L112" s="10">
        <f>ROUND(IFERROR('1.1 Jakotaulu'!L$12*Ohj.lask.[[#This Row],[%-osuus 1]],0),0)</f>
        <v>208143</v>
      </c>
      <c r="M112" s="132">
        <f>IFERROR(ROUND(VLOOKUP($A112,'2.2 Tutk. ja osien pain. pist.'!$A:$Q,COLUMN('2.2 Tutk. ja osien pain. pist.'!O:O),FALSE),1),0)</f>
        <v>2802.3</v>
      </c>
      <c r="N112" s="9">
        <f>IFERROR(Ohj.lask.[[#This Row],[Painotetut pisteet 2]]/Ohj.lask.[[#Totals],[Painotetut pisteet 2]],0)</f>
        <v>1.829322578015879E-4</v>
      </c>
      <c r="O112" s="16">
        <f>ROUND(IFERROR('1.1 Jakotaulu'!K$13*Ohj.lask.[[#This Row],[%-osuus 2]],0),0)</f>
        <v>78607</v>
      </c>
      <c r="P112" s="133">
        <f>IFERROR(ROUND(VLOOKUP($A112,'2.3 Työll. ja jatko-opisk.'!$A:$Z,COLUMN('2.3 Työll. ja jatko-opisk.'!L:L),FALSE),1),0)</f>
        <v>87.2</v>
      </c>
      <c r="Q112" s="9">
        <f>IFERROR(Ohj.lask.[[#This Row],[Painotetut pisteet 3]]/Ohj.lask.[[#Totals],[Painotetut pisteet 3]],0)</f>
        <v>2.7900785829472436E-4</v>
      </c>
      <c r="R112" s="10">
        <f>ROUND(IFERROR('1.1 Jakotaulu'!L$15*Ohj.lask.[[#This Row],[%-osuus 3]],0),0)</f>
        <v>41962</v>
      </c>
      <c r="S112" s="132">
        <f>IFERROR(ROUND(VLOOKUP($A112,'2.4 Aloittaneet palaute'!$A:$I,COLUMN('2.4 Aloittaneet palaute'!H:H),FALSE),1),0)</f>
        <v>46.5</v>
      </c>
      <c r="T112" s="13">
        <f>IFERROR(Ohj.lask.[[#This Row],[Painotetut pisteet 4]]/Ohj.lask.[[#Totals],[Painotetut pisteet 4]],0)</f>
        <v>2.7896176550042051E-5</v>
      </c>
      <c r="U112" s="16">
        <f>ROUND(IFERROR('1.1 Jakotaulu'!M$17*Ohj.lask.[[#This Row],[%-osuus 4]],0),0)</f>
        <v>225</v>
      </c>
      <c r="V112" s="132">
        <f>IFERROR(ROUND(VLOOKUP($A112,'2.5 Päättäneet palaute'!$A:$Z,COLUMN('2.5 Päättäneet palaute'!X:X),FALSE),1),0)</f>
        <v>841.7</v>
      </c>
      <c r="W112" s="13">
        <f>IFERROR(Ohj.lask.[[#This Row],[Painotetut pisteet 5]]/Ohj.lask.[[#Totals],[Painotetut pisteet 5]],0)</f>
        <v>8.2298276311148567E-5</v>
      </c>
      <c r="X112" s="16">
        <f>ROUND(IFERROR('1.1 Jakotaulu'!M$18*Ohj.lask.[[#This Row],[%-osuus 5]],0),0)</f>
        <v>1989</v>
      </c>
      <c r="Y112" s="132">
        <f>IFERROR(ROUND(VLOOKUP($A112,'2.6 Työpaikkaohjaajakysely'!B:J,COLUMN('2.6 Työpaikkaohjaajakysely'!H:H),FALSE),1),0)</f>
        <v>0</v>
      </c>
      <c r="Z112" s="9">
        <f>IFERROR(Ohj.lask.[[#This Row],[Painotetut pisteet 6]]/Ohj.lask.[[#Totals],[Painotetut pisteet 6]],0)</f>
        <v>0</v>
      </c>
      <c r="AA112" s="16">
        <f>ROUND(IFERROR('1.1 Jakotaulu'!M$20*Ohj.lask.[[#This Row],[%-osuus 6]],0),0)</f>
        <v>0</v>
      </c>
      <c r="AB112" s="132">
        <f>IFERROR(ROUND(VLOOKUP($A112,'2.7 Työpaikkakysely'!B:H,COLUMN('2.7 Työpaikkakysely'!F:F),FALSE),1),0)</f>
        <v>0</v>
      </c>
      <c r="AC112" s="9">
        <f>IFERROR(Ohj.lask.[[#This Row],[Pisteet 7]]/Ohj.lask.[[#Totals],[Pisteet 7]],0)</f>
        <v>0</v>
      </c>
      <c r="AD112" s="16">
        <f>ROUND(IFERROR('1.1 Jakotaulu'!M$21*Ohj.lask.[[#This Row],[%-osuus 7]],0),0)</f>
        <v>0</v>
      </c>
      <c r="AE112" s="12">
        <f>IFERROR(Ohj.lask.[[#This Row],[Jaettava € 8]]/Ohj.lask.[[#Totals],[Jaettava € 8]],"")</f>
        <v>1.558285128551886E-4</v>
      </c>
      <c r="AF11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330926</v>
      </c>
      <c r="AG112" s="102">
        <v>325000</v>
      </c>
      <c r="AH112" s="102">
        <v>0</v>
      </c>
      <c r="AI112" s="102">
        <v>0</v>
      </c>
      <c r="AJ112" s="102">
        <v>0</v>
      </c>
      <c r="AK112" s="102">
        <v>0</v>
      </c>
      <c r="AL112" s="107">
        <v>0</v>
      </c>
      <c r="AM112" s="107">
        <v>0</v>
      </c>
      <c r="AN11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325000</v>
      </c>
      <c r="AO112" s="10">
        <f>Ohj.lask.[[#This Row],[Jaettava € 1]]+Ohj.lask.[[#This Row],[Harkinnanvarainen korotus 8, €]]</f>
        <v>533143</v>
      </c>
      <c r="AP112" s="102">
        <f>Ohj.lask.[[#This Row],[Jaettava € 2]]</f>
        <v>78607</v>
      </c>
      <c r="AQ112" s="10">
        <f>Ohj.lask.[[#This Row],[Jaettava € 3]]+Ohj.lask.[[#This Row],[Jaettava € 4]]+Ohj.lask.[[#This Row],[Jaettava € 5]]+Ohj.lask.[[#This Row],[Jaettava € 6]]+Ohj.lask.[[#This Row],[Jaettava € 7]]</f>
        <v>44176</v>
      </c>
      <c r="AR112" s="33">
        <f>Ohj.lask.[[#This Row],[Jaettava € 8]]+Ohj.lask.[[#This Row],[Harkinnanvarainen korotus 8, €]]</f>
        <v>655926</v>
      </c>
      <c r="AS112" s="33">
        <v>38558</v>
      </c>
      <c r="AT112" s="16">
        <f>Ohj.lask.[[#This Row],[Perus-, suoritus- ja vaikuttavuusrahoitus yhteensä, €]]+Ohj.lask.[[#This Row],[Alv-korvaus, €]]</f>
        <v>694484</v>
      </c>
    </row>
    <row r="113" spans="1:46" ht="12.75" x14ac:dyDescent="0.2">
      <c r="A113" s="3" t="s">
        <v>212</v>
      </c>
      <c r="B113" s="7" t="s">
        <v>130</v>
      </c>
      <c r="C113" s="7" t="s">
        <v>173</v>
      </c>
      <c r="D113" s="7" t="s">
        <v>325</v>
      </c>
      <c r="E113" s="7" t="s">
        <v>373</v>
      </c>
      <c r="F113" s="105">
        <v>20</v>
      </c>
      <c r="G113" s="106">
        <f>Ohj.lask.[[#This Row],[Tavoitteelliset opiskelija-vuodet]]-Ohj.lask.[[#This Row],[Järjestämisluvan opisk.vuosien vähimmäismäärä]]</f>
        <v>1</v>
      </c>
      <c r="H113" s="32">
        <v>21</v>
      </c>
      <c r="I113" s="8">
        <f>IFERROR(VLOOKUP($A113,'2.1 Toteut. op.vuodet'!$A:$T,COLUMN('2.1 Toteut. op.vuodet'!S:S),FALSE),0)</f>
        <v>0.99509999999999732</v>
      </c>
      <c r="J113" s="74">
        <f t="shared" si="3"/>
        <v>20.9</v>
      </c>
      <c r="K113" s="9">
        <f>IFERROR(Ohj.lask.[[#This Row],[Painotetut opiskelija-vuodet]]/Ohj.lask.[[#Totals],[Painotetut opiskelija-vuodet]],0)</f>
        <v>9.6429879790235003E-5</v>
      </c>
      <c r="L113" s="10">
        <f>ROUND(IFERROR('1.1 Jakotaulu'!L$12*Ohj.lask.[[#This Row],[%-osuus 1]],0),0)</f>
        <v>142629</v>
      </c>
      <c r="M113" s="132">
        <f>IFERROR(ROUND(VLOOKUP($A113,'2.2 Tutk. ja osien pain. pist.'!$A:$Q,COLUMN('2.2 Tutk. ja osien pain. pist.'!O:O),FALSE),1),0)</f>
        <v>1766.6</v>
      </c>
      <c r="N113" s="9">
        <f>IFERROR(Ohj.lask.[[#This Row],[Painotetut pisteet 2]]/Ohj.lask.[[#Totals],[Painotetut pisteet 2]],0)</f>
        <v>1.1532245892027447E-4</v>
      </c>
      <c r="O113" s="16">
        <f>ROUND(IFERROR('1.1 Jakotaulu'!K$13*Ohj.lask.[[#This Row],[%-osuus 2]],0),0)</f>
        <v>49555</v>
      </c>
      <c r="P113" s="133">
        <f>IFERROR(ROUND(VLOOKUP($A113,'2.3 Työll. ja jatko-opisk.'!$A:$Z,COLUMN('2.3 Työll. ja jatko-opisk.'!L:L),FALSE),1),0)</f>
        <v>35.299999999999997</v>
      </c>
      <c r="Q113" s="9">
        <f>IFERROR(Ohj.lask.[[#This Row],[Painotetut pisteet 3]]/Ohj.lask.[[#Totals],[Painotetut pisteet 3]],0)</f>
        <v>1.1294698850692395E-4</v>
      </c>
      <c r="R113" s="10">
        <f>ROUND(IFERROR('1.1 Jakotaulu'!L$15*Ohj.lask.[[#This Row],[%-osuus 3]],0),0)</f>
        <v>16987</v>
      </c>
      <c r="S113" s="132">
        <f>IFERROR(ROUND(VLOOKUP($A113,'2.4 Aloittaneet palaute'!$A:$I,COLUMN('2.4 Aloittaneet palaute'!H:H),FALSE),1),0)</f>
        <v>579.6</v>
      </c>
      <c r="T113" s="9">
        <f>IFERROR(Ohj.lask.[[#This Row],[Painotetut pisteet 4]]/Ohj.lask.[[#Totals],[Painotetut pisteet 4]],0)</f>
        <v>3.4771234254633057E-4</v>
      </c>
      <c r="U113" s="16">
        <f>ROUND(IFERROR('1.1 Jakotaulu'!M$17*Ohj.lask.[[#This Row],[%-osuus 4]],0),0)</f>
        <v>2802</v>
      </c>
      <c r="V113" s="132">
        <f>IFERROR(ROUND(VLOOKUP($A113,'2.5 Päättäneet palaute'!$A:$Z,COLUMN('2.5 Päättäneet palaute'!X:X),FALSE),1),0)</f>
        <v>2324</v>
      </c>
      <c r="W113" s="9">
        <f>IFERROR(Ohj.lask.[[#This Row],[Painotetut pisteet 5]]/Ohj.lask.[[#Totals],[Painotetut pisteet 5]],0)</f>
        <v>2.2723202346098284E-4</v>
      </c>
      <c r="X113" s="16">
        <f>ROUND(IFERROR('1.1 Jakotaulu'!M$18*Ohj.lask.[[#This Row],[%-osuus 5]],0),0)</f>
        <v>5492</v>
      </c>
      <c r="Y113" s="132">
        <f>IFERROR(ROUND(VLOOKUP($A113,'2.6 Työpaikkaohjaajakysely'!B:J,COLUMN('2.6 Työpaikkaohjaajakysely'!H:H),FALSE),1),0)</f>
        <v>6796.4</v>
      </c>
      <c r="Z113" s="9">
        <f>IFERROR(Ohj.lask.[[#This Row],[Painotetut pisteet 6]]/Ohj.lask.[[#Totals],[Painotetut pisteet 6]],0)</f>
        <v>2.0024338050226778E-5</v>
      </c>
      <c r="AA113" s="16">
        <f>ROUND(IFERROR('1.1 Jakotaulu'!M$20*Ohj.lask.[[#This Row],[%-osuus 6]],0),0)</f>
        <v>484</v>
      </c>
      <c r="AB113" s="132">
        <f>IFERROR(ROUND(VLOOKUP($A113,'2.7 Työpaikkakysely'!B:H,COLUMN('2.7 Työpaikkakysely'!F:F),FALSE),1),0)</f>
        <v>7977</v>
      </c>
      <c r="AC113" s="9">
        <f>IFERROR(Ohj.lask.[[#This Row],[Pisteet 7]]/Ohj.lask.[[#Totals],[Pisteet 7]],0)</f>
        <v>4.3229431666189822E-5</v>
      </c>
      <c r="AD113" s="16">
        <f>ROUND(IFERROR('1.1 Jakotaulu'!M$21*Ohj.lask.[[#This Row],[%-osuus 7]],0),0)</f>
        <v>348</v>
      </c>
      <c r="AE113" s="12">
        <f>IFERROR(Ohj.lask.[[#This Row],[Jaettava € 8]]/Ohj.lask.[[#Totals],[Jaettava € 8]],"")</f>
        <v>1.027930621067825E-4</v>
      </c>
      <c r="AF11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218297</v>
      </c>
      <c r="AG113" s="102">
        <v>0</v>
      </c>
      <c r="AH113" s="102">
        <v>0</v>
      </c>
      <c r="AI113" s="102">
        <v>0</v>
      </c>
      <c r="AJ113" s="102">
        <v>0</v>
      </c>
      <c r="AK113" s="102">
        <v>0</v>
      </c>
      <c r="AL113" s="107">
        <v>0</v>
      </c>
      <c r="AM113" s="107">
        <v>0</v>
      </c>
      <c r="AN11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13" s="10">
        <f>Ohj.lask.[[#This Row],[Jaettava € 1]]+Ohj.lask.[[#This Row],[Harkinnanvarainen korotus 8, €]]</f>
        <v>142629</v>
      </c>
      <c r="AP113" s="102">
        <f>Ohj.lask.[[#This Row],[Jaettava € 2]]</f>
        <v>49555</v>
      </c>
      <c r="AQ113" s="10">
        <f>Ohj.lask.[[#This Row],[Jaettava € 3]]+Ohj.lask.[[#This Row],[Jaettava € 4]]+Ohj.lask.[[#This Row],[Jaettava € 5]]+Ohj.lask.[[#This Row],[Jaettava € 6]]+Ohj.lask.[[#This Row],[Jaettava € 7]]</f>
        <v>26113</v>
      </c>
      <c r="AR113" s="33">
        <f>Ohj.lask.[[#This Row],[Jaettava € 8]]+Ohj.lask.[[#This Row],[Harkinnanvarainen korotus 8, €]]</f>
        <v>218297</v>
      </c>
      <c r="AS113" s="33">
        <v>15164</v>
      </c>
      <c r="AT113" s="16">
        <f>Ohj.lask.[[#This Row],[Perus-, suoritus- ja vaikuttavuusrahoitus yhteensä, €]]+Ohj.lask.[[#This Row],[Alv-korvaus, €]]</f>
        <v>233461</v>
      </c>
    </row>
    <row r="114" spans="1:46" ht="12.75" x14ac:dyDescent="0.2">
      <c r="A114" s="3" t="s">
        <v>211</v>
      </c>
      <c r="B114" s="7" t="s">
        <v>102</v>
      </c>
      <c r="C114" s="96" t="s">
        <v>200</v>
      </c>
      <c r="D114" s="96" t="s">
        <v>325</v>
      </c>
      <c r="E114" s="96" t="s">
        <v>373</v>
      </c>
      <c r="F114" s="104">
        <v>102</v>
      </c>
      <c r="G114" s="106">
        <f>Ohj.lask.[[#This Row],[Tavoitteelliset opiskelija-vuodet]]-Ohj.lask.[[#This Row],[Järjestämisluvan opisk.vuosien vähimmäismäärä]]</f>
        <v>6</v>
      </c>
      <c r="H114" s="32">
        <v>108</v>
      </c>
      <c r="I114" s="8">
        <f>IFERROR(VLOOKUP($A114,'2.1 Toteut. op.vuodet'!$A:$T,COLUMN('2.1 Toteut. op.vuodet'!S:S),FALSE),0)</f>
        <v>1.4256083547224923</v>
      </c>
      <c r="J114" s="74">
        <f t="shared" si="3"/>
        <v>154</v>
      </c>
      <c r="K114" s="9">
        <f>IFERROR(Ohj.lask.[[#This Row],[Painotetut opiskelija-vuodet]]/Ohj.lask.[[#Totals],[Painotetut opiskelija-vuodet]],0)</f>
        <v>7.1053595634910005E-4</v>
      </c>
      <c r="L114" s="10">
        <f>ROUND(IFERROR('1.1 Jakotaulu'!L$12*Ohj.lask.[[#This Row],[%-osuus 1]],0),0)</f>
        <v>1050951</v>
      </c>
      <c r="M114" s="132">
        <f>IFERROR(ROUND(VLOOKUP($A114,'2.2 Tutk. ja osien pain. pist.'!$A:$Q,COLUMN('2.2 Tutk. ja osien pain. pist.'!O:O),FALSE),1),0)</f>
        <v>8611.4</v>
      </c>
      <c r="N114" s="9">
        <f>IFERROR(Ohj.lask.[[#This Row],[Painotetut pisteet 2]]/Ohj.lask.[[#Totals],[Painotetut pisteet 2]],0)</f>
        <v>5.6214639575798229E-4</v>
      </c>
      <c r="O114" s="16">
        <f>ROUND(IFERROR('1.1 Jakotaulu'!K$13*Ohj.lask.[[#This Row],[%-osuus 2]],0),0)</f>
        <v>241558</v>
      </c>
      <c r="P114" s="133">
        <f>IFERROR(ROUND(VLOOKUP($A114,'2.3 Työll. ja jatko-opisk.'!$A:$Z,COLUMN('2.3 Työll. ja jatko-opisk.'!L:L),FALSE),1),0)</f>
        <v>240.8</v>
      </c>
      <c r="Q114" s="13">
        <f>IFERROR(Ohj.lask.[[#This Row],[Painotetut pisteet 3]]/Ohj.lask.[[#Totals],[Painotetut pisteet 3]],0)</f>
        <v>7.7047124171295445E-4</v>
      </c>
      <c r="R114" s="10">
        <f>ROUND(IFERROR('1.1 Jakotaulu'!L$15*Ohj.lask.[[#This Row],[%-osuus 3]],0),0)</f>
        <v>115877</v>
      </c>
      <c r="S114" s="132">
        <f>IFERROR(ROUND(VLOOKUP($A114,'2.4 Aloittaneet palaute'!$A:$I,COLUMN('2.4 Aloittaneet palaute'!H:H),FALSE),1),0)</f>
        <v>848.6</v>
      </c>
      <c r="T114" s="13">
        <f>IFERROR(Ohj.lask.[[#This Row],[Painotetut pisteet 4]]/Ohj.lask.[[#Totals],[Painotetut pisteet 4]],0)</f>
        <v>5.0909022409388572E-4</v>
      </c>
      <c r="U114" s="16">
        <f>ROUND(IFERROR('1.1 Jakotaulu'!M$17*Ohj.lask.[[#This Row],[%-osuus 4]],0),0)</f>
        <v>4102</v>
      </c>
      <c r="V114" s="132">
        <f>IFERROR(ROUND(VLOOKUP($A114,'2.5 Päättäneet palaute'!$A:$Z,COLUMN('2.5 Päättäneet palaute'!X:X),FALSE),1),0)</f>
        <v>5654.7</v>
      </c>
      <c r="W114" s="13">
        <f>IFERROR(Ohj.lask.[[#This Row],[Painotetut pisteet 5]]/Ohj.lask.[[#Totals],[Painotetut pisteet 5]],0)</f>
        <v>5.5289540579381226E-4</v>
      </c>
      <c r="X114" s="16">
        <f>ROUND(IFERROR('1.1 Jakotaulu'!M$18*Ohj.lask.[[#This Row],[%-osuus 5]],0),0)</f>
        <v>13364</v>
      </c>
      <c r="Y114" s="132">
        <f>IFERROR(ROUND(VLOOKUP($A114,'2.6 Työpaikkaohjaajakysely'!B:J,COLUMN('2.6 Työpaikkaohjaajakysely'!H:H),FALSE),1),0)</f>
        <v>391150.3</v>
      </c>
      <c r="Z114" s="9">
        <f>IFERROR(Ohj.lask.[[#This Row],[Painotetut pisteet 6]]/Ohj.lask.[[#Totals],[Painotetut pisteet 6]],0)</f>
        <v>1.1524521563839121E-3</v>
      </c>
      <c r="AA114" s="16">
        <f>ROUND(IFERROR('1.1 Jakotaulu'!M$20*Ohj.lask.[[#This Row],[%-osuus 6]],0),0)</f>
        <v>27856</v>
      </c>
      <c r="AB114" s="132">
        <f>IFERROR(ROUND(VLOOKUP($A114,'2.7 Työpaikkakysely'!B:H,COLUMN('2.7 Työpaikkakysely'!F:F),FALSE),1),0)</f>
        <v>227298</v>
      </c>
      <c r="AC114" s="9">
        <f>IFERROR(Ohj.lask.[[#This Row],[Pisteet 7]]/Ohj.lask.[[#Totals],[Pisteet 7]],0)</f>
        <v>1.2317868069276188E-3</v>
      </c>
      <c r="AD114" s="16">
        <f>ROUND(IFERROR('1.1 Jakotaulu'!M$21*Ohj.lask.[[#This Row],[%-osuus 7]],0),0)</f>
        <v>9924</v>
      </c>
      <c r="AE114" s="12">
        <f>IFERROR(Ohj.lask.[[#This Row],[Jaettava € 8]]/Ohj.lask.[[#Totals],[Jaettava € 8]],"")</f>
        <v>6.8920422670707467E-4</v>
      </c>
      <c r="AF11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1463632</v>
      </c>
      <c r="AG114" s="102">
        <v>0</v>
      </c>
      <c r="AH114" s="102">
        <v>0</v>
      </c>
      <c r="AI114" s="102">
        <v>0</v>
      </c>
      <c r="AJ114" s="102">
        <v>0</v>
      </c>
      <c r="AK114" s="102">
        <v>0</v>
      </c>
      <c r="AL114" s="107">
        <v>0</v>
      </c>
      <c r="AM114" s="107">
        <v>876</v>
      </c>
      <c r="AN11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876</v>
      </c>
      <c r="AO114" s="10">
        <f>Ohj.lask.[[#This Row],[Jaettava € 1]]+Ohj.lask.[[#This Row],[Harkinnanvarainen korotus 8, €]]</f>
        <v>1051827</v>
      </c>
      <c r="AP114" s="102">
        <f>Ohj.lask.[[#This Row],[Jaettava € 2]]</f>
        <v>241558</v>
      </c>
      <c r="AQ114" s="10">
        <f>Ohj.lask.[[#This Row],[Jaettava € 3]]+Ohj.lask.[[#This Row],[Jaettava € 4]]+Ohj.lask.[[#This Row],[Jaettava € 5]]+Ohj.lask.[[#This Row],[Jaettava € 6]]+Ohj.lask.[[#This Row],[Jaettava € 7]]</f>
        <v>171123</v>
      </c>
      <c r="AR114" s="33">
        <f>Ohj.lask.[[#This Row],[Jaettava € 8]]+Ohj.lask.[[#This Row],[Harkinnanvarainen korotus 8, €]]</f>
        <v>1464508</v>
      </c>
      <c r="AS114" s="33">
        <v>117824</v>
      </c>
      <c r="AT114" s="16">
        <f>Ohj.lask.[[#This Row],[Perus-, suoritus- ja vaikuttavuusrahoitus yhteensä, €]]+Ohj.lask.[[#This Row],[Alv-korvaus, €]]</f>
        <v>1582332</v>
      </c>
    </row>
    <row r="115" spans="1:46" ht="12.75" x14ac:dyDescent="0.2">
      <c r="A115" s="3" t="s">
        <v>210</v>
      </c>
      <c r="B115" s="7" t="s">
        <v>103</v>
      </c>
      <c r="C115" s="96" t="s">
        <v>185</v>
      </c>
      <c r="D115" s="96" t="s">
        <v>325</v>
      </c>
      <c r="E115" s="96" t="s">
        <v>373</v>
      </c>
      <c r="F115" s="104">
        <v>218</v>
      </c>
      <c r="G115" s="106">
        <f>Ohj.lask.[[#This Row],[Tavoitteelliset opiskelija-vuodet]]-Ohj.lask.[[#This Row],[Järjestämisluvan opisk.vuosien vähimmäismäärä]]</f>
        <v>71</v>
      </c>
      <c r="H115" s="32">
        <v>289</v>
      </c>
      <c r="I115" s="8">
        <f>IFERROR(VLOOKUP($A115,'2.1 Toteut. op.vuodet'!$A:$T,COLUMN('2.1 Toteut. op.vuodet'!S:S),FALSE),0)</f>
        <v>1.2940714675606169</v>
      </c>
      <c r="J115" s="74">
        <f t="shared" si="3"/>
        <v>374</v>
      </c>
      <c r="K115" s="9">
        <f>IFERROR(Ohj.lask.[[#This Row],[Painotetut opiskelija-vuodet]]/Ohj.lask.[[#Totals],[Painotetut opiskelija-vuodet]],0)</f>
        <v>1.7255873225621003E-3</v>
      </c>
      <c r="L115" s="10">
        <f>ROUND(IFERROR('1.1 Jakotaulu'!L$12*Ohj.lask.[[#This Row],[%-osuus 1]],0),0)</f>
        <v>2552309</v>
      </c>
      <c r="M115" s="132">
        <f>IFERROR(ROUND(VLOOKUP($A115,'2.2 Tutk. ja osien pain. pist.'!$A:$Q,COLUMN('2.2 Tutk. ja osien pain. pist.'!O:O),FALSE),1),0)</f>
        <v>29094.6</v>
      </c>
      <c r="N115" s="9">
        <f>IFERROR(Ohj.lask.[[#This Row],[Painotetut pisteet 2]]/Ohj.lask.[[#Totals],[Painotetut pisteet 2]],0)</f>
        <v>1.8992759047332828E-3</v>
      </c>
      <c r="O115" s="16">
        <f>ROUND(IFERROR('1.1 Jakotaulu'!K$13*Ohj.lask.[[#This Row],[%-osuus 2]],0),0)</f>
        <v>816130</v>
      </c>
      <c r="P115" s="133">
        <f>IFERROR(ROUND(VLOOKUP($A115,'2.3 Työll. ja jatko-opisk.'!$A:$Z,COLUMN('2.3 Työll. ja jatko-opisk.'!L:L),FALSE),1),0)</f>
        <v>574.6</v>
      </c>
      <c r="Q115" s="13">
        <f>IFERROR(Ohj.lask.[[#This Row],[Painotetut pisteet 3]]/Ohj.lask.[[#Totals],[Painotetut pisteet 3]],0)</f>
        <v>1.8385082038549154E-3</v>
      </c>
      <c r="R115" s="10">
        <f>ROUND(IFERROR('1.1 Jakotaulu'!L$15*Ohj.lask.[[#This Row],[%-osuus 3]],0),0)</f>
        <v>276506</v>
      </c>
      <c r="S115" s="132">
        <f>IFERROR(ROUND(VLOOKUP($A115,'2.4 Aloittaneet palaute'!$A:$I,COLUMN('2.4 Aloittaneet palaute'!H:H),FALSE),1),0)</f>
        <v>2773</v>
      </c>
      <c r="T115" s="13">
        <f>IFERROR(Ohj.lask.[[#This Row],[Painotetut pisteet 4]]/Ohj.lask.[[#Totals],[Painotetut pisteet 4]],0)</f>
        <v>1.6635719908229378E-3</v>
      </c>
      <c r="U115" s="16">
        <f>ROUND(IFERROR('1.1 Jakotaulu'!M$17*Ohj.lask.[[#This Row],[%-osuus 4]],0),0)</f>
        <v>13403</v>
      </c>
      <c r="V115" s="132">
        <f>IFERROR(ROUND(VLOOKUP($A115,'2.5 Päättäneet palaute'!$A:$Z,COLUMN('2.5 Päättäneet palaute'!X:X),FALSE),1),0)</f>
        <v>28271</v>
      </c>
      <c r="W115" s="13">
        <f>IFERROR(Ohj.lask.[[#This Row],[Painotetut pisteet 5]]/Ohj.lask.[[#Totals],[Painotetut pisteet 5]],0)</f>
        <v>2.7642325883242024E-3</v>
      </c>
      <c r="X115" s="16">
        <f>ROUND(IFERROR('1.1 Jakotaulu'!M$18*Ohj.lask.[[#This Row],[%-osuus 5]],0),0)</f>
        <v>66814</v>
      </c>
      <c r="Y115" s="132">
        <f>IFERROR(ROUND(VLOOKUP($A115,'2.6 Työpaikkaohjaajakysely'!B:J,COLUMN('2.6 Työpaikkaohjaajakysely'!H:H),FALSE),1),0)</f>
        <v>524508.5</v>
      </c>
      <c r="Z115" s="9">
        <f>IFERROR(Ohj.lask.[[#This Row],[Painotetut pisteet 6]]/Ohj.lask.[[#Totals],[Painotetut pisteet 6]],0)</f>
        <v>1.5453674760486983E-3</v>
      </c>
      <c r="AA115" s="16">
        <f>ROUND(IFERROR('1.1 Jakotaulu'!M$20*Ohj.lask.[[#This Row],[%-osuus 6]],0),0)</f>
        <v>37353</v>
      </c>
      <c r="AB115" s="132">
        <f>IFERROR(ROUND(VLOOKUP($A115,'2.7 Työpaikkakysely'!B:H,COLUMN('2.7 Työpaikkakysely'!F:F),FALSE),1),0)</f>
        <v>197700</v>
      </c>
      <c r="AC115" s="9">
        <f>IFERROR(Ohj.lask.[[#This Row],[Pisteet 7]]/Ohj.lask.[[#Totals],[Pisteet 7]],0)</f>
        <v>1.0713875693124893E-3</v>
      </c>
      <c r="AD115" s="16">
        <f>ROUND(IFERROR('1.1 Jakotaulu'!M$21*Ohj.lask.[[#This Row],[%-osuus 7]],0),0)</f>
        <v>8632</v>
      </c>
      <c r="AE115" s="12">
        <f>IFERROR(Ohj.lask.[[#This Row],[Jaettava € 8]]/Ohj.lask.[[#Totals],[Jaettava € 8]],"")</f>
        <v>1.7757813794271405E-3</v>
      </c>
      <c r="AF11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3771147</v>
      </c>
      <c r="AG115" s="102">
        <v>0</v>
      </c>
      <c r="AH115" s="102">
        <v>0</v>
      </c>
      <c r="AI115" s="102">
        <v>0</v>
      </c>
      <c r="AJ115" s="102">
        <v>0</v>
      </c>
      <c r="AK115" s="102">
        <v>5000</v>
      </c>
      <c r="AL115" s="107">
        <v>0</v>
      </c>
      <c r="AM115" s="107">
        <v>465</v>
      </c>
      <c r="AN11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5465</v>
      </c>
      <c r="AO115" s="10">
        <f>Ohj.lask.[[#This Row],[Jaettava € 1]]+Ohj.lask.[[#This Row],[Harkinnanvarainen korotus 8, €]]</f>
        <v>2557774</v>
      </c>
      <c r="AP115" s="102">
        <f>Ohj.lask.[[#This Row],[Jaettava € 2]]</f>
        <v>816130</v>
      </c>
      <c r="AQ115" s="10">
        <f>Ohj.lask.[[#This Row],[Jaettava € 3]]+Ohj.lask.[[#This Row],[Jaettava € 4]]+Ohj.lask.[[#This Row],[Jaettava € 5]]+Ohj.lask.[[#This Row],[Jaettava € 6]]+Ohj.lask.[[#This Row],[Jaettava € 7]]</f>
        <v>402708</v>
      </c>
      <c r="AR115" s="33">
        <f>Ohj.lask.[[#This Row],[Jaettava € 8]]+Ohj.lask.[[#This Row],[Harkinnanvarainen korotus 8, €]]</f>
        <v>3776612</v>
      </c>
      <c r="AS115" s="33">
        <v>644139</v>
      </c>
      <c r="AT115" s="16">
        <f>Ohj.lask.[[#This Row],[Perus-, suoritus- ja vaikuttavuusrahoitus yhteensä, €]]+Ohj.lask.[[#This Row],[Alv-korvaus, €]]</f>
        <v>4420751</v>
      </c>
    </row>
    <row r="116" spans="1:46" ht="12.75" x14ac:dyDescent="0.2">
      <c r="A116" s="3" t="s">
        <v>209</v>
      </c>
      <c r="B116" s="7" t="s">
        <v>104</v>
      </c>
      <c r="C116" s="7" t="s">
        <v>173</v>
      </c>
      <c r="D116" s="7" t="s">
        <v>325</v>
      </c>
      <c r="E116" s="7" t="s">
        <v>373</v>
      </c>
      <c r="F116" s="105">
        <v>169</v>
      </c>
      <c r="G116" s="106">
        <f>Ohj.lask.[[#This Row],[Tavoitteelliset opiskelija-vuodet]]-Ohj.lask.[[#This Row],[Järjestämisluvan opisk.vuosien vähimmäismäärä]]</f>
        <v>98</v>
      </c>
      <c r="H116" s="32">
        <v>267</v>
      </c>
      <c r="I116" s="8">
        <f>IFERROR(VLOOKUP($A116,'2.1 Toteut. op.vuodet'!$A:$T,COLUMN('2.1 Toteut. op.vuodet'!S:S),FALSE),0)</f>
        <v>0.73418761701077617</v>
      </c>
      <c r="J116" s="74">
        <f t="shared" si="3"/>
        <v>196</v>
      </c>
      <c r="K116" s="9">
        <f>IFERROR(Ohj.lask.[[#This Row],[Painotetut opiskelija-vuodet]]/Ohj.lask.[[#Totals],[Painotetut opiskelija-vuodet]],0)</f>
        <v>9.0431848989885465E-4</v>
      </c>
      <c r="L116" s="10">
        <f>ROUND(IFERROR('1.1 Jakotaulu'!L$12*Ohj.lask.[[#This Row],[%-osuus 1]],0),0)</f>
        <v>1337574</v>
      </c>
      <c r="M116" s="132">
        <f>IFERROR(ROUND(VLOOKUP($A116,'2.2 Tutk. ja osien pain. pist.'!$A:$Q,COLUMN('2.2 Tutk. ja osien pain. pist.'!O:O),FALSE),1),0)</f>
        <v>17120.400000000001</v>
      </c>
      <c r="N116" s="9">
        <f>IFERROR(Ohj.lask.[[#This Row],[Painotetut pisteet 2]]/Ohj.lask.[[#Totals],[Painotetut pisteet 2]],0)</f>
        <v>1.1176081884403189E-3</v>
      </c>
      <c r="O116" s="16">
        <f>ROUND(IFERROR('1.1 Jakotaulu'!K$13*Ohj.lask.[[#This Row],[%-osuus 2]],0),0)</f>
        <v>480243</v>
      </c>
      <c r="P116" s="133">
        <f>IFERROR(ROUND(VLOOKUP($A116,'2.3 Työll. ja jatko-opisk.'!$A:$Z,COLUMN('2.3 Työll. ja jatko-opisk.'!L:L),FALSE),1),0)</f>
        <v>486</v>
      </c>
      <c r="Q116" s="9">
        <f>IFERROR(Ohj.lask.[[#This Row],[Painotetut pisteet 3]]/Ohj.lask.[[#Totals],[Painotetut pisteet 3]],0)</f>
        <v>1.5550208615967434E-3</v>
      </c>
      <c r="R116" s="10">
        <f>ROUND(IFERROR('1.1 Jakotaulu'!L$15*Ohj.lask.[[#This Row],[%-osuus 3]],0),0)</f>
        <v>233871</v>
      </c>
      <c r="S116" s="132">
        <f>IFERROR(ROUND(VLOOKUP($A116,'2.4 Aloittaneet palaute'!$A:$I,COLUMN('2.4 Aloittaneet palaute'!H:H),FALSE),1),0)</f>
        <v>5212.3</v>
      </c>
      <c r="T116" s="13">
        <f>IFERROR(Ohj.lask.[[#This Row],[Painotetut pisteet 4]]/Ohj.lask.[[#Totals],[Painotetut pisteet 4]],0)</f>
        <v>3.1269514200383693E-3</v>
      </c>
      <c r="U116" s="16">
        <f>ROUND(IFERROR('1.1 Jakotaulu'!M$17*Ohj.lask.[[#This Row],[%-osuus 4]],0),0)</f>
        <v>25194</v>
      </c>
      <c r="V116" s="132">
        <f>IFERROR(ROUND(VLOOKUP($A116,'2.5 Päättäneet palaute'!$A:$Z,COLUMN('2.5 Päättäneet palaute'!X:X),FALSE),1),0)</f>
        <v>29922.7</v>
      </c>
      <c r="W116" s="13">
        <f>IFERROR(Ohj.lask.[[#This Row],[Painotetut pisteet 5]]/Ohj.lask.[[#Totals],[Painotetut pisteet 5]],0)</f>
        <v>2.9257296335696865E-3</v>
      </c>
      <c r="X116" s="16">
        <f>ROUND(IFERROR('1.1 Jakotaulu'!M$18*Ohj.lask.[[#This Row],[%-osuus 5]],0),0)</f>
        <v>70718</v>
      </c>
      <c r="Y116" s="132">
        <f>IFERROR(ROUND(VLOOKUP($A116,'2.6 Työpaikkaohjaajakysely'!B:J,COLUMN('2.6 Työpaikkaohjaajakysely'!H:H),FALSE),1),0)</f>
        <v>748132.3</v>
      </c>
      <c r="Z116" s="9">
        <f>IFERROR(Ohj.lask.[[#This Row],[Painotetut pisteet 6]]/Ohj.lask.[[#Totals],[Painotetut pisteet 6]],0)</f>
        <v>2.2042337239558704E-3</v>
      </c>
      <c r="AA116" s="16">
        <f>ROUND(IFERROR('1.1 Jakotaulu'!M$20*Ohj.lask.[[#This Row],[%-osuus 6]],0),0)</f>
        <v>53278</v>
      </c>
      <c r="AB116" s="132">
        <f>IFERROR(ROUND(VLOOKUP($A116,'2.7 Työpaikkakysely'!B:H,COLUMN('2.7 Työpaikkakysely'!F:F),FALSE),1),0)</f>
        <v>561380</v>
      </c>
      <c r="AC116" s="9">
        <f>IFERROR(Ohj.lask.[[#This Row],[Pisteet 7]]/Ohj.lask.[[#Totals],[Pisteet 7]],0)</f>
        <v>3.0422638020265319E-3</v>
      </c>
      <c r="AD116" s="16">
        <f>ROUND(IFERROR('1.1 Jakotaulu'!M$21*Ohj.lask.[[#This Row],[%-osuus 7]],0),0)</f>
        <v>24511</v>
      </c>
      <c r="AE116" s="12">
        <f>IFERROR(Ohj.lask.[[#This Row],[Jaettava € 8]]/Ohj.lask.[[#Totals],[Jaettava € 8]],"")</f>
        <v>1.0479051461483695E-3</v>
      </c>
      <c r="AF11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2225389</v>
      </c>
      <c r="AG116" s="102">
        <v>0</v>
      </c>
      <c r="AH116" s="102">
        <v>0</v>
      </c>
      <c r="AI116" s="102">
        <v>0</v>
      </c>
      <c r="AJ116" s="102">
        <v>0</v>
      </c>
      <c r="AK116" s="102">
        <v>8000</v>
      </c>
      <c r="AL116" s="107">
        <v>0</v>
      </c>
      <c r="AM116" s="107">
        <v>0</v>
      </c>
      <c r="AN11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8000</v>
      </c>
      <c r="AO116" s="10">
        <f>Ohj.lask.[[#This Row],[Jaettava € 1]]+Ohj.lask.[[#This Row],[Harkinnanvarainen korotus 8, €]]</f>
        <v>1345574</v>
      </c>
      <c r="AP116" s="102">
        <f>Ohj.lask.[[#This Row],[Jaettava € 2]]</f>
        <v>480243</v>
      </c>
      <c r="AQ116" s="10">
        <f>Ohj.lask.[[#This Row],[Jaettava € 3]]+Ohj.lask.[[#This Row],[Jaettava € 4]]+Ohj.lask.[[#This Row],[Jaettava € 5]]+Ohj.lask.[[#This Row],[Jaettava € 6]]+Ohj.lask.[[#This Row],[Jaettava € 7]]</f>
        <v>407572</v>
      </c>
      <c r="AR116" s="33">
        <f>Ohj.lask.[[#This Row],[Jaettava € 8]]+Ohj.lask.[[#This Row],[Harkinnanvarainen korotus 8, €]]</f>
        <v>2233389</v>
      </c>
      <c r="AS116" s="33">
        <v>100842</v>
      </c>
      <c r="AT116" s="16">
        <f>Ohj.lask.[[#This Row],[Perus-, suoritus- ja vaikuttavuusrahoitus yhteensä, €]]+Ohj.lask.[[#This Row],[Alv-korvaus, €]]</f>
        <v>2334231</v>
      </c>
    </row>
    <row r="117" spans="1:46" ht="12.75" x14ac:dyDescent="0.2">
      <c r="A117" s="3" t="s">
        <v>208</v>
      </c>
      <c r="B117" s="7" t="s">
        <v>434</v>
      </c>
      <c r="C117" s="7" t="s">
        <v>199</v>
      </c>
      <c r="D117" s="7" t="s">
        <v>325</v>
      </c>
      <c r="E117" s="7" t="s">
        <v>373</v>
      </c>
      <c r="F117" s="105">
        <v>488</v>
      </c>
      <c r="G117" s="106">
        <f>Ohj.lask.[[#This Row],[Tavoitteelliset opiskelija-vuodet]]-Ohj.lask.[[#This Row],[Järjestämisluvan opisk.vuosien vähimmäismäärä]]</f>
        <v>241</v>
      </c>
      <c r="H117" s="32">
        <v>729</v>
      </c>
      <c r="I117" s="8">
        <f>IFERROR(VLOOKUP($A117,'2.1 Toteut. op.vuodet'!$A:$T,COLUMN('2.1 Toteut. op.vuodet'!S:S),FALSE),0)</f>
        <v>0.81586742565087567</v>
      </c>
      <c r="J117" s="74">
        <f t="shared" si="3"/>
        <v>594.79999999999995</v>
      </c>
      <c r="K117" s="9">
        <f>IFERROR(Ohj.lask.[[#This Row],[Painotetut opiskelija-vuodet]]/Ohj.lask.[[#Totals],[Painotetut opiskelija-vuodet]],0)</f>
        <v>2.7443297846522384E-3</v>
      </c>
      <c r="L117" s="10">
        <f>ROUND(IFERROR('1.1 Jakotaulu'!L$12*Ohj.lask.[[#This Row],[%-osuus 1]],0),0)</f>
        <v>4059127</v>
      </c>
      <c r="M117" s="132">
        <f>IFERROR(ROUND(VLOOKUP($A117,'2.2 Tutk. ja osien pain. pist.'!$A:$Q,COLUMN('2.2 Tutk. ja osien pain. pist.'!O:O),FALSE),1),0)</f>
        <v>64593.2</v>
      </c>
      <c r="N117" s="9">
        <f>IFERROR(Ohj.lask.[[#This Row],[Painotetut pisteet 2]]/Ohj.lask.[[#Totals],[Painotetut pisteet 2]],0)</f>
        <v>4.2166006190020788E-3</v>
      </c>
      <c r="O117" s="16">
        <f>ROUND(IFERROR('1.1 Jakotaulu'!K$13*Ohj.lask.[[#This Row],[%-osuus 2]],0),0)</f>
        <v>1811899</v>
      </c>
      <c r="P117" s="133">
        <f>IFERROR(ROUND(VLOOKUP($A117,'2.3 Työll. ja jatko-opisk.'!$A:$Z,COLUMN('2.3 Työll. ja jatko-opisk.'!L:L),FALSE),1),0)</f>
        <v>1760.1</v>
      </c>
      <c r="Q117" s="9">
        <f>IFERROR(Ohj.lask.[[#This Row],[Painotetut pisteet 3]]/Ohj.lask.[[#Totals],[Painotetut pisteet 3]],0)</f>
        <v>5.6316712314741319E-3</v>
      </c>
      <c r="R117" s="10">
        <f>ROUND(IFERROR('1.1 Jakotaulu'!L$15*Ohj.lask.[[#This Row],[%-osuus 3]],0),0)</f>
        <v>846987</v>
      </c>
      <c r="S117" s="132">
        <f>IFERROR(ROUND(VLOOKUP($A117,'2.4 Aloittaneet palaute'!$A:$I,COLUMN('2.4 Aloittaneet palaute'!H:H),FALSE),1),0)</f>
        <v>19039.900000000001</v>
      </c>
      <c r="T117" s="13">
        <f>IFERROR(Ohj.lask.[[#This Row],[Painotetut pisteet 4]]/Ohj.lask.[[#Totals],[Painotetut pisteet 4]],0)</f>
        <v>1.1422374449357972E-2</v>
      </c>
      <c r="U117" s="16">
        <f>ROUND(IFERROR('1.1 Jakotaulu'!M$17*Ohj.lask.[[#This Row],[%-osuus 4]],0),0)</f>
        <v>92030</v>
      </c>
      <c r="V117" s="132">
        <f>IFERROR(ROUND(VLOOKUP($A117,'2.5 Päättäneet palaute'!$A:$Z,COLUMN('2.5 Päättäneet palaute'!X:X),FALSE),1),0)</f>
        <v>108526.8</v>
      </c>
      <c r="W117" s="13">
        <f>IFERROR(Ohj.lask.[[#This Row],[Painotetut pisteet 5]]/Ohj.lask.[[#Totals],[Painotetut pisteet 5]],0)</f>
        <v>1.0611344390596125E-2</v>
      </c>
      <c r="X117" s="16">
        <f>ROUND(IFERROR('1.1 Jakotaulu'!M$18*Ohj.lask.[[#This Row],[%-osuus 5]],0),0)</f>
        <v>256486</v>
      </c>
      <c r="Y117" s="132">
        <f>IFERROR(ROUND(VLOOKUP($A117,'2.6 Työpaikkaohjaajakysely'!B:J,COLUMN('2.6 Työpaikkaohjaajakysely'!H:H),FALSE),1),0)</f>
        <v>301865.90000000002</v>
      </c>
      <c r="Z117" s="9">
        <f>IFERROR(Ohj.lask.[[#This Row],[Painotetut pisteet 6]]/Ohj.lask.[[#Totals],[Painotetut pisteet 6]],0)</f>
        <v>8.8939215282148683E-4</v>
      </c>
      <c r="AA117" s="16">
        <f>ROUND(IFERROR('1.1 Jakotaulu'!M$20*Ohj.lask.[[#This Row],[%-osuus 6]],0),0)</f>
        <v>21497</v>
      </c>
      <c r="AB117" s="132">
        <f>IFERROR(ROUND(VLOOKUP($A117,'2.7 Työpaikkakysely'!B:H,COLUMN('2.7 Työpaikkakysely'!F:F),FALSE),1),0)</f>
        <v>64912</v>
      </c>
      <c r="AC117" s="9">
        <f>IFERROR(Ohj.lask.[[#This Row],[Pisteet 7]]/Ohj.lask.[[#Totals],[Pisteet 7]],0)</f>
        <v>3.5177496155393181E-4</v>
      </c>
      <c r="AD117" s="16">
        <f>ROUND(IFERROR('1.1 Jakotaulu'!M$21*Ohj.lask.[[#This Row],[%-osuus 7]],0),0)</f>
        <v>2834</v>
      </c>
      <c r="AE117" s="12">
        <f>IFERROR(Ohj.lask.[[#This Row],[Jaettava € 8]]/Ohj.lask.[[#Totals],[Jaettava € 8]],"")</f>
        <v>3.3389886822562829E-3</v>
      </c>
      <c r="AF11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7090860</v>
      </c>
      <c r="AG117" s="102">
        <v>0</v>
      </c>
      <c r="AH117" s="102">
        <v>0</v>
      </c>
      <c r="AI117" s="102">
        <v>0</v>
      </c>
      <c r="AJ117" s="102">
        <v>0</v>
      </c>
      <c r="AK117" s="102">
        <v>5000</v>
      </c>
      <c r="AL117" s="107">
        <v>0</v>
      </c>
      <c r="AM117" s="107">
        <v>0</v>
      </c>
      <c r="AN11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5000</v>
      </c>
      <c r="AO117" s="10">
        <f>Ohj.lask.[[#This Row],[Jaettava € 1]]+Ohj.lask.[[#This Row],[Harkinnanvarainen korotus 8, €]]</f>
        <v>4064127</v>
      </c>
      <c r="AP117" s="102">
        <f>Ohj.lask.[[#This Row],[Jaettava € 2]]</f>
        <v>1811899</v>
      </c>
      <c r="AQ117" s="10">
        <f>Ohj.lask.[[#This Row],[Jaettava € 3]]+Ohj.lask.[[#This Row],[Jaettava € 4]]+Ohj.lask.[[#This Row],[Jaettava € 5]]+Ohj.lask.[[#This Row],[Jaettava € 6]]+Ohj.lask.[[#This Row],[Jaettava € 7]]</f>
        <v>1219834</v>
      </c>
      <c r="AR117" s="33">
        <f>Ohj.lask.[[#This Row],[Jaettava € 8]]+Ohj.lask.[[#This Row],[Harkinnanvarainen korotus 8, €]]</f>
        <v>7095860</v>
      </c>
      <c r="AS117" s="33">
        <v>232911</v>
      </c>
      <c r="AT117" s="16">
        <f>Ohj.lask.[[#This Row],[Perus-, suoritus- ja vaikuttavuusrahoitus yhteensä, €]]+Ohj.lask.[[#This Row],[Alv-korvaus, €]]</f>
        <v>7328771</v>
      </c>
    </row>
    <row r="118" spans="1:46" ht="12.75" x14ac:dyDescent="0.2">
      <c r="A118" s="3" t="s">
        <v>207</v>
      </c>
      <c r="B118" s="7" t="s">
        <v>105</v>
      </c>
      <c r="C118" s="7" t="s">
        <v>199</v>
      </c>
      <c r="D118" s="7" t="s">
        <v>324</v>
      </c>
      <c r="E118" s="7" t="s">
        <v>373</v>
      </c>
      <c r="F118" s="105">
        <v>514</v>
      </c>
      <c r="G118" s="106">
        <f>Ohj.lask.[[#This Row],[Tavoitteelliset opiskelija-vuodet]]-Ohj.lask.[[#This Row],[Järjestämisluvan opisk.vuosien vähimmäismäärä]]</f>
        <v>0</v>
      </c>
      <c r="H118" s="32">
        <v>514</v>
      </c>
      <c r="I118" s="8">
        <f>IFERROR(VLOOKUP($A118,'2.1 Toteut. op.vuodet'!$A:$T,COLUMN('2.1 Toteut. op.vuodet'!S:S),FALSE),0)</f>
        <v>1.2881635694310294</v>
      </c>
      <c r="J118" s="74">
        <f t="shared" si="3"/>
        <v>662.1</v>
      </c>
      <c r="K118" s="9">
        <f>IFERROR(Ohj.lask.[[#This Row],[Painotetut opiskelija-vuodet]]/Ohj.lask.[[#Totals],[Painotetut opiskelija-vuodet]],0)</f>
        <v>3.0548432253164884E-3</v>
      </c>
      <c r="L118" s="10">
        <f>ROUND(IFERROR('1.1 Jakotaulu'!L$12*Ohj.lask.[[#This Row],[%-osuus 1]],0),0)</f>
        <v>4518406</v>
      </c>
      <c r="M118" s="132">
        <f>IFERROR(ROUND(VLOOKUP($A118,'2.2 Tutk. ja osien pain. pist.'!$A:$Q,COLUMN('2.2 Tutk. ja osien pain. pist.'!O:O),FALSE),1),0)</f>
        <v>45067.6</v>
      </c>
      <c r="N118" s="9">
        <f>IFERROR(Ohj.lask.[[#This Row],[Painotetut pisteet 2]]/Ohj.lask.[[#Totals],[Painotetut pisteet 2]],0)</f>
        <v>2.9419825934763736E-3</v>
      </c>
      <c r="O118" s="16">
        <f>ROUND(IFERROR('1.1 Jakotaulu'!K$13*Ohj.lask.[[#This Row],[%-osuus 2]],0),0)</f>
        <v>1264188</v>
      </c>
      <c r="P118" s="133">
        <f>IFERROR(ROUND(VLOOKUP($A118,'2.3 Työll. ja jatko-opisk.'!$A:$Z,COLUMN('2.3 Työll. ja jatko-opisk.'!L:L),FALSE),1),0)</f>
        <v>826.3</v>
      </c>
      <c r="Q118" s="9">
        <f>IFERROR(Ohj.lask.[[#This Row],[Painotetut pisteet 3]]/Ohj.lask.[[#Totals],[Painotetut pisteet 3]],0)</f>
        <v>2.6438554278547101E-3</v>
      </c>
      <c r="R118" s="10">
        <f>ROUND(IFERROR('1.1 Jakotaulu'!L$15*Ohj.lask.[[#This Row],[%-osuus 3]],0),0)</f>
        <v>397628</v>
      </c>
      <c r="S118" s="132">
        <f>IFERROR(ROUND(VLOOKUP($A118,'2.4 Aloittaneet palaute'!$A:$I,COLUMN('2.4 Aloittaneet palaute'!H:H),FALSE),1),0)</f>
        <v>5201.7</v>
      </c>
      <c r="T118" s="13">
        <f>IFERROR(Ohj.lask.[[#This Row],[Painotetut pisteet 4]]/Ohj.lask.[[#Totals],[Painotetut pisteet 4]],0)</f>
        <v>3.12059229162051E-3</v>
      </c>
      <c r="U118" s="16">
        <f>ROUND(IFERROR('1.1 Jakotaulu'!M$17*Ohj.lask.[[#This Row],[%-osuus 4]],0),0)</f>
        <v>25143</v>
      </c>
      <c r="V118" s="132">
        <f>IFERROR(ROUND(VLOOKUP($A118,'2.5 Päättäneet palaute'!$A:$Z,COLUMN('2.5 Päättäneet palaute'!X:X),FALSE),1),0)</f>
        <v>25597.599999999999</v>
      </c>
      <c r="W118" s="13">
        <f>IFERROR(Ohj.lask.[[#This Row],[Painotetut pisteet 5]]/Ohj.lask.[[#Totals],[Painotetut pisteet 5]],0)</f>
        <v>2.5028375403377172E-3</v>
      </c>
      <c r="X118" s="16">
        <f>ROUND(IFERROR('1.1 Jakotaulu'!M$18*Ohj.lask.[[#This Row],[%-osuus 5]],0),0)</f>
        <v>60496</v>
      </c>
      <c r="Y118" s="132">
        <f>IFERROR(ROUND(VLOOKUP($A118,'2.6 Työpaikkaohjaajakysely'!B:J,COLUMN('2.6 Työpaikkaohjaajakysely'!H:H),FALSE),1),0)</f>
        <v>1108954.8999999999</v>
      </c>
      <c r="Z118" s="9">
        <f>IFERROR(Ohj.lask.[[#This Row],[Painotetut pisteet 6]]/Ohj.lask.[[#Totals],[Painotetut pisteet 6]],0)</f>
        <v>3.267330910490176E-3</v>
      </c>
      <c r="AA118" s="16">
        <f>ROUND(IFERROR('1.1 Jakotaulu'!M$20*Ohj.lask.[[#This Row],[%-osuus 6]],0),0)</f>
        <v>78975</v>
      </c>
      <c r="AB118" s="132">
        <f>IFERROR(ROUND(VLOOKUP($A118,'2.7 Työpaikkakysely'!B:H,COLUMN('2.7 Työpaikkakysely'!F:F),FALSE),1),0)</f>
        <v>447045</v>
      </c>
      <c r="AC118" s="9">
        <f>IFERROR(Ohj.lask.[[#This Row],[Pisteet 7]]/Ohj.lask.[[#Totals],[Pisteet 7]],0)</f>
        <v>2.4226527866631352E-3</v>
      </c>
      <c r="AD118" s="16">
        <f>ROUND(IFERROR('1.1 Jakotaulu'!M$21*Ohj.lask.[[#This Row],[%-osuus 7]],0),0)</f>
        <v>19519</v>
      </c>
      <c r="AE118" s="12">
        <f>IFERROR(Ohj.lask.[[#This Row],[Jaettava € 8]]/Ohj.lask.[[#Totals],[Jaettava € 8]],"")</f>
        <v>2.9968874459319721E-3</v>
      </c>
      <c r="AF11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6364355</v>
      </c>
      <c r="AG118" s="102">
        <v>0</v>
      </c>
      <c r="AH118" s="102">
        <v>0</v>
      </c>
      <c r="AI118" s="102">
        <v>0</v>
      </c>
      <c r="AJ118" s="102">
        <v>0</v>
      </c>
      <c r="AK118" s="102">
        <v>5000</v>
      </c>
      <c r="AL118" s="107">
        <v>0</v>
      </c>
      <c r="AM118" s="107">
        <v>21950</v>
      </c>
      <c r="AN11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26950</v>
      </c>
      <c r="AO118" s="10">
        <f>Ohj.lask.[[#This Row],[Jaettava € 1]]+Ohj.lask.[[#This Row],[Harkinnanvarainen korotus 8, €]]</f>
        <v>4545356</v>
      </c>
      <c r="AP118" s="102">
        <f>Ohj.lask.[[#This Row],[Jaettava € 2]]</f>
        <v>1264188</v>
      </c>
      <c r="AQ118" s="10">
        <f>Ohj.lask.[[#This Row],[Jaettava € 3]]+Ohj.lask.[[#This Row],[Jaettava € 4]]+Ohj.lask.[[#This Row],[Jaettava € 5]]+Ohj.lask.[[#This Row],[Jaettava € 6]]+Ohj.lask.[[#This Row],[Jaettava € 7]]</f>
        <v>581761</v>
      </c>
      <c r="AR118" s="33">
        <f>Ohj.lask.[[#This Row],[Jaettava € 8]]+Ohj.lask.[[#This Row],[Harkinnanvarainen korotus 8, €]]</f>
        <v>6391305</v>
      </c>
      <c r="AS118" s="33">
        <v>0</v>
      </c>
      <c r="AT118" s="16">
        <f>Ohj.lask.[[#This Row],[Perus-, suoritus- ja vaikuttavuusrahoitus yhteensä, €]]+Ohj.lask.[[#This Row],[Alv-korvaus, €]]</f>
        <v>6391305</v>
      </c>
    </row>
    <row r="119" spans="1:46" ht="12.75" x14ac:dyDescent="0.2">
      <c r="A119" s="3" t="s">
        <v>206</v>
      </c>
      <c r="B119" s="7" t="s">
        <v>106</v>
      </c>
      <c r="C119" s="7" t="s">
        <v>173</v>
      </c>
      <c r="D119" s="7" t="s">
        <v>325</v>
      </c>
      <c r="E119" s="7" t="s">
        <v>374</v>
      </c>
      <c r="F119" s="105">
        <v>1087</v>
      </c>
      <c r="G119" s="106">
        <f>Ohj.lask.[[#This Row],[Tavoitteelliset opiskelija-vuodet]]-Ohj.lask.[[#This Row],[Järjestämisluvan opisk.vuosien vähimmäismäärä]]</f>
        <v>0</v>
      </c>
      <c r="H119" s="32">
        <v>1087</v>
      </c>
      <c r="I119" s="8">
        <f>IFERROR(VLOOKUP($A119,'2.1 Toteut. op.vuodet'!$A:$T,COLUMN('2.1 Toteut. op.vuodet'!S:S),FALSE),0)</f>
        <v>1.0914684244485584</v>
      </c>
      <c r="J119" s="74">
        <f t="shared" si="3"/>
        <v>1186.4000000000001</v>
      </c>
      <c r="K119" s="9">
        <f>IFERROR(Ohj.lask.[[#This Row],[Painotetut opiskelija-vuodet]]/Ohj.lask.[[#Totals],[Painotetut opiskelija-vuodet]],0)</f>
        <v>5.473895185795925E-3</v>
      </c>
      <c r="L119" s="10">
        <f>ROUND(IFERROR('1.1 Jakotaulu'!L$12*Ohj.lask.[[#This Row],[%-osuus 1]],0),0)</f>
        <v>8096416</v>
      </c>
      <c r="M119" s="132">
        <f>IFERROR(ROUND(VLOOKUP($A119,'2.2 Tutk. ja osien pain. pist.'!$A:$Q,COLUMN('2.2 Tutk. ja osien pain. pist.'!O:O),FALSE),1),0)</f>
        <v>89974.9</v>
      </c>
      <c r="N119" s="9">
        <f>IFERROR(Ohj.lask.[[#This Row],[Painotetut pisteet 2]]/Ohj.lask.[[#Totals],[Painotetut pisteet 2]],0)</f>
        <v>5.8735009108489772E-3</v>
      </c>
      <c r="O119" s="16">
        <f>ROUND(IFERROR('1.1 Jakotaulu'!K$13*Ohj.lask.[[#This Row],[%-osuus 2]],0),0)</f>
        <v>2523879</v>
      </c>
      <c r="P119" s="133">
        <f>IFERROR(ROUND(VLOOKUP($A119,'2.3 Työll. ja jatko-opisk.'!$A:$Z,COLUMN('2.3 Työll. ja jatko-opisk.'!L:L),FALSE),1),0)</f>
        <v>1755.1</v>
      </c>
      <c r="Q119" s="9">
        <f>IFERROR(Ohj.lask.[[#This Row],[Painotetut pisteet 3]]/Ohj.lask.[[#Totals],[Painotetut pisteet 3]],0)</f>
        <v>5.6156730744618194E-3</v>
      </c>
      <c r="R119" s="10">
        <f>ROUND(IFERROR('1.1 Jakotaulu'!L$15*Ohj.lask.[[#This Row],[%-osuus 3]],0),0)</f>
        <v>844581</v>
      </c>
      <c r="S119" s="132">
        <f>IFERROR(ROUND(VLOOKUP($A119,'2.4 Aloittaneet palaute'!$A:$I,COLUMN('2.4 Aloittaneet palaute'!H:H),FALSE),1),0)</f>
        <v>8388.7000000000007</v>
      </c>
      <c r="T119" s="13">
        <f>IFERROR(Ohj.lask.[[#This Row],[Painotetut pisteet 4]]/Ohj.lask.[[#Totals],[Painotetut pisteet 4]],0)</f>
        <v>5.0325302414051132E-3</v>
      </c>
      <c r="U119" s="16">
        <f>ROUND(IFERROR('1.1 Jakotaulu'!M$17*Ohj.lask.[[#This Row],[%-osuus 4]],0),0)</f>
        <v>40547</v>
      </c>
      <c r="V119" s="132">
        <f>IFERROR(ROUND(VLOOKUP($A119,'2.5 Päättäneet palaute'!$A:$Z,COLUMN('2.5 Päättäneet palaute'!X:X),FALSE),1),0)</f>
        <v>46382.2</v>
      </c>
      <c r="W119" s="13">
        <f>IFERROR(Ohj.lask.[[#This Row],[Painotetut pisteet 5]]/Ohj.lask.[[#Totals],[Painotetut pisteet 5]],0)</f>
        <v>4.5350779511927706E-3</v>
      </c>
      <c r="X119" s="16">
        <f>ROUND(IFERROR('1.1 Jakotaulu'!M$18*Ohj.lask.[[#This Row],[%-osuus 5]],0),0)</f>
        <v>109617</v>
      </c>
      <c r="Y119" s="132">
        <f>IFERROR(ROUND(VLOOKUP($A119,'2.6 Työpaikkaohjaajakysely'!B:J,COLUMN('2.6 Työpaikkaohjaajakysely'!H:H),FALSE),1),0)</f>
        <v>1059709.8999999999</v>
      </c>
      <c r="Z119" s="9">
        <f>IFERROR(Ohj.lask.[[#This Row],[Painotetut pisteet 6]]/Ohj.lask.[[#Totals],[Painotetut pisteet 6]],0)</f>
        <v>3.1222396081413712E-3</v>
      </c>
      <c r="AA119" s="16">
        <f>ROUND(IFERROR('1.1 Jakotaulu'!M$20*Ohj.lask.[[#This Row],[%-osuus 6]],0),0)</f>
        <v>75468</v>
      </c>
      <c r="AB119" s="132">
        <f>IFERROR(ROUND(VLOOKUP($A119,'2.7 Työpaikkakysely'!B:H,COLUMN('2.7 Työpaikkakysely'!F:F),FALSE),1),0)</f>
        <v>387883</v>
      </c>
      <c r="AC119" s="9">
        <f>IFERROR(Ohj.lask.[[#This Row],[Pisteet 7]]/Ohj.lask.[[#Totals],[Pisteet 7]],0)</f>
        <v>2.1020385662500573E-3</v>
      </c>
      <c r="AD119" s="16">
        <f>ROUND(IFERROR('1.1 Jakotaulu'!M$21*Ohj.lask.[[#This Row],[%-osuus 7]],0),0)</f>
        <v>16936</v>
      </c>
      <c r="AE119" s="12">
        <f>IFERROR(Ohj.lask.[[#This Row],[Jaettava € 8]]/Ohj.lask.[[#Totals],[Jaettava € 8]],"")</f>
        <v>5.5128747449744069E-3</v>
      </c>
      <c r="AF11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11707444</v>
      </c>
      <c r="AG119" s="102">
        <v>0</v>
      </c>
      <c r="AH119" s="102">
        <v>0</v>
      </c>
      <c r="AI119" s="102">
        <v>0</v>
      </c>
      <c r="AJ119" s="102">
        <v>0</v>
      </c>
      <c r="AK119" s="102">
        <v>11000</v>
      </c>
      <c r="AL119" s="107">
        <v>14000</v>
      </c>
      <c r="AM119" s="107">
        <v>0</v>
      </c>
      <c r="AN11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25000</v>
      </c>
      <c r="AO119" s="10">
        <f>Ohj.lask.[[#This Row],[Jaettava € 1]]+Ohj.lask.[[#This Row],[Harkinnanvarainen korotus 8, €]]</f>
        <v>8121416</v>
      </c>
      <c r="AP119" s="102">
        <f>Ohj.lask.[[#This Row],[Jaettava € 2]]</f>
        <v>2523879</v>
      </c>
      <c r="AQ119" s="10">
        <f>Ohj.lask.[[#This Row],[Jaettava € 3]]+Ohj.lask.[[#This Row],[Jaettava € 4]]+Ohj.lask.[[#This Row],[Jaettava € 5]]+Ohj.lask.[[#This Row],[Jaettava € 6]]+Ohj.lask.[[#This Row],[Jaettava € 7]]</f>
        <v>1087149</v>
      </c>
      <c r="AR119" s="33">
        <f>Ohj.lask.[[#This Row],[Jaettava € 8]]+Ohj.lask.[[#This Row],[Harkinnanvarainen korotus 8, €]]</f>
        <v>11732444</v>
      </c>
      <c r="AS119" s="33">
        <v>772778</v>
      </c>
      <c r="AT119" s="16">
        <f>Ohj.lask.[[#This Row],[Perus-, suoritus- ja vaikuttavuusrahoitus yhteensä, €]]+Ohj.lask.[[#This Row],[Alv-korvaus, €]]</f>
        <v>12505222</v>
      </c>
    </row>
    <row r="120" spans="1:46" ht="12.75" x14ac:dyDescent="0.2">
      <c r="A120" s="3" t="s">
        <v>205</v>
      </c>
      <c r="B120" s="7" t="s">
        <v>107</v>
      </c>
      <c r="C120" s="7" t="s">
        <v>179</v>
      </c>
      <c r="D120" s="7" t="s">
        <v>324</v>
      </c>
      <c r="E120" s="7" t="s">
        <v>374</v>
      </c>
      <c r="F120" s="105">
        <v>1394</v>
      </c>
      <c r="G120" s="106">
        <f>Ohj.lask.[[#This Row],[Tavoitteelliset opiskelija-vuodet]]-Ohj.lask.[[#This Row],[Järjestämisluvan opisk.vuosien vähimmäismäärä]]</f>
        <v>89</v>
      </c>
      <c r="H120" s="32">
        <v>1483</v>
      </c>
      <c r="I120" s="8">
        <f>IFERROR(VLOOKUP($A120,'2.1 Toteut. op.vuodet'!$A:$T,COLUMN('2.1 Toteut. op.vuodet'!S:S),FALSE),0)</f>
        <v>1.1414107381421066</v>
      </c>
      <c r="J120" s="74">
        <f t="shared" si="3"/>
        <v>1692.7</v>
      </c>
      <c r="K120" s="9">
        <f>IFERROR(Ohj.lask.[[#This Row],[Painotetut opiskelija-vuodet]]/Ohj.lask.[[#Totals],[Painotetut opiskelija-vuodet]],0)</f>
        <v>7.8098974890397519E-3</v>
      </c>
      <c r="L120" s="10">
        <f>ROUND(IFERROR('1.1 Jakotaulu'!L$12*Ohj.lask.[[#This Row],[%-osuus 1]],0),0)</f>
        <v>11551588</v>
      </c>
      <c r="M120" s="132">
        <f>IFERROR(ROUND(VLOOKUP($A120,'2.2 Tutk. ja osien pain. pist.'!$A:$Q,COLUMN('2.2 Tutk. ja osien pain. pist.'!O:O),FALSE),1),0)</f>
        <v>115510.3</v>
      </c>
      <c r="N120" s="9">
        <f>IFERROR(Ohj.lask.[[#This Row],[Painotetut pisteet 2]]/Ohj.lask.[[#Totals],[Painotetut pisteet 2]],0)</f>
        <v>7.5404346352420364E-3</v>
      </c>
      <c r="O120" s="16">
        <f>ROUND(IFERROR('1.1 Jakotaulu'!K$13*Ohj.lask.[[#This Row],[%-osuus 2]],0),0)</f>
        <v>3240170</v>
      </c>
      <c r="P120" s="133">
        <f>IFERROR(ROUND(VLOOKUP($A120,'2.3 Työll. ja jatko-opisk.'!$A:$Z,COLUMN('2.3 Työll. ja jatko-opisk.'!L:L),FALSE),1),0)</f>
        <v>2731.9</v>
      </c>
      <c r="Q120" s="9">
        <f>IFERROR(Ohj.lask.[[#This Row],[Painotetut pisteet 3]]/Ohj.lask.[[#Totals],[Painotetut pisteet 3]],0)</f>
        <v>8.7410730283871262E-3</v>
      </c>
      <c r="R120" s="10">
        <f>ROUND(IFERROR('1.1 Jakotaulu'!L$15*Ohj.lask.[[#This Row],[%-osuus 3]],0),0)</f>
        <v>1314632</v>
      </c>
      <c r="S120" s="132">
        <f>IFERROR(ROUND(VLOOKUP($A120,'2.4 Aloittaneet palaute'!$A:$I,COLUMN('2.4 Aloittaneet palaute'!H:H),FALSE),1),0)</f>
        <v>14191.7</v>
      </c>
      <c r="T120" s="13">
        <f>IFERROR(Ohj.lask.[[#This Row],[Painotetut pisteet 4]]/Ohj.lask.[[#Totals],[Painotetut pisteet 4]],0)</f>
        <v>8.5138530912953064E-3</v>
      </c>
      <c r="U120" s="16">
        <f>ROUND(IFERROR('1.1 Jakotaulu'!M$17*Ohj.lask.[[#This Row],[%-osuus 4]],0),0)</f>
        <v>68596</v>
      </c>
      <c r="V120" s="132">
        <f>IFERROR(ROUND(VLOOKUP($A120,'2.5 Päättäneet palaute'!$A:$Z,COLUMN('2.5 Päättäneet palaute'!X:X),FALSE),1),0)</f>
        <v>82305.600000000006</v>
      </c>
      <c r="W120" s="13">
        <f>IFERROR(Ohj.lask.[[#This Row],[Painotetut pisteet 5]]/Ohj.lask.[[#Totals],[Painotetut pisteet 5]],0)</f>
        <v>8.0475335758047641E-3</v>
      </c>
      <c r="X120" s="16">
        <f>ROUND(IFERROR('1.1 Jakotaulu'!M$18*Ohj.lask.[[#This Row],[%-osuus 5]],0),0)</f>
        <v>194517</v>
      </c>
      <c r="Y120" s="132">
        <f>IFERROR(ROUND(VLOOKUP($A120,'2.6 Työpaikkaohjaajakysely'!B:J,COLUMN('2.6 Työpaikkaohjaajakysely'!H:H),FALSE),1),0)</f>
        <v>2907066</v>
      </c>
      <c r="Z120" s="9">
        <f>IFERROR(Ohj.lask.[[#This Row],[Painotetut pisteet 6]]/Ohj.lask.[[#Totals],[Painotetut pisteet 6]],0)</f>
        <v>8.5651333527044567E-3</v>
      </c>
      <c r="AA120" s="16">
        <f>ROUND(IFERROR('1.1 Jakotaulu'!M$20*Ohj.lask.[[#This Row],[%-osuus 6]],0),0)</f>
        <v>207028</v>
      </c>
      <c r="AB120" s="132">
        <f>IFERROR(ROUND(VLOOKUP($A120,'2.7 Työpaikkakysely'!B:H,COLUMN('2.7 Työpaikkakysely'!F:F),FALSE),1),0)</f>
        <v>1690070.9</v>
      </c>
      <c r="AC120" s="9">
        <f>IFERROR(Ohj.lask.[[#This Row],[Pisteet 7]]/Ohj.lask.[[#Totals],[Pisteet 7]],0)</f>
        <v>9.1589324912330367E-3</v>
      </c>
      <c r="AD120" s="16">
        <f>ROUND(IFERROR('1.1 Jakotaulu'!M$21*Ohj.lask.[[#This Row],[%-osuus 7]],0),0)</f>
        <v>73793</v>
      </c>
      <c r="AE120" s="12">
        <f>IFERROR(Ohj.lask.[[#This Row],[Jaettava € 8]]/Ohj.lask.[[#Totals],[Jaettava € 8]],"")</f>
        <v>7.8404091170746794E-3</v>
      </c>
      <c r="AF12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16650324</v>
      </c>
      <c r="AG120" s="102">
        <v>0</v>
      </c>
      <c r="AH120" s="102">
        <v>55000</v>
      </c>
      <c r="AI120" s="102">
        <v>0</v>
      </c>
      <c r="AJ120" s="102">
        <v>0</v>
      </c>
      <c r="AK120" s="102">
        <v>22000</v>
      </c>
      <c r="AL120" s="107">
        <v>0</v>
      </c>
      <c r="AM120" s="107">
        <v>86750</v>
      </c>
      <c r="AN12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163750</v>
      </c>
      <c r="AO120" s="10">
        <f>Ohj.lask.[[#This Row],[Jaettava € 1]]+Ohj.lask.[[#This Row],[Harkinnanvarainen korotus 8, €]]</f>
        <v>11715338</v>
      </c>
      <c r="AP120" s="102">
        <f>Ohj.lask.[[#This Row],[Jaettava € 2]]</f>
        <v>3240170</v>
      </c>
      <c r="AQ120" s="10">
        <f>Ohj.lask.[[#This Row],[Jaettava € 3]]+Ohj.lask.[[#This Row],[Jaettava € 4]]+Ohj.lask.[[#This Row],[Jaettava € 5]]+Ohj.lask.[[#This Row],[Jaettava € 6]]+Ohj.lask.[[#This Row],[Jaettava € 7]]</f>
        <v>1858566</v>
      </c>
      <c r="AR120" s="33">
        <f>Ohj.lask.[[#This Row],[Jaettava € 8]]+Ohj.lask.[[#This Row],[Harkinnanvarainen korotus 8, €]]</f>
        <v>16814074</v>
      </c>
      <c r="AS120" s="33">
        <v>0</v>
      </c>
      <c r="AT120" s="16">
        <f>Ohj.lask.[[#This Row],[Perus-, suoritus- ja vaikuttavuusrahoitus yhteensä, €]]+Ohj.lask.[[#This Row],[Alv-korvaus, €]]</f>
        <v>16814074</v>
      </c>
    </row>
    <row r="121" spans="1:46" ht="12.75" x14ac:dyDescent="0.2">
      <c r="A121" s="3" t="s">
        <v>204</v>
      </c>
      <c r="B121" s="7" t="s">
        <v>108</v>
      </c>
      <c r="C121" s="96" t="s">
        <v>182</v>
      </c>
      <c r="D121" s="96" t="s">
        <v>325</v>
      </c>
      <c r="E121" s="96" t="s">
        <v>373</v>
      </c>
      <c r="F121" s="104">
        <v>956</v>
      </c>
      <c r="G121" s="106">
        <f>Ohj.lask.[[#This Row],[Tavoitteelliset opiskelija-vuodet]]-Ohj.lask.[[#This Row],[Järjestämisluvan opisk.vuosien vähimmäismäärä]]</f>
        <v>1534</v>
      </c>
      <c r="H121" s="32">
        <v>2490</v>
      </c>
      <c r="I121" s="8">
        <f>IFERROR(VLOOKUP($A121,'2.1 Toteut. op.vuodet'!$A:$T,COLUMN('2.1 Toteut. op.vuodet'!S:S),FALSE),0)</f>
        <v>0.90242157400230993</v>
      </c>
      <c r="J121" s="74">
        <f t="shared" si="3"/>
        <v>2247</v>
      </c>
      <c r="K121" s="9">
        <f>IFERROR(Ohj.lask.[[#This Row],[Painotetut opiskelija-vuodet]]/Ohj.lask.[[#Totals],[Painotetut opiskelija-vuodet]],0)</f>
        <v>1.0367365544911869E-2</v>
      </c>
      <c r="L121" s="10">
        <f>ROUND(IFERROR('1.1 Jakotaulu'!L$12*Ohj.lask.[[#This Row],[%-osuus 1]],0),0)</f>
        <v>15334329</v>
      </c>
      <c r="M121" s="132">
        <f>IFERROR(ROUND(VLOOKUP($A121,'2.2 Tutk. ja osien pain. pist.'!$A:$Q,COLUMN('2.2 Tutk. ja osien pain. pist.'!O:O),FALSE),1),0)</f>
        <v>220375.5</v>
      </c>
      <c r="N121" s="9">
        <f>IFERROR(Ohj.lask.[[#This Row],[Painotetut pisteet 2]]/Ohj.lask.[[#Totals],[Painotetut pisteet 2]],0)</f>
        <v>1.4385964307587993E-2</v>
      </c>
      <c r="O121" s="16">
        <f>ROUND(IFERROR('1.1 Jakotaulu'!K$13*Ohj.lask.[[#This Row],[%-osuus 2]],0),0)</f>
        <v>6181735</v>
      </c>
      <c r="P121" s="133">
        <f>IFERROR(ROUND(VLOOKUP($A121,'2.3 Työll. ja jatko-opisk.'!$A:$Z,COLUMN('2.3 Työll. ja jatko-opisk.'!L:L),FALSE),1),0)</f>
        <v>4583.8999999999996</v>
      </c>
      <c r="Q121" s="13">
        <f>IFERROR(Ohj.lask.[[#This Row],[Painotetut pisteet 3]]/Ohj.lask.[[#Totals],[Painotetut pisteet 3]],0)</f>
        <v>1.4666790385747554E-2</v>
      </c>
      <c r="R121" s="10">
        <f>ROUND(IFERROR('1.1 Jakotaulu'!L$15*Ohj.lask.[[#This Row],[%-osuus 3]],0),0)</f>
        <v>2205843</v>
      </c>
      <c r="S121" s="132">
        <f>IFERROR(ROUND(VLOOKUP($A121,'2.4 Aloittaneet palaute'!$A:$I,COLUMN('2.4 Aloittaneet palaute'!H:H),FALSE),1),0)</f>
        <v>32922</v>
      </c>
      <c r="T121" s="13">
        <f>IFERROR(Ohj.lask.[[#This Row],[Painotetut pisteet 4]]/Ohj.lask.[[#Totals],[Painotetut pisteet 4]],0)</f>
        <v>1.9750492997429772E-2</v>
      </c>
      <c r="U121" s="16">
        <f>ROUND(IFERROR('1.1 Jakotaulu'!M$17*Ohj.lask.[[#This Row],[%-osuus 4]],0),0)</f>
        <v>159129</v>
      </c>
      <c r="V121" s="132">
        <f>IFERROR(ROUND(VLOOKUP($A121,'2.5 Päättäneet palaute'!$A:$Z,COLUMN('2.5 Päättäneet palaute'!X:X),FALSE),1),0)</f>
        <v>224332.79999999999</v>
      </c>
      <c r="W121" s="13">
        <f>IFERROR(Ohj.lask.[[#This Row],[Painotetut pisteet 5]]/Ohj.lask.[[#Totals],[Painotetut pisteet 5]],0)</f>
        <v>2.1934421718015479E-2</v>
      </c>
      <c r="X121" s="16">
        <f>ROUND(IFERROR('1.1 Jakotaulu'!M$18*Ohj.lask.[[#This Row],[%-osuus 5]],0),0)</f>
        <v>530176</v>
      </c>
      <c r="Y121" s="132">
        <f>IFERROR(ROUND(VLOOKUP($A121,'2.6 Työpaikkaohjaajakysely'!B:J,COLUMN('2.6 Työpaikkaohjaajakysely'!H:H),FALSE),1),0)</f>
        <v>6467006.5999999996</v>
      </c>
      <c r="Z121" s="9">
        <f>IFERROR(Ohj.lask.[[#This Row],[Painotetut pisteet 6]]/Ohj.lask.[[#Totals],[Painotetut pisteet 6]],0)</f>
        <v>1.9053841199965824E-2</v>
      </c>
      <c r="AA121" s="16">
        <f>ROUND(IFERROR('1.1 Jakotaulu'!M$20*Ohj.lask.[[#This Row],[%-osuus 6]],0),0)</f>
        <v>460550</v>
      </c>
      <c r="AB121" s="132">
        <f>IFERROR(ROUND(VLOOKUP($A121,'2.7 Työpaikkakysely'!B:H,COLUMN('2.7 Työpaikkakysely'!F:F),FALSE),1),0)</f>
        <v>3847314.6</v>
      </c>
      <c r="AC121" s="9">
        <f>IFERROR(Ohj.lask.[[#This Row],[Pisteet 7]]/Ohj.lask.[[#Totals],[Pisteet 7]],0)</f>
        <v>2.0849595537048318E-2</v>
      </c>
      <c r="AD121" s="16">
        <f>ROUND(IFERROR('1.1 Jakotaulu'!M$21*Ohj.lask.[[#This Row],[%-osuus 7]],0),0)</f>
        <v>167985</v>
      </c>
      <c r="AE121" s="12">
        <f>IFERROR(Ohj.lask.[[#This Row],[Jaettava € 8]]/Ohj.lask.[[#Totals],[Jaettava € 8]],"")</f>
        <v>1.1790873298804476E-2</v>
      </c>
      <c r="AF12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25039747</v>
      </c>
      <c r="AG121" s="102">
        <v>0</v>
      </c>
      <c r="AH121" s="102">
        <v>165000</v>
      </c>
      <c r="AI121" s="102">
        <v>0</v>
      </c>
      <c r="AJ121" s="102">
        <v>0</v>
      </c>
      <c r="AK121" s="102">
        <v>75000</v>
      </c>
      <c r="AL121" s="107">
        <v>0</v>
      </c>
      <c r="AM121" s="107">
        <v>16481</v>
      </c>
      <c r="AN12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256481</v>
      </c>
      <c r="AO121" s="10">
        <f>Ohj.lask.[[#This Row],[Jaettava € 1]]+Ohj.lask.[[#This Row],[Harkinnanvarainen korotus 8, €]]</f>
        <v>15590810</v>
      </c>
      <c r="AP121" s="102">
        <f>Ohj.lask.[[#This Row],[Jaettava € 2]]</f>
        <v>6181735</v>
      </c>
      <c r="AQ121" s="10">
        <f>Ohj.lask.[[#This Row],[Jaettava € 3]]+Ohj.lask.[[#This Row],[Jaettava € 4]]+Ohj.lask.[[#This Row],[Jaettava € 5]]+Ohj.lask.[[#This Row],[Jaettava € 6]]+Ohj.lask.[[#This Row],[Jaettava € 7]]</f>
        <v>3523683</v>
      </c>
      <c r="AR121" s="33">
        <f>Ohj.lask.[[#This Row],[Jaettava € 8]]+Ohj.lask.[[#This Row],[Harkinnanvarainen korotus 8, €]]</f>
        <v>25296228</v>
      </c>
      <c r="AS121" s="33">
        <v>1686057</v>
      </c>
      <c r="AT121" s="16">
        <f>Ohj.lask.[[#This Row],[Perus-, suoritus- ja vaikuttavuusrahoitus yhteensä, €]]+Ohj.lask.[[#This Row],[Alv-korvaus, €]]</f>
        <v>26982285</v>
      </c>
    </row>
    <row r="122" spans="1:46" ht="12.75" x14ac:dyDescent="0.2">
      <c r="A122" s="3" t="s">
        <v>203</v>
      </c>
      <c r="B122" s="7" t="s">
        <v>109</v>
      </c>
      <c r="C122" s="7" t="s">
        <v>182</v>
      </c>
      <c r="D122" s="7" t="s">
        <v>326</v>
      </c>
      <c r="E122" s="7" t="s">
        <v>373</v>
      </c>
      <c r="F122" s="105">
        <v>8065</v>
      </c>
      <c r="G122" s="106">
        <f>Ohj.lask.[[#This Row],[Tavoitteelliset opiskelija-vuodet]]-Ohj.lask.[[#This Row],[Järjestämisluvan opisk.vuosien vähimmäismäärä]]</f>
        <v>611</v>
      </c>
      <c r="H122" s="32">
        <v>8676</v>
      </c>
      <c r="I122" s="8">
        <f>IFERROR(VLOOKUP($A122,'2.1 Toteut. op.vuodet'!$A:$T,COLUMN('2.1 Toteut. op.vuodet'!S:S),FALSE),0)</f>
        <v>1.1447625161324204</v>
      </c>
      <c r="J122" s="74">
        <f t="shared" si="3"/>
        <v>9932</v>
      </c>
      <c r="K122" s="9">
        <f>IFERROR(Ohj.lask.[[#This Row],[Painotetut opiskelija-vuodet]]/Ohj.lask.[[#Totals],[Painotetut opiskelija-vuodet]],0)</f>
        <v>4.5824955314670533E-2</v>
      </c>
      <c r="L122" s="10">
        <f>ROUND(IFERROR('1.1 Jakotaulu'!L$12*Ohj.lask.[[#This Row],[%-osuus 1]],0),0)</f>
        <v>67779508</v>
      </c>
      <c r="M122" s="132">
        <f>IFERROR(ROUND(VLOOKUP($A122,'2.2 Tutk. ja osien pain. pist.'!$A:$Q,COLUMN('2.2 Tutk. ja osien pain. pist.'!O:O),FALSE),1),0)</f>
        <v>747862.1</v>
      </c>
      <c r="N122" s="9">
        <f>IFERROR(Ohj.lask.[[#This Row],[Painotetut pisteet 2]]/Ohj.lask.[[#Totals],[Painotetut pisteet 2]],0)</f>
        <v>4.8819934509951431E-2</v>
      </c>
      <c r="O122" s="16">
        <f>ROUND(IFERROR('1.1 Jakotaulu'!K$13*Ohj.lask.[[#This Row],[%-osuus 2]],0),0)</f>
        <v>20978219</v>
      </c>
      <c r="P122" s="133">
        <f>IFERROR(ROUND(VLOOKUP($A122,'2.3 Työll. ja jatko-opisk.'!$A:$Z,COLUMN('2.3 Työll. ja jatko-opisk.'!L:L),FALSE),1),0)</f>
        <v>16171</v>
      </c>
      <c r="Q122" s="9">
        <f>IFERROR(Ohj.lask.[[#This Row],[Painotetut pisteet 3]]/Ohj.lask.[[#Totals],[Painotetut pisteet 3]],0)</f>
        <v>5.1741239409220041E-2</v>
      </c>
      <c r="R122" s="10">
        <f>ROUND(IFERROR('1.1 Jakotaulu'!L$15*Ohj.lask.[[#This Row],[%-osuus 3]],0),0)</f>
        <v>7781732</v>
      </c>
      <c r="S122" s="132">
        <f>IFERROR(ROUND(VLOOKUP($A122,'2.4 Aloittaneet palaute'!$A:$I,COLUMN('2.4 Aloittaneet palaute'!H:H),FALSE),1),0)</f>
        <v>65525.9</v>
      </c>
      <c r="T122" s="13">
        <f>IFERROR(Ohj.lask.[[#This Row],[Painotetut pisteet 4]]/Ohj.lask.[[#Totals],[Painotetut pisteet 4]],0)</f>
        <v>3.9310152150546243E-2</v>
      </c>
      <c r="U122" s="16">
        <f>ROUND(IFERROR('1.1 Jakotaulu'!M$17*Ohj.lask.[[#This Row],[%-osuus 4]],0),0)</f>
        <v>316721</v>
      </c>
      <c r="V122" s="132">
        <f>IFERROR(ROUND(VLOOKUP($A122,'2.5 Päättäneet palaute'!$A:$Z,COLUMN('2.5 Päättäneet palaute'!X:X),FALSE),1),0)</f>
        <v>432018.2</v>
      </c>
      <c r="W122" s="13">
        <f>IFERROR(Ohj.lask.[[#This Row],[Painotetut pisteet 5]]/Ohj.lask.[[#Totals],[Painotetut pisteet 5]],0)</f>
        <v>4.2241122959540266E-2</v>
      </c>
      <c r="X122" s="16">
        <f>ROUND(IFERROR('1.1 Jakotaulu'!M$18*Ohj.lask.[[#This Row],[%-osuus 5]],0),0)</f>
        <v>1021009</v>
      </c>
      <c r="Y122" s="132">
        <f>IFERROR(ROUND(VLOOKUP($A122,'2.6 Työpaikkaohjaajakysely'!B:J,COLUMN('2.6 Työpaikkaohjaajakysely'!H:H),FALSE),1),0)</f>
        <v>15425527.6</v>
      </c>
      <c r="Z122" s="9">
        <f>IFERROR(Ohj.lask.[[#This Row],[Painotetut pisteet 6]]/Ohj.lask.[[#Totals],[Painotetut pisteet 6]],0)</f>
        <v>4.5448469670046406E-2</v>
      </c>
      <c r="AA122" s="16">
        <f>ROUND(IFERROR('1.1 Jakotaulu'!M$20*Ohj.lask.[[#This Row],[%-osuus 6]],0),0)</f>
        <v>1098533</v>
      </c>
      <c r="AB122" s="132">
        <f>IFERROR(ROUND(VLOOKUP($A122,'2.7 Työpaikkakysely'!B:H,COLUMN('2.7 Työpaikkakysely'!F:F),FALSE),1),0)</f>
        <v>6034764</v>
      </c>
      <c r="AC122" s="9">
        <f>IFERROR(Ohj.lask.[[#This Row],[Pisteet 7]]/Ohj.lask.[[#Totals],[Pisteet 7]],0)</f>
        <v>3.2703951104372866E-2</v>
      </c>
      <c r="AD122" s="16">
        <f>ROUND(IFERROR('1.1 Jakotaulu'!M$21*Ohj.lask.[[#This Row],[%-osuus 7]],0),0)</f>
        <v>263495</v>
      </c>
      <c r="AE122" s="12">
        <f>IFERROR(Ohj.lask.[[#This Row],[Jaettava € 8]]/Ohj.lask.[[#Totals],[Jaettava € 8]],"")</f>
        <v>4.6730385651243329E-2</v>
      </c>
      <c r="AF12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99239217</v>
      </c>
      <c r="AG122" s="102">
        <v>0</v>
      </c>
      <c r="AH122" s="102">
        <v>0</v>
      </c>
      <c r="AI122" s="102">
        <v>0</v>
      </c>
      <c r="AJ122" s="102">
        <v>0</v>
      </c>
      <c r="AK122" s="102">
        <v>134000</v>
      </c>
      <c r="AL122" s="107">
        <v>110000</v>
      </c>
      <c r="AM122" s="107">
        <v>375922</v>
      </c>
      <c r="AN12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619922</v>
      </c>
      <c r="AO122" s="10">
        <f>Ohj.lask.[[#This Row],[Jaettava € 1]]+Ohj.lask.[[#This Row],[Harkinnanvarainen korotus 8, €]]</f>
        <v>68399430</v>
      </c>
      <c r="AP122" s="102">
        <f>Ohj.lask.[[#This Row],[Jaettava € 2]]</f>
        <v>20978219</v>
      </c>
      <c r="AQ122" s="10">
        <f>Ohj.lask.[[#This Row],[Jaettava € 3]]+Ohj.lask.[[#This Row],[Jaettava € 4]]+Ohj.lask.[[#This Row],[Jaettava € 5]]+Ohj.lask.[[#This Row],[Jaettava € 6]]+Ohj.lask.[[#This Row],[Jaettava € 7]]</f>
        <v>10481490</v>
      </c>
      <c r="AR122" s="33">
        <f>Ohj.lask.[[#This Row],[Jaettava € 8]]+Ohj.lask.[[#This Row],[Harkinnanvarainen korotus 8, €]]</f>
        <v>99859139</v>
      </c>
      <c r="AS122" s="33">
        <v>0</v>
      </c>
      <c r="AT122" s="16">
        <f>Ohj.lask.[[#This Row],[Perus-, suoritus- ja vaikuttavuusrahoitus yhteensä, €]]+Ohj.lask.[[#This Row],[Alv-korvaus, €]]</f>
        <v>99859139</v>
      </c>
    </row>
    <row r="123" spans="1:46" ht="12.75" x14ac:dyDescent="0.2">
      <c r="A123" s="3" t="s">
        <v>202</v>
      </c>
      <c r="B123" s="7" t="s">
        <v>110</v>
      </c>
      <c r="C123" s="7" t="s">
        <v>182</v>
      </c>
      <c r="D123" s="7" t="s">
        <v>325</v>
      </c>
      <c r="E123" s="7" t="s">
        <v>373</v>
      </c>
      <c r="F123" s="105">
        <v>61</v>
      </c>
      <c r="G123" s="106">
        <f>Ohj.lask.[[#This Row],[Tavoitteelliset opiskelija-vuodet]]-Ohj.lask.[[#This Row],[Järjestämisluvan opisk.vuosien vähimmäismäärä]]</f>
        <v>3</v>
      </c>
      <c r="H123" s="32">
        <v>64</v>
      </c>
      <c r="I123" s="8">
        <f>IFERROR(VLOOKUP($A123,'2.1 Toteut. op.vuodet'!$A:$T,COLUMN('2.1 Toteut. op.vuodet'!S:S),FALSE),0)</f>
        <v>1.3557548329138187</v>
      </c>
      <c r="J123" s="74">
        <f t="shared" si="3"/>
        <v>86.8</v>
      </c>
      <c r="K123" s="9">
        <f>IFERROR(Ohj.lask.[[#This Row],[Painotetut opiskelija-vuodet]]/Ohj.lask.[[#Totals],[Painotetut opiskelija-vuodet]],0)</f>
        <v>4.0048390266949279E-4</v>
      </c>
      <c r="L123" s="10">
        <f>ROUND(IFERROR('1.1 Jakotaulu'!L$12*Ohj.lask.[[#This Row],[%-osuus 1]],0),0)</f>
        <v>592354</v>
      </c>
      <c r="M123" s="132">
        <f>IFERROR(ROUND(VLOOKUP($A123,'2.2 Tutk. ja osien pain. pist.'!$A:$Q,COLUMN('2.2 Tutk. ja osien pain. pist.'!O:O),FALSE),1),0)</f>
        <v>6685.7</v>
      </c>
      <c r="N123" s="9">
        <f>IFERROR(Ohj.lask.[[#This Row],[Painotetut pisteet 2]]/Ohj.lask.[[#Totals],[Painotetut pisteet 2]],0)</f>
        <v>4.3643799592623061E-4</v>
      </c>
      <c r="O123" s="16">
        <f>ROUND(IFERROR('1.1 Jakotaulu'!K$13*Ohj.lask.[[#This Row],[%-osuus 2]],0),0)</f>
        <v>187540</v>
      </c>
      <c r="P123" s="133">
        <f>IFERROR(ROUND(VLOOKUP($A123,'2.3 Työll. ja jatko-opisk.'!$A:$Z,COLUMN('2.3 Työll. ja jatko-opisk.'!L:L),FALSE),1),0)</f>
        <v>111.2</v>
      </c>
      <c r="Q123" s="9">
        <f>IFERROR(Ohj.lask.[[#This Row],[Painotetut pisteet 3]]/Ohj.lask.[[#Totals],[Painotetut pisteet 3]],0)</f>
        <v>3.5579901195382282E-4</v>
      </c>
      <c r="R123" s="10">
        <f>ROUND(IFERROR('1.1 Jakotaulu'!L$15*Ohj.lask.[[#This Row],[%-osuus 3]],0),0)</f>
        <v>53511</v>
      </c>
      <c r="S123" s="132">
        <f>IFERROR(ROUND(VLOOKUP($A123,'2.4 Aloittaneet palaute'!$A:$I,COLUMN('2.4 Aloittaneet palaute'!H:H),FALSE),1),0)</f>
        <v>404.8</v>
      </c>
      <c r="T123" s="13">
        <f>IFERROR(Ohj.lask.[[#This Row],[Painotetut pisteet 4]]/Ohj.lask.[[#Totals],[Painotetut pisteet 4]],0)</f>
        <v>2.4284671542918327E-4</v>
      </c>
      <c r="U123" s="16">
        <f>ROUND(IFERROR('1.1 Jakotaulu'!M$17*Ohj.lask.[[#This Row],[%-osuus 4]],0),0)</f>
        <v>1957</v>
      </c>
      <c r="V123" s="132">
        <f>IFERROR(ROUND(VLOOKUP($A123,'2.5 Päättäneet palaute'!$A:$Z,COLUMN('2.5 Päättäneet palaute'!X:X),FALSE),1),0)</f>
        <v>2076.4</v>
      </c>
      <c r="W123" s="13">
        <f>IFERROR(Ohj.lask.[[#This Row],[Painotetut pisteet 5]]/Ohj.lask.[[#Totals],[Painotetut pisteet 5]],0)</f>
        <v>2.0302262199414149E-4</v>
      </c>
      <c r="X123" s="16">
        <f>ROUND(IFERROR('1.1 Jakotaulu'!M$18*Ohj.lask.[[#This Row],[%-osuus 5]],0),0)</f>
        <v>4907</v>
      </c>
      <c r="Y123" s="132">
        <f>IFERROR(ROUND(VLOOKUP($A123,'2.6 Työpaikkaohjaajakysely'!B:J,COLUMN('2.6 Työpaikkaohjaajakysely'!H:H),FALSE),1),0)</f>
        <v>0</v>
      </c>
      <c r="Z123" s="9">
        <f>IFERROR(Ohj.lask.[[#This Row],[Painotetut pisteet 6]]/Ohj.lask.[[#Totals],[Painotetut pisteet 6]],0)</f>
        <v>0</v>
      </c>
      <c r="AA123" s="16">
        <f>ROUND(IFERROR('1.1 Jakotaulu'!M$20*Ohj.lask.[[#This Row],[%-osuus 6]],0),0)</f>
        <v>0</v>
      </c>
      <c r="AB123" s="132">
        <f>IFERROR(ROUND(VLOOKUP($A123,'2.7 Työpaikkakysely'!B:H,COLUMN('2.7 Työpaikkakysely'!F:F),FALSE),1),0)</f>
        <v>0</v>
      </c>
      <c r="AC123" s="9">
        <f>IFERROR(Ohj.lask.[[#This Row],[Pisteet 7]]/Ohj.lask.[[#Totals],[Pisteet 7]],0)</f>
        <v>0</v>
      </c>
      <c r="AD123" s="16">
        <f>ROUND(IFERROR('1.1 Jakotaulu'!M$21*Ohj.lask.[[#This Row],[%-osuus 7]],0),0)</f>
        <v>0</v>
      </c>
      <c r="AE123" s="12">
        <f>IFERROR(Ohj.lask.[[#This Row],[Jaettava € 8]]/Ohj.lask.[[#Totals],[Jaettava € 8]],"")</f>
        <v>3.956711429996932E-4</v>
      </c>
      <c r="AF12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840269</v>
      </c>
      <c r="AG123" s="102">
        <v>0</v>
      </c>
      <c r="AH123" s="102">
        <v>0</v>
      </c>
      <c r="AI123" s="102">
        <v>0</v>
      </c>
      <c r="AJ123" s="102">
        <v>0</v>
      </c>
      <c r="AK123" s="102">
        <v>0</v>
      </c>
      <c r="AL123" s="107">
        <v>0</v>
      </c>
      <c r="AM123" s="107">
        <v>0</v>
      </c>
      <c r="AN12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23" s="10">
        <f>Ohj.lask.[[#This Row],[Jaettava € 1]]+Ohj.lask.[[#This Row],[Harkinnanvarainen korotus 8, €]]</f>
        <v>592354</v>
      </c>
      <c r="AP123" s="102">
        <f>Ohj.lask.[[#This Row],[Jaettava € 2]]</f>
        <v>187540</v>
      </c>
      <c r="AQ123" s="10">
        <f>Ohj.lask.[[#This Row],[Jaettava € 3]]+Ohj.lask.[[#This Row],[Jaettava € 4]]+Ohj.lask.[[#This Row],[Jaettava € 5]]+Ohj.lask.[[#This Row],[Jaettava € 6]]+Ohj.lask.[[#This Row],[Jaettava € 7]]</f>
        <v>60375</v>
      </c>
      <c r="AR123" s="33">
        <f>Ohj.lask.[[#This Row],[Jaettava € 8]]+Ohj.lask.[[#This Row],[Harkinnanvarainen korotus 8, €]]</f>
        <v>840269</v>
      </c>
      <c r="AS123" s="33">
        <v>34964</v>
      </c>
      <c r="AT123" s="16">
        <f>Ohj.lask.[[#This Row],[Perus-, suoritus- ja vaikuttavuusrahoitus yhteensä, €]]+Ohj.lask.[[#This Row],[Alv-korvaus, €]]</f>
        <v>875233</v>
      </c>
    </row>
    <row r="124" spans="1:46" ht="12.75" x14ac:dyDescent="0.2">
      <c r="A124" s="3" t="s">
        <v>201</v>
      </c>
      <c r="B124" s="7" t="s">
        <v>111</v>
      </c>
      <c r="C124" s="7" t="s">
        <v>200</v>
      </c>
      <c r="D124" s="7" t="s">
        <v>325</v>
      </c>
      <c r="E124" s="7" t="s">
        <v>373</v>
      </c>
      <c r="F124" s="105">
        <v>66</v>
      </c>
      <c r="G124" s="106">
        <f>Ohj.lask.[[#This Row],[Tavoitteelliset opiskelija-vuodet]]-Ohj.lask.[[#This Row],[Järjestämisluvan opisk.vuosien vähimmäismäärä]]</f>
        <v>4</v>
      </c>
      <c r="H124" s="32">
        <v>70</v>
      </c>
      <c r="I124" s="8">
        <f>IFERROR(VLOOKUP($A124,'2.1 Toteut. op.vuodet'!$A:$T,COLUMN('2.1 Toteut. op.vuodet'!S:S),FALSE),0)</f>
        <v>1.9359677985944541</v>
      </c>
      <c r="J124" s="74">
        <f t="shared" si="3"/>
        <v>135.5</v>
      </c>
      <c r="K124" s="9">
        <f>IFERROR(Ohj.lask.[[#This Row],[Painotetut opiskelija-vuodet]]/Ohj.lask.[[#Totals],[Painotetut opiskelija-vuodet]],0)</f>
        <v>6.2517936419027962E-4</v>
      </c>
      <c r="L124" s="10">
        <f>ROUND(IFERROR('1.1 Jakotaulu'!L$12*Ohj.lask.[[#This Row],[%-osuus 1]],0),0)</f>
        <v>924700</v>
      </c>
      <c r="M124" s="132">
        <f>IFERROR(ROUND(VLOOKUP($A124,'2.2 Tutk. ja osien pain. pist.'!$A:$Q,COLUMN('2.2 Tutk. ja osien pain. pist.'!O:O),FALSE),1),0)</f>
        <v>10092.6</v>
      </c>
      <c r="N124" s="9">
        <f>IFERROR(Ohj.lask.[[#This Row],[Painotetut pisteet 2]]/Ohj.lask.[[#Totals],[Painotetut pisteet 2]],0)</f>
        <v>6.5883813477797027E-4</v>
      </c>
      <c r="O124" s="16">
        <f>ROUND(IFERROR('1.1 Jakotaulu'!K$13*Ohj.lask.[[#This Row],[%-osuus 2]],0),0)</f>
        <v>283107</v>
      </c>
      <c r="P124" s="133">
        <f>IFERROR(ROUND(VLOOKUP($A124,'2.3 Työll. ja jatko-opisk.'!$A:$Z,COLUMN('2.3 Työll. ja jatko-opisk.'!L:L),FALSE),1),0)</f>
        <v>195.6</v>
      </c>
      <c r="Q124" s="9">
        <f>IFERROR(Ohj.lask.[[#This Row],[Painotetut pisteet 3]]/Ohj.lask.[[#Totals],[Painotetut pisteet 3]],0)</f>
        <v>6.2584790232165231E-4</v>
      </c>
      <c r="R124" s="10">
        <f>ROUND(IFERROR('1.1 Jakotaulu'!L$15*Ohj.lask.[[#This Row],[%-osuus 3]],0),0)</f>
        <v>94126</v>
      </c>
      <c r="S124" s="132">
        <f>IFERROR(ROUND(VLOOKUP($A124,'2.4 Aloittaneet palaute'!$A:$I,COLUMN('2.4 Aloittaneet palaute'!H:H),FALSE),1),0)</f>
        <v>832.1</v>
      </c>
      <c r="T124" s="13">
        <f>IFERROR(Ohj.lask.[[#This Row],[Painotetut pisteet 4]]/Ohj.lask.[[#Totals],[Painotetut pisteet 4]],0)</f>
        <v>4.9919158080193526E-4</v>
      </c>
      <c r="U124" s="16">
        <f>ROUND(IFERROR('1.1 Jakotaulu'!M$17*Ohj.lask.[[#This Row],[%-osuus 4]],0),0)</f>
        <v>4022</v>
      </c>
      <c r="V124" s="132">
        <f>IFERROR(ROUND(VLOOKUP($A124,'2.5 Päättäneet palaute'!$A:$Z,COLUMN('2.5 Päättäneet palaute'!X:X),FALSE),1),0)</f>
        <v>5611.3</v>
      </c>
      <c r="W124" s="13">
        <f>IFERROR(Ohj.lask.[[#This Row],[Painotetut pisteet 5]]/Ohj.lask.[[#Totals],[Painotetut pisteet 5]],0)</f>
        <v>5.4865191619905905E-4</v>
      </c>
      <c r="X124" s="16">
        <f>ROUND(IFERROR('1.1 Jakotaulu'!M$18*Ohj.lask.[[#This Row],[%-osuus 5]],0),0)</f>
        <v>13261</v>
      </c>
      <c r="Y124" s="132">
        <f>IFERROR(ROUND(VLOOKUP($A124,'2.6 Työpaikkaohjaajakysely'!B:J,COLUMN('2.6 Työpaikkaohjaajakysely'!H:H),FALSE),1),0)</f>
        <v>187044.5</v>
      </c>
      <c r="Z124" s="9">
        <f>IFERROR(Ohj.lask.[[#This Row],[Painotetut pisteet 6]]/Ohj.lask.[[#Totals],[Painotetut pisteet 6]],0)</f>
        <v>5.5109209264252298E-4</v>
      </c>
      <c r="AA124" s="16">
        <f>ROUND(IFERROR('1.1 Jakotaulu'!M$20*Ohj.lask.[[#This Row],[%-osuus 6]],0),0)</f>
        <v>13320</v>
      </c>
      <c r="AB124" s="132">
        <f>IFERROR(ROUND(VLOOKUP($A124,'2.7 Työpaikkakysely'!B:H,COLUMN('2.7 Työpaikkakysely'!F:F),FALSE),1),0)</f>
        <v>148499</v>
      </c>
      <c r="AC124" s="9">
        <f>IFERROR(Ohj.lask.[[#This Row],[Pisteet 7]]/Ohj.lask.[[#Totals],[Pisteet 7]],0)</f>
        <v>8.0475459107402813E-4</v>
      </c>
      <c r="AD124" s="16">
        <f>ROUND(IFERROR('1.1 Jakotaulu'!M$21*Ohj.lask.[[#This Row],[%-osuus 7]],0),0)</f>
        <v>6484</v>
      </c>
      <c r="AE124" s="12">
        <f>IFERROR(Ohj.lask.[[#This Row],[Jaettava € 8]]/Ohj.lask.[[#Totals],[Jaettava € 8]],"")</f>
        <v>6.3052614567412246E-4</v>
      </c>
      <c r="AF12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1339020</v>
      </c>
      <c r="AG124" s="102">
        <v>0</v>
      </c>
      <c r="AH124" s="102">
        <v>0</v>
      </c>
      <c r="AI124" s="102">
        <v>0</v>
      </c>
      <c r="AJ124" s="102">
        <v>0</v>
      </c>
      <c r="AK124" s="102">
        <v>0</v>
      </c>
      <c r="AL124" s="107">
        <v>0</v>
      </c>
      <c r="AM124" s="107">
        <v>0</v>
      </c>
      <c r="AN12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24" s="10">
        <f>Ohj.lask.[[#This Row],[Jaettava € 1]]+Ohj.lask.[[#This Row],[Harkinnanvarainen korotus 8, €]]</f>
        <v>924700</v>
      </c>
      <c r="AP124" s="102">
        <f>Ohj.lask.[[#This Row],[Jaettava € 2]]</f>
        <v>283107</v>
      </c>
      <c r="AQ124" s="10">
        <f>Ohj.lask.[[#This Row],[Jaettava € 3]]+Ohj.lask.[[#This Row],[Jaettava € 4]]+Ohj.lask.[[#This Row],[Jaettava € 5]]+Ohj.lask.[[#This Row],[Jaettava € 6]]+Ohj.lask.[[#This Row],[Jaettava € 7]]</f>
        <v>131213</v>
      </c>
      <c r="AR124" s="33">
        <f>Ohj.lask.[[#This Row],[Jaettava € 8]]+Ohj.lask.[[#This Row],[Harkinnanvarainen korotus 8, €]]</f>
        <v>1339020</v>
      </c>
      <c r="AS124" s="33">
        <v>59798</v>
      </c>
      <c r="AT124" s="16">
        <f>Ohj.lask.[[#This Row],[Perus-, suoritus- ja vaikuttavuusrahoitus yhteensä, €]]+Ohj.lask.[[#This Row],[Alv-korvaus, €]]</f>
        <v>1398818</v>
      </c>
    </row>
    <row r="125" spans="1:46" ht="12.75" x14ac:dyDescent="0.2">
      <c r="A125" s="3" t="s">
        <v>197</v>
      </c>
      <c r="B125" s="7" t="s">
        <v>112</v>
      </c>
      <c r="C125" s="7" t="s">
        <v>177</v>
      </c>
      <c r="D125" s="7" t="s">
        <v>325</v>
      </c>
      <c r="E125" s="7" t="s">
        <v>373</v>
      </c>
      <c r="F125" s="105">
        <v>184</v>
      </c>
      <c r="G125" s="106">
        <f>Ohj.lask.[[#This Row],[Tavoitteelliset opiskelija-vuodet]]-Ohj.lask.[[#This Row],[Järjestämisluvan opisk.vuosien vähimmäismäärä]]</f>
        <v>22</v>
      </c>
      <c r="H125" s="32">
        <v>206</v>
      </c>
      <c r="I125" s="8">
        <f>IFERROR(VLOOKUP($A125,'2.1 Toteut. op.vuodet'!$A:$T,COLUMN('2.1 Toteut. op.vuodet'!S:S),FALSE),0)</f>
        <v>1.3458900575975687</v>
      </c>
      <c r="J125" s="74">
        <f t="shared" si="3"/>
        <v>277.3</v>
      </c>
      <c r="K125" s="9">
        <f>IFERROR(Ohj.lask.[[#This Row],[Painotetut opiskelija-vuodet]]/Ohj.lask.[[#Totals],[Painotetut opiskelija-vuodet]],0)</f>
        <v>1.2794261084130224E-3</v>
      </c>
      <c r="L125" s="10">
        <f>ROUND(IFERROR('1.1 Jakotaulu'!L$12*Ohj.lask.[[#This Row],[%-osuus 1]],0),0)</f>
        <v>1892394</v>
      </c>
      <c r="M125" s="132">
        <f>IFERROR(ROUND(VLOOKUP($A125,'2.2 Tutk. ja osien pain. pist.'!$A:$Q,COLUMN('2.2 Tutk. ja osien pain. pist.'!O:O),FALSE),1),0)</f>
        <v>18915.3</v>
      </c>
      <c r="N125" s="9">
        <f>IFERROR(Ohj.lask.[[#This Row],[Painotetut pisteet 2]]/Ohj.lask.[[#Totals],[Painotetut pisteet 2]],0)</f>
        <v>1.2347780523121632E-3</v>
      </c>
      <c r="O125" s="16">
        <f>ROUND(IFERROR('1.1 Jakotaulu'!K$13*Ohj.lask.[[#This Row],[%-osuus 2]],0),0)</f>
        <v>530592</v>
      </c>
      <c r="P125" s="133">
        <f>IFERROR(ROUND(VLOOKUP($A125,'2.3 Työll. ja jatko-opisk.'!$A:$Z,COLUMN('2.3 Työll. ja jatko-opisk.'!L:L),FALSE),1),0)</f>
        <v>425.3</v>
      </c>
      <c r="Q125" s="9">
        <f>IFERROR(Ohj.lask.[[#This Row],[Painotetut pisteet 3]]/Ohj.lask.[[#Totals],[Painotetut pisteet 3]],0)</f>
        <v>1.3608032354672738E-3</v>
      </c>
      <c r="R125" s="10">
        <f>ROUND(IFERROR('1.1 Jakotaulu'!L$15*Ohj.lask.[[#This Row],[%-osuus 3]],0),0)</f>
        <v>204661</v>
      </c>
      <c r="S125" s="132">
        <f>IFERROR(ROUND(VLOOKUP($A125,'2.4 Aloittaneet palaute'!$A:$I,COLUMN('2.4 Aloittaneet palaute'!H:H),FALSE),1),0)</f>
        <v>1773.6</v>
      </c>
      <c r="T125" s="13">
        <f>IFERROR(Ohj.lask.[[#This Row],[Painotetut pisteet 4]]/Ohj.lask.[[#Totals],[Painotetut pisteet 4]],0)</f>
        <v>1.0640141662183781E-3</v>
      </c>
      <c r="U125" s="16">
        <f>ROUND(IFERROR('1.1 Jakotaulu'!M$17*Ohj.lask.[[#This Row],[%-osuus 4]],0),0)</f>
        <v>8573</v>
      </c>
      <c r="V125" s="132">
        <f>IFERROR(ROUND(VLOOKUP($A125,'2.5 Päättäneet palaute'!$A:$Z,COLUMN('2.5 Päättäneet palaute'!X:X),FALSE),1),0)</f>
        <v>9997.9</v>
      </c>
      <c r="W125" s="13">
        <f>IFERROR(Ohj.lask.[[#This Row],[Painotetut pisteet 5]]/Ohj.lask.[[#Totals],[Painotetut pisteet 5]],0)</f>
        <v>9.7755724929456133E-4</v>
      </c>
      <c r="X125" s="16">
        <f>ROUND(IFERROR('1.1 Jakotaulu'!M$18*Ohj.lask.[[#This Row],[%-osuus 5]],0),0)</f>
        <v>23629</v>
      </c>
      <c r="Y125" s="132">
        <f>IFERROR(ROUND(VLOOKUP($A125,'2.6 Työpaikkaohjaajakysely'!B:J,COLUMN('2.6 Työpaikkaohjaajakysely'!H:H),FALSE),1),0)</f>
        <v>306726</v>
      </c>
      <c r="Z125" s="9">
        <f>IFERROR(Ohj.lask.[[#This Row],[Painotetut pisteet 6]]/Ohj.lask.[[#Totals],[Painotetut pisteet 6]],0)</f>
        <v>9.0371154034398502E-4</v>
      </c>
      <c r="AA125" s="16">
        <f>ROUND(IFERROR('1.1 Jakotaulu'!M$20*Ohj.lask.[[#This Row],[%-osuus 6]],0),0)</f>
        <v>21844</v>
      </c>
      <c r="AB125" s="132">
        <f>IFERROR(ROUND(VLOOKUP($A125,'2.7 Työpaikkakysely'!B:H,COLUMN('2.7 Työpaikkakysely'!F:F),FALSE),1),0)</f>
        <v>113130</v>
      </c>
      <c r="AC125" s="9">
        <f>IFERROR(Ohj.lask.[[#This Row],[Pisteet 7]]/Ohj.lask.[[#Totals],[Pisteet 7]],0)</f>
        <v>6.130808078721392E-4</v>
      </c>
      <c r="AD125" s="16">
        <f>ROUND(IFERROR('1.1 Jakotaulu'!M$21*Ohj.lask.[[#This Row],[%-osuus 7]],0),0)</f>
        <v>4940</v>
      </c>
      <c r="AE125" s="12">
        <f>IFERROR(Ohj.lask.[[#This Row],[Jaettava € 8]]/Ohj.lask.[[#Totals],[Jaettava € 8]],"")</f>
        <v>1.2650986171460505E-3</v>
      </c>
      <c r="AF12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2686633</v>
      </c>
      <c r="AG125" s="102">
        <v>0</v>
      </c>
      <c r="AH125" s="102">
        <v>0</v>
      </c>
      <c r="AI125" s="102">
        <v>0</v>
      </c>
      <c r="AJ125" s="102">
        <v>0</v>
      </c>
      <c r="AK125" s="102">
        <v>0</v>
      </c>
      <c r="AL125" s="107">
        <v>0</v>
      </c>
      <c r="AM125" s="107">
        <v>0</v>
      </c>
      <c r="AN12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25" s="10">
        <f>Ohj.lask.[[#This Row],[Jaettava € 1]]+Ohj.lask.[[#This Row],[Harkinnanvarainen korotus 8, €]]</f>
        <v>1892394</v>
      </c>
      <c r="AP125" s="102">
        <f>Ohj.lask.[[#This Row],[Jaettava € 2]]</f>
        <v>530592</v>
      </c>
      <c r="AQ125" s="10">
        <f>Ohj.lask.[[#This Row],[Jaettava € 3]]+Ohj.lask.[[#This Row],[Jaettava € 4]]+Ohj.lask.[[#This Row],[Jaettava € 5]]+Ohj.lask.[[#This Row],[Jaettava € 6]]+Ohj.lask.[[#This Row],[Jaettava € 7]]</f>
        <v>263647</v>
      </c>
      <c r="AR125" s="33">
        <f>Ohj.lask.[[#This Row],[Jaettava € 8]]+Ohj.lask.[[#This Row],[Harkinnanvarainen korotus 8, €]]</f>
        <v>2686633</v>
      </c>
      <c r="AS125" s="33">
        <v>186458</v>
      </c>
      <c r="AT125" s="16">
        <f>Ohj.lask.[[#This Row],[Perus-, suoritus- ja vaikuttavuusrahoitus yhteensä, €]]+Ohj.lask.[[#This Row],[Alv-korvaus, €]]</f>
        <v>2873091</v>
      </c>
    </row>
    <row r="126" spans="1:46" ht="12.75" x14ac:dyDescent="0.2">
      <c r="A126" s="3" t="s">
        <v>198</v>
      </c>
      <c r="B126" s="7" t="s">
        <v>113</v>
      </c>
      <c r="C126" s="7" t="s">
        <v>177</v>
      </c>
      <c r="D126" s="7" t="s">
        <v>325</v>
      </c>
      <c r="E126" s="7" t="s">
        <v>373</v>
      </c>
      <c r="F126" s="105">
        <v>0</v>
      </c>
      <c r="G126" s="106">
        <f>Ohj.lask.[[#This Row],[Tavoitteelliset opiskelija-vuodet]]-Ohj.lask.[[#This Row],[Järjestämisluvan opisk.vuosien vähimmäismäärä]]</f>
        <v>40</v>
      </c>
      <c r="H126" s="32">
        <v>40</v>
      </c>
      <c r="I126" s="8">
        <f>IFERROR(VLOOKUP($A126,'2.1 Toteut. op.vuodet'!$A:$T,COLUMN('2.1 Toteut. op.vuodet'!S:S),FALSE),0)</f>
        <v>0.97306573194633195</v>
      </c>
      <c r="J126" s="74">
        <f t="shared" si="3"/>
        <v>38.9</v>
      </c>
      <c r="K126" s="9">
        <f>IFERROR(Ohj.lask.[[#This Row],[Painotetut opiskelija-vuodet]]/Ohj.lask.[[#Totals],[Painotetut opiskelija-vuodet]],0)</f>
        <v>1.7947953702584412E-4</v>
      </c>
      <c r="L126" s="10">
        <f>ROUND(IFERROR('1.1 Jakotaulu'!L$12*Ohj.lask.[[#This Row],[%-osuus 1]],0),0)</f>
        <v>265467</v>
      </c>
      <c r="M126" s="132">
        <f>IFERROR(ROUND(VLOOKUP($A126,'2.2 Tutk. ja osien pain. pist.'!$A:$Q,COLUMN('2.2 Tutk. ja osien pain. pist.'!O:O),FALSE),1),0)</f>
        <v>4239.3</v>
      </c>
      <c r="N126" s="9">
        <f>IFERROR(Ohj.lask.[[#This Row],[Painotetut pisteet 2]]/Ohj.lask.[[#Totals],[Painotetut pisteet 2]],0)</f>
        <v>2.7673865057212705E-4</v>
      </c>
      <c r="O126" s="16">
        <f>ROUND(IFERROR('1.1 Jakotaulu'!K$13*Ohj.lask.[[#This Row],[%-osuus 2]],0),0)</f>
        <v>118916</v>
      </c>
      <c r="P126" s="133">
        <f>IFERROR(ROUND(VLOOKUP($A126,'2.3 Työll. ja jatko-opisk.'!$A:$Z,COLUMN('2.3 Työll. ja jatko-opisk.'!L:L),FALSE),1),0)</f>
        <v>38.4</v>
      </c>
      <c r="Q126" s="9">
        <f>IFERROR(Ohj.lask.[[#This Row],[Painotetut pisteet 3]]/Ohj.lask.[[#Totals],[Painotetut pisteet 3]],0)</f>
        <v>1.2286584585455751E-4</v>
      </c>
      <c r="R126" s="10">
        <f>ROUND(IFERROR('1.1 Jakotaulu'!L$15*Ohj.lask.[[#This Row],[%-osuus 3]],0),0)</f>
        <v>18479</v>
      </c>
      <c r="S126" s="132">
        <f>IFERROR(ROUND(VLOOKUP($A126,'2.4 Aloittaneet palaute'!$A:$I,COLUMN('2.4 Aloittaneet palaute'!H:H),FALSE),1),0)</f>
        <v>909.4</v>
      </c>
      <c r="T126" s="13">
        <f>IFERROR(Ohj.lask.[[#This Row],[Painotetut pisteet 4]]/Ohj.lask.[[#Totals],[Painotetut pisteet 4]],0)</f>
        <v>5.4556522483028473E-4</v>
      </c>
      <c r="U126" s="16">
        <f>ROUND(IFERROR('1.1 Jakotaulu'!M$17*Ohj.lask.[[#This Row],[%-osuus 4]],0),0)</f>
        <v>4396</v>
      </c>
      <c r="V126" s="132">
        <f>IFERROR(ROUND(VLOOKUP($A126,'2.5 Päättäneet palaute'!$A:$Z,COLUMN('2.5 Päättäneet palaute'!X:X),FALSE),1),0)</f>
        <v>1062.7</v>
      </c>
      <c r="W126" s="13">
        <f>IFERROR(Ohj.lask.[[#This Row],[Painotetut pisteet 5]]/Ohj.lask.[[#Totals],[Painotetut pisteet 5]],0)</f>
        <v>1.0390682931668954E-4</v>
      </c>
      <c r="X126" s="16">
        <f>ROUND(IFERROR('1.1 Jakotaulu'!M$18*Ohj.lask.[[#This Row],[%-osuus 5]],0),0)</f>
        <v>2512</v>
      </c>
      <c r="Y126" s="132">
        <f>IFERROR(ROUND(VLOOKUP($A126,'2.6 Työpaikkaohjaajakysely'!B:J,COLUMN('2.6 Työpaikkaohjaajakysely'!H:H),FALSE),1),0)</f>
        <v>56028.2</v>
      </c>
      <c r="Z126" s="9">
        <f>IFERROR(Ohj.lask.[[#This Row],[Painotetut pisteet 6]]/Ohj.lask.[[#Totals],[Painotetut pisteet 6]],0)</f>
        <v>1.6507674903562416E-4</v>
      </c>
      <c r="AA126" s="16">
        <f>ROUND(IFERROR('1.1 Jakotaulu'!M$20*Ohj.lask.[[#This Row],[%-osuus 6]],0),0)</f>
        <v>3990</v>
      </c>
      <c r="AB126" s="132">
        <f>IFERROR(ROUND(VLOOKUP($A126,'2.7 Työpaikkakysely'!B:H,COLUMN('2.7 Työpaikkakysely'!F:F),FALSE),1),0)</f>
        <v>31378</v>
      </c>
      <c r="AC126" s="9">
        <f>IFERROR(Ohj.lask.[[#This Row],[Pisteet 7]]/Ohj.lask.[[#Totals],[Pisteet 7]],0)</f>
        <v>1.7004551922047189E-4</v>
      </c>
      <c r="AD126" s="16">
        <f>ROUND(IFERROR('1.1 Jakotaulu'!M$21*Ohj.lask.[[#This Row],[%-osuus 7]],0),0)</f>
        <v>1370</v>
      </c>
      <c r="AE126" s="12">
        <f>IFERROR(Ohj.lask.[[#This Row],[Jaettava € 8]]/Ohj.lask.[[#Totals],[Jaettava € 8]],"")</f>
        <v>1.9547902111521743E-4</v>
      </c>
      <c r="AF12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415130</v>
      </c>
      <c r="AG126" s="102">
        <v>0</v>
      </c>
      <c r="AH126" s="102">
        <v>0</v>
      </c>
      <c r="AI126" s="102">
        <v>0</v>
      </c>
      <c r="AJ126" s="102">
        <v>0</v>
      </c>
      <c r="AK126" s="102">
        <v>0</v>
      </c>
      <c r="AL126" s="107">
        <v>0</v>
      </c>
      <c r="AM126" s="107">
        <v>0</v>
      </c>
      <c r="AN12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26" s="10">
        <f>Ohj.lask.[[#This Row],[Jaettava € 1]]+Ohj.lask.[[#This Row],[Harkinnanvarainen korotus 8, €]]</f>
        <v>265467</v>
      </c>
      <c r="AP126" s="102">
        <f>Ohj.lask.[[#This Row],[Jaettava € 2]]</f>
        <v>118916</v>
      </c>
      <c r="AQ126" s="10">
        <f>Ohj.lask.[[#This Row],[Jaettava € 3]]+Ohj.lask.[[#This Row],[Jaettava € 4]]+Ohj.lask.[[#This Row],[Jaettava € 5]]+Ohj.lask.[[#This Row],[Jaettava € 6]]+Ohj.lask.[[#This Row],[Jaettava € 7]]</f>
        <v>30747</v>
      </c>
      <c r="AR126" s="33">
        <f>Ohj.lask.[[#This Row],[Jaettava € 8]]+Ohj.lask.[[#This Row],[Harkinnanvarainen korotus 8, €]]</f>
        <v>415130</v>
      </c>
      <c r="AS126" s="33">
        <v>161901</v>
      </c>
      <c r="AT126" s="16">
        <f>Ohj.lask.[[#This Row],[Perus-, suoritus- ja vaikuttavuusrahoitus yhteensä, €]]+Ohj.lask.[[#This Row],[Alv-korvaus, €]]</f>
        <v>577031</v>
      </c>
    </row>
    <row r="127" spans="1:46" ht="12.75" x14ac:dyDescent="0.2">
      <c r="A127" s="3" t="s">
        <v>195</v>
      </c>
      <c r="B127" s="7" t="s">
        <v>114</v>
      </c>
      <c r="C127" s="7" t="s">
        <v>186</v>
      </c>
      <c r="D127" s="7" t="s">
        <v>325</v>
      </c>
      <c r="E127" s="7" t="s">
        <v>373</v>
      </c>
      <c r="F127" s="105">
        <v>610</v>
      </c>
      <c r="G127" s="106">
        <f>Ohj.lask.[[#This Row],[Tavoitteelliset opiskelija-vuodet]]-Ohj.lask.[[#This Row],[Järjestämisluvan opisk.vuosien vähimmäismäärä]]</f>
        <v>598</v>
      </c>
      <c r="H127" s="32">
        <v>1208</v>
      </c>
      <c r="I127" s="8">
        <f>IFERROR(VLOOKUP($A127,'2.1 Toteut. op.vuodet'!$A:$T,COLUMN('2.1 Toteut. op.vuodet'!S:S),FALSE),0)</f>
        <v>0.96460701226579859</v>
      </c>
      <c r="J127" s="74">
        <f t="shared" si="3"/>
        <v>1165.2</v>
      </c>
      <c r="K127" s="9">
        <f>IFERROR(Ohj.lask.[[#This Row],[Painotetut opiskelija-vuodet]]/Ohj.lask.[[#Totals],[Painotetut opiskelija-vuodet]],0)</f>
        <v>5.3760811450517627E-3</v>
      </c>
      <c r="L127" s="10">
        <f>ROUND(IFERROR('1.1 Jakotaulu'!L$12*Ohj.lask.[[#This Row],[%-osuus 1]],0),0)</f>
        <v>7951740</v>
      </c>
      <c r="M127" s="132">
        <f>IFERROR(ROUND(VLOOKUP($A127,'2.2 Tutk. ja osien pain. pist.'!$A:$Q,COLUMN('2.2 Tutk. ja osien pain. pist.'!O:O),FALSE),1),0)</f>
        <v>93150.1</v>
      </c>
      <c r="N127" s="9">
        <f>IFERROR(Ohj.lask.[[#This Row],[Painotetut pisteet 2]]/Ohj.lask.[[#Totals],[Painotetut pisteet 2]],0)</f>
        <v>6.0807758296555301E-3</v>
      </c>
      <c r="O127" s="16">
        <f>ROUND(IFERROR('1.1 Jakotaulu'!K$13*Ohj.lask.[[#This Row],[%-osuus 2]],0),0)</f>
        <v>2612946</v>
      </c>
      <c r="P127" s="133">
        <f>IFERROR(ROUND(VLOOKUP($A127,'2.3 Työll. ja jatko-opisk.'!$A:$Z,COLUMN('2.3 Työll. ja jatko-opisk.'!L:L),FALSE),1),0)</f>
        <v>1974.7</v>
      </c>
      <c r="Q127" s="9">
        <f>IFERROR(Ohj.lask.[[#This Row],[Painotetut pisteet 3]]/Ohj.lask.[[#Totals],[Painotetut pisteet 3]],0)</f>
        <v>6.3183121304425712E-3</v>
      </c>
      <c r="R127" s="10">
        <f>ROUND(IFERROR('1.1 Jakotaulu'!L$15*Ohj.lask.[[#This Row],[%-osuus 3]],0),0)</f>
        <v>950256</v>
      </c>
      <c r="S127" s="132">
        <f>IFERROR(ROUND(VLOOKUP($A127,'2.4 Aloittaneet palaute'!$A:$I,COLUMN('2.4 Aloittaneet palaute'!H:H),FALSE),1),0)</f>
        <v>16925.900000000001</v>
      </c>
      <c r="T127" s="13">
        <f>IFERROR(Ohj.lask.[[#This Row],[Painotetut pisteet 4]]/Ohj.lask.[[#Totals],[Painotetut pisteet 4]],0)</f>
        <v>1.0154148272437781E-2</v>
      </c>
      <c r="U127" s="16">
        <f>ROUND(IFERROR('1.1 Jakotaulu'!M$17*Ohj.lask.[[#This Row],[%-osuus 4]],0),0)</f>
        <v>81812</v>
      </c>
      <c r="V127" s="132">
        <f>IFERROR(ROUND(VLOOKUP($A127,'2.5 Päättäneet palaute'!$A:$Z,COLUMN('2.5 Päättäneet palaute'!X:X),FALSE),1),0)</f>
        <v>85349.5</v>
      </c>
      <c r="W127" s="13">
        <f>IFERROR(Ohj.lask.[[#This Row],[Painotetut pisteet 5]]/Ohj.lask.[[#Totals],[Painotetut pisteet 5]],0)</f>
        <v>8.3451547273593607E-3</v>
      </c>
      <c r="X127" s="16">
        <f>ROUND(IFERROR('1.1 Jakotaulu'!M$18*Ohj.lask.[[#This Row],[%-osuus 5]],0),0)</f>
        <v>201710</v>
      </c>
      <c r="Y127" s="132">
        <f>IFERROR(ROUND(VLOOKUP($A127,'2.6 Työpaikkaohjaajakysely'!B:J,COLUMN('2.6 Työpaikkaohjaajakysely'!H:H),FALSE),1),0)</f>
        <v>2818328.6</v>
      </c>
      <c r="Z127" s="9">
        <f>IFERROR(Ohj.lask.[[#This Row],[Painotetut pisteet 6]]/Ohj.lask.[[#Totals],[Painotetut pisteet 6]],0)</f>
        <v>8.3036849836711155E-3</v>
      </c>
      <c r="AA127" s="16">
        <f>ROUND(IFERROR('1.1 Jakotaulu'!M$20*Ohj.lask.[[#This Row],[%-osuus 6]],0),0)</f>
        <v>200708</v>
      </c>
      <c r="AB127" s="132">
        <f>IFERROR(ROUND(VLOOKUP($A127,'2.7 Työpaikkakysely'!B:H,COLUMN('2.7 Työpaikkakysely'!F:F),FALSE),1),0)</f>
        <v>873749</v>
      </c>
      <c r="AC127" s="9">
        <f>IFERROR(Ohj.lask.[[#This Row],[Pisteet 7]]/Ohj.lask.[[#Totals],[Pisteet 7]],0)</f>
        <v>4.7350724193182519E-3</v>
      </c>
      <c r="AD127" s="16">
        <f>ROUND(IFERROR('1.1 Jakotaulu'!M$21*Ohj.lask.[[#This Row],[%-osuus 7]],0),0)</f>
        <v>38150</v>
      </c>
      <c r="AE127" s="12">
        <f>IFERROR(Ohj.lask.[[#This Row],[Jaettava € 8]]/Ohj.lask.[[#Totals],[Jaettava € 8]],"")</f>
        <v>5.668209769008916E-3</v>
      </c>
      <c r="AF12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12037322</v>
      </c>
      <c r="AG127" s="102">
        <v>0</v>
      </c>
      <c r="AH127" s="102">
        <v>405000</v>
      </c>
      <c r="AI127" s="102">
        <v>0</v>
      </c>
      <c r="AJ127" s="102">
        <v>0</v>
      </c>
      <c r="AK127" s="102">
        <v>27000</v>
      </c>
      <c r="AL127" s="107">
        <v>0</v>
      </c>
      <c r="AM127" s="107">
        <v>0</v>
      </c>
      <c r="AN12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432000</v>
      </c>
      <c r="AO127" s="10">
        <f>Ohj.lask.[[#This Row],[Jaettava € 1]]+Ohj.lask.[[#This Row],[Harkinnanvarainen korotus 8, €]]</f>
        <v>8383740</v>
      </c>
      <c r="AP127" s="102">
        <f>Ohj.lask.[[#This Row],[Jaettava € 2]]</f>
        <v>2612946</v>
      </c>
      <c r="AQ127" s="10">
        <f>Ohj.lask.[[#This Row],[Jaettava € 3]]+Ohj.lask.[[#This Row],[Jaettava € 4]]+Ohj.lask.[[#This Row],[Jaettava € 5]]+Ohj.lask.[[#This Row],[Jaettava € 6]]+Ohj.lask.[[#This Row],[Jaettava € 7]]</f>
        <v>1472636</v>
      </c>
      <c r="AR127" s="33">
        <f>Ohj.lask.[[#This Row],[Jaettava € 8]]+Ohj.lask.[[#This Row],[Harkinnanvarainen korotus 8, €]]</f>
        <v>12469322</v>
      </c>
      <c r="AS127" s="33">
        <v>646301</v>
      </c>
      <c r="AT127" s="16">
        <f>Ohj.lask.[[#This Row],[Perus-, suoritus- ja vaikuttavuusrahoitus yhteensä, €]]+Ohj.lask.[[#This Row],[Alv-korvaus, €]]</f>
        <v>13115623</v>
      </c>
    </row>
    <row r="128" spans="1:46" ht="12.75" x14ac:dyDescent="0.2">
      <c r="A128" s="3" t="s">
        <v>194</v>
      </c>
      <c r="B128" s="7" t="s">
        <v>115</v>
      </c>
      <c r="C128" s="96" t="s">
        <v>186</v>
      </c>
      <c r="D128" s="96" t="s">
        <v>325</v>
      </c>
      <c r="E128" s="96" t="s">
        <v>373</v>
      </c>
      <c r="F128" s="104">
        <v>302</v>
      </c>
      <c r="G128" s="106">
        <f>Ohj.lask.[[#This Row],[Tavoitteelliset opiskelija-vuodet]]-Ohj.lask.[[#This Row],[Järjestämisluvan opisk.vuosien vähimmäismäärä]]</f>
        <v>15</v>
      </c>
      <c r="H128" s="32">
        <v>317</v>
      </c>
      <c r="I128" s="8">
        <f>IFERROR(VLOOKUP($A128,'2.1 Toteut. op.vuodet'!$A:$T,COLUMN('2.1 Toteut. op.vuodet'!S:S),FALSE),0)</f>
        <v>1.1359393329054748</v>
      </c>
      <c r="J128" s="74">
        <f t="shared" si="3"/>
        <v>360.1</v>
      </c>
      <c r="K128" s="9">
        <f>IFERROR(Ohj.lask.[[#This Row],[Painotetut opiskelija-vuodet]]/Ohj.lask.[[#Totals],[Painotetut opiskelija-vuodet]],0)</f>
        <v>1.6614545316968245E-3</v>
      </c>
      <c r="L128" s="10">
        <f>ROUND(IFERROR('1.1 Jakotaulu'!L$12*Ohj.lask.[[#This Row],[%-osuus 1]],0),0)</f>
        <v>2457451</v>
      </c>
      <c r="M128" s="132">
        <f>IFERROR(ROUND(VLOOKUP($A128,'2.2 Tutk. ja osien pain. pist.'!$A:$Q,COLUMN('2.2 Tutk. ja osien pain. pist.'!O:O),FALSE),1),0)</f>
        <v>19394</v>
      </c>
      <c r="N128" s="9">
        <f>IFERROR(Ohj.lask.[[#This Row],[Painotetut pisteet 2]]/Ohj.lask.[[#Totals],[Painotetut pisteet 2]],0)</f>
        <v>1.2660272661042698E-3</v>
      </c>
      <c r="O128" s="16">
        <f>ROUND(IFERROR('1.1 Jakotaulu'!K$13*Ohj.lask.[[#This Row],[%-osuus 2]],0),0)</f>
        <v>544020</v>
      </c>
      <c r="P128" s="133">
        <f>IFERROR(ROUND(VLOOKUP($A128,'2.3 Työll. ja jatko-opisk.'!$A:$Z,COLUMN('2.3 Työll. ja jatko-opisk.'!L:L),FALSE),1),0)</f>
        <v>401.2</v>
      </c>
      <c r="Q128" s="13">
        <f>IFERROR(Ohj.lask.[[#This Row],[Painotetut pisteet 3]]/Ohj.lask.[[#Totals],[Painotetut pisteet 3]],0)</f>
        <v>1.2836921186679289E-3</v>
      </c>
      <c r="R128" s="10">
        <f>ROUND(IFERROR('1.1 Jakotaulu'!L$15*Ohj.lask.[[#This Row],[%-osuus 3]],0),0)</f>
        <v>193064</v>
      </c>
      <c r="S128" s="132">
        <f>IFERROR(ROUND(VLOOKUP($A128,'2.4 Aloittaneet palaute'!$A:$I,COLUMN('2.4 Aloittaneet palaute'!H:H),FALSE),1),0)</f>
        <v>3049.9</v>
      </c>
      <c r="T128" s="13">
        <f>IFERROR(Ohj.lask.[[#This Row],[Painotetut pisteet 4]]/Ohj.lask.[[#Totals],[Painotetut pisteet 4]],0)</f>
        <v>1.8296892227951237E-3</v>
      </c>
      <c r="U128" s="16">
        <f>ROUND(IFERROR('1.1 Jakotaulu'!M$17*Ohj.lask.[[#This Row],[%-osuus 4]],0),0)</f>
        <v>14742</v>
      </c>
      <c r="V128" s="132">
        <f>IFERROR(ROUND(VLOOKUP($A128,'2.5 Päättäneet palaute'!$A:$Z,COLUMN('2.5 Päättäneet palaute'!X:X),FALSE),1),0)</f>
        <v>9236.9</v>
      </c>
      <c r="W128" s="13">
        <f>IFERROR(Ohj.lask.[[#This Row],[Painotetut pisteet 5]]/Ohj.lask.[[#Totals],[Painotetut pisteet 5]],0)</f>
        <v>9.0314951699946321E-4</v>
      </c>
      <c r="X128" s="16">
        <f>ROUND(IFERROR('1.1 Jakotaulu'!M$18*Ohj.lask.[[#This Row],[%-osuus 5]],0),0)</f>
        <v>21830</v>
      </c>
      <c r="Y128" s="132">
        <f>IFERROR(ROUND(VLOOKUP($A128,'2.6 Työpaikkaohjaajakysely'!B:J,COLUMN('2.6 Työpaikkaohjaajakysely'!H:H),FALSE),1),0)</f>
        <v>491258.4</v>
      </c>
      <c r="Z128" s="9">
        <f>IFERROR(Ohj.lask.[[#This Row],[Painotetut pisteet 6]]/Ohj.lask.[[#Totals],[Painotetut pisteet 6]],0)</f>
        <v>1.4474021940458961E-3</v>
      </c>
      <c r="AA128" s="16">
        <f>ROUND(IFERROR('1.1 Jakotaulu'!M$20*Ohj.lask.[[#This Row],[%-osuus 6]],0),0)</f>
        <v>34985</v>
      </c>
      <c r="AB128" s="132">
        <f>IFERROR(ROUND(VLOOKUP($A128,'2.7 Työpaikkakysely'!B:H,COLUMN('2.7 Työpaikkakysely'!F:F),FALSE),1),0)</f>
        <v>271903.3</v>
      </c>
      <c r="AC128" s="9">
        <f>IFERROR(Ohj.lask.[[#This Row],[Pisteet 7]]/Ohj.lask.[[#Totals],[Pisteet 7]],0)</f>
        <v>1.4735144950685109E-3</v>
      </c>
      <c r="AD128" s="16">
        <f>ROUND(IFERROR('1.1 Jakotaulu'!M$21*Ohj.lask.[[#This Row],[%-osuus 7]],0),0)</f>
        <v>11872</v>
      </c>
      <c r="AE128" s="12">
        <f>IFERROR(Ohj.lask.[[#This Row],[Jaettava € 8]]/Ohj.lask.[[#Totals],[Jaettava € 8]],"")</f>
        <v>1.5435482715557116E-3</v>
      </c>
      <c r="AF12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3277964</v>
      </c>
      <c r="AG128" s="102">
        <v>0</v>
      </c>
      <c r="AH128" s="102">
        <v>0</v>
      </c>
      <c r="AI128" s="102">
        <v>0</v>
      </c>
      <c r="AJ128" s="102">
        <v>0</v>
      </c>
      <c r="AK128" s="102">
        <v>0</v>
      </c>
      <c r="AL128" s="107">
        <v>0</v>
      </c>
      <c r="AM128" s="107">
        <v>3864</v>
      </c>
      <c r="AN12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3864</v>
      </c>
      <c r="AO128" s="10">
        <f>Ohj.lask.[[#This Row],[Jaettava € 1]]+Ohj.lask.[[#This Row],[Harkinnanvarainen korotus 8, €]]</f>
        <v>2461315</v>
      </c>
      <c r="AP128" s="102">
        <f>Ohj.lask.[[#This Row],[Jaettava € 2]]</f>
        <v>544020</v>
      </c>
      <c r="AQ128" s="10">
        <f>Ohj.lask.[[#This Row],[Jaettava € 3]]+Ohj.lask.[[#This Row],[Jaettava € 4]]+Ohj.lask.[[#This Row],[Jaettava € 5]]+Ohj.lask.[[#This Row],[Jaettava € 6]]+Ohj.lask.[[#This Row],[Jaettava € 7]]</f>
        <v>276493</v>
      </c>
      <c r="AR128" s="33">
        <f>Ohj.lask.[[#This Row],[Jaettava € 8]]+Ohj.lask.[[#This Row],[Harkinnanvarainen korotus 8, €]]</f>
        <v>3281828</v>
      </c>
      <c r="AS128" s="33">
        <v>144534</v>
      </c>
      <c r="AT128" s="16">
        <f>Ohj.lask.[[#This Row],[Perus-, suoritus- ja vaikuttavuusrahoitus yhteensä, €]]+Ohj.lask.[[#This Row],[Alv-korvaus, €]]</f>
        <v>3426362</v>
      </c>
    </row>
    <row r="129" spans="1:46" ht="12.75" x14ac:dyDescent="0.2">
      <c r="A129" s="3" t="s">
        <v>193</v>
      </c>
      <c r="B129" s="7" t="s">
        <v>116</v>
      </c>
      <c r="C129" s="96" t="s">
        <v>186</v>
      </c>
      <c r="D129" s="96" t="s">
        <v>326</v>
      </c>
      <c r="E129" s="96" t="s">
        <v>373</v>
      </c>
      <c r="F129" s="104">
        <v>4466</v>
      </c>
      <c r="G129" s="106">
        <f>Ohj.lask.[[#This Row],[Tavoitteelliset opiskelija-vuodet]]-Ohj.lask.[[#This Row],[Järjestämisluvan opisk.vuosien vähimmäismäärä]]</f>
        <v>137</v>
      </c>
      <c r="H129" s="32">
        <v>4603</v>
      </c>
      <c r="I129" s="8">
        <f>IFERROR(VLOOKUP($A129,'2.1 Toteut. op.vuodet'!$A:$T,COLUMN('2.1 Toteut. op.vuodet'!S:S),FALSE),0)</f>
        <v>1.0690490931970626</v>
      </c>
      <c r="J129" s="74">
        <f t="shared" si="3"/>
        <v>4920.8</v>
      </c>
      <c r="K129" s="9">
        <f>IFERROR(Ohj.lask.[[#This Row],[Painotetut opiskelija-vuodet]]/Ohj.lask.[[#Totals],[Painotetut opiskelija-vuodet]],0)</f>
        <v>2.2703930740276962E-2</v>
      </c>
      <c r="L129" s="10">
        <f>ROUND(IFERROR('1.1 Jakotaulu'!L$12*Ohj.lask.[[#This Row],[%-osuus 1]],0),0)</f>
        <v>33581293</v>
      </c>
      <c r="M129" s="132">
        <f>IFERROR(ROUND(VLOOKUP($A129,'2.2 Tutk. ja osien pain. pist.'!$A:$Q,COLUMN('2.2 Tutk. ja osien pain. pist.'!O:O),FALSE),1),0)</f>
        <v>397997.1</v>
      </c>
      <c r="N129" s="9">
        <f>IFERROR(Ohj.lask.[[#This Row],[Painotetut pisteet 2]]/Ohj.lask.[[#Totals],[Painotetut pisteet 2]],0)</f>
        <v>2.5980982800372678E-2</v>
      </c>
      <c r="O129" s="16">
        <f>ROUND(IFERROR('1.1 Jakotaulu'!K$13*Ohj.lask.[[#This Row],[%-osuus 2]],0),0)</f>
        <v>11164184</v>
      </c>
      <c r="P129" s="133">
        <f>IFERROR(ROUND(VLOOKUP($A129,'2.3 Työll. ja jatko-opisk.'!$A:$Z,COLUMN('2.3 Työll. ja jatko-opisk.'!L:L),FALSE),1),0)</f>
        <v>9322.1</v>
      </c>
      <c r="Q129" s="13">
        <f>IFERROR(Ohj.lask.[[#This Row],[Painotetut pisteet 3]]/Ohj.lask.[[#Totals],[Painotetut pisteet 3]],0)</f>
        <v>2.9827283896895068E-2</v>
      </c>
      <c r="R129" s="10">
        <f>ROUND(IFERROR('1.1 Jakotaulu'!L$15*Ohj.lask.[[#This Row],[%-osuus 3]],0),0)</f>
        <v>4485937</v>
      </c>
      <c r="S129" s="132">
        <f>IFERROR(ROUND(VLOOKUP($A129,'2.4 Aloittaneet palaute'!$A:$I,COLUMN('2.4 Aloittaneet palaute'!H:H),FALSE),1),0)</f>
        <v>26312.1</v>
      </c>
      <c r="T129" s="13">
        <f>IFERROR(Ohj.lask.[[#This Row],[Painotetut pisteet 4]]/Ohj.lask.[[#Totals],[Painotetut pisteet 4]],0)</f>
        <v>1.5785096494674439E-2</v>
      </c>
      <c r="U129" s="16">
        <f>ROUND(IFERROR('1.1 Jakotaulu'!M$17*Ohj.lask.[[#This Row],[%-osuus 4]],0),0)</f>
        <v>127180</v>
      </c>
      <c r="V129" s="132">
        <f>IFERROR(ROUND(VLOOKUP($A129,'2.5 Päättäneet palaute'!$A:$Z,COLUMN('2.5 Päättäneet palaute'!X:X),FALSE),1),0)</f>
        <v>217572.4</v>
      </c>
      <c r="W129" s="13">
        <f>IFERROR(Ohj.lask.[[#This Row],[Painotetut pisteet 5]]/Ohj.lask.[[#Totals],[Painotetut pisteet 5]],0)</f>
        <v>2.1273415103813403E-2</v>
      </c>
      <c r="X129" s="16">
        <f>ROUND(IFERROR('1.1 Jakotaulu'!M$18*Ohj.lask.[[#This Row],[%-osuus 5]],0),0)</f>
        <v>514199</v>
      </c>
      <c r="Y129" s="132">
        <f>IFERROR(ROUND(VLOOKUP($A129,'2.6 Työpaikkaohjaajakysely'!B:J,COLUMN('2.6 Työpaikkaohjaajakysely'!H:H),FALSE),1),0)</f>
        <v>5859209.2000000002</v>
      </c>
      <c r="Z129" s="9">
        <f>IFERROR(Ohj.lask.[[#This Row],[Painotetut pisteet 6]]/Ohj.lask.[[#Totals],[Painotetut pisteet 6]],0)</f>
        <v>1.7263078354393328E-2</v>
      </c>
      <c r="AA129" s="16">
        <f>ROUND(IFERROR('1.1 Jakotaulu'!M$20*Ohj.lask.[[#This Row],[%-osuus 6]],0),0)</f>
        <v>417265</v>
      </c>
      <c r="AB129" s="132">
        <f>IFERROR(ROUND(VLOOKUP($A129,'2.7 Työpaikkakysely'!B:H,COLUMN('2.7 Työpaikkakysely'!F:F),FALSE),1),0)</f>
        <v>2018197</v>
      </c>
      <c r="AC129" s="9">
        <f>IFERROR(Ohj.lask.[[#This Row],[Pisteet 7]]/Ohj.lask.[[#Totals],[Pisteet 7]],0)</f>
        <v>1.0937132919695287E-2</v>
      </c>
      <c r="AD129" s="16">
        <f>ROUND(IFERROR('1.1 Jakotaulu'!M$21*Ohj.lask.[[#This Row],[%-osuus 7]],0),0)</f>
        <v>88120</v>
      </c>
      <c r="AE129" s="12">
        <f>IFERROR(Ohj.lask.[[#This Row],[Jaettava € 8]]/Ohj.lask.[[#Totals],[Jaettava € 8]],"")</f>
        <v>2.3722392795047773E-2</v>
      </c>
      <c r="AF12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50378178</v>
      </c>
      <c r="AG129" s="102">
        <v>0</v>
      </c>
      <c r="AH129" s="102">
        <v>0</v>
      </c>
      <c r="AI129" s="102">
        <v>0</v>
      </c>
      <c r="AJ129" s="102">
        <v>0</v>
      </c>
      <c r="AK129" s="102">
        <v>50000</v>
      </c>
      <c r="AL129" s="107">
        <v>24000</v>
      </c>
      <c r="AM129" s="107">
        <v>192668</v>
      </c>
      <c r="AN12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266668</v>
      </c>
      <c r="AO129" s="10">
        <f>Ohj.lask.[[#This Row],[Jaettava € 1]]+Ohj.lask.[[#This Row],[Harkinnanvarainen korotus 8, €]]</f>
        <v>33847961</v>
      </c>
      <c r="AP129" s="102">
        <f>Ohj.lask.[[#This Row],[Jaettava € 2]]</f>
        <v>11164184</v>
      </c>
      <c r="AQ129" s="10">
        <f>Ohj.lask.[[#This Row],[Jaettava € 3]]+Ohj.lask.[[#This Row],[Jaettava € 4]]+Ohj.lask.[[#This Row],[Jaettava € 5]]+Ohj.lask.[[#This Row],[Jaettava € 6]]+Ohj.lask.[[#This Row],[Jaettava € 7]]</f>
        <v>5632701</v>
      </c>
      <c r="AR129" s="33">
        <f>Ohj.lask.[[#This Row],[Jaettava € 8]]+Ohj.lask.[[#This Row],[Harkinnanvarainen korotus 8, €]]</f>
        <v>50644846</v>
      </c>
      <c r="AS129" s="33">
        <v>0</v>
      </c>
      <c r="AT129" s="16">
        <f>Ohj.lask.[[#This Row],[Perus-, suoritus- ja vaikuttavuusrahoitus yhteensä, €]]+Ohj.lask.[[#This Row],[Alv-korvaus, €]]</f>
        <v>50644846</v>
      </c>
    </row>
    <row r="130" spans="1:46" ht="12.75" x14ac:dyDescent="0.2">
      <c r="A130" s="3" t="s">
        <v>192</v>
      </c>
      <c r="B130" s="7" t="s">
        <v>117</v>
      </c>
      <c r="C130" s="7" t="s">
        <v>186</v>
      </c>
      <c r="D130" s="7" t="s">
        <v>325</v>
      </c>
      <c r="E130" s="7" t="s">
        <v>373</v>
      </c>
      <c r="F130" s="105">
        <v>218</v>
      </c>
      <c r="G130" s="106">
        <f>Ohj.lask.[[#This Row],[Tavoitteelliset opiskelija-vuodet]]-Ohj.lask.[[#This Row],[Järjestämisluvan opisk.vuosien vähimmäismäärä]]</f>
        <v>38</v>
      </c>
      <c r="H130" s="32">
        <v>256</v>
      </c>
      <c r="I130" s="8">
        <f>IFERROR(VLOOKUP($A130,'2.1 Toteut. op.vuodet'!$A:$T,COLUMN('2.1 Toteut. op.vuodet'!S:S),FALSE),0)</f>
        <v>1.0186064112956574</v>
      </c>
      <c r="J130" s="74">
        <f t="shared" si="3"/>
        <v>260.8</v>
      </c>
      <c r="K130" s="9">
        <f>IFERROR(Ohj.lask.[[#This Row],[Painotetut opiskelija-vuodet]]/Ohj.lask.[[#Totals],[Painotetut opiskelija-vuodet]],0)</f>
        <v>1.2032972559470475E-3</v>
      </c>
      <c r="L130" s="10">
        <f>ROUND(IFERROR('1.1 Jakotaulu'!L$12*Ohj.lask.[[#This Row],[%-osuus 1]],0),0)</f>
        <v>1779792</v>
      </c>
      <c r="M130" s="132">
        <f>IFERROR(ROUND(VLOOKUP($A130,'2.2 Tutk. ja osien pain. pist.'!$A:$Q,COLUMN('2.2 Tutk. ja osien pain. pist.'!O:O),FALSE),1),0)</f>
        <v>18409.599999999999</v>
      </c>
      <c r="N130" s="9">
        <f>IFERROR(Ohj.lask.[[#This Row],[Painotetut pisteet 2]]/Ohj.lask.[[#Totals],[Painotetut pisteet 2]],0)</f>
        <v>1.2017662966934703E-3</v>
      </c>
      <c r="O130" s="16">
        <f>ROUND(IFERROR('1.1 Jakotaulu'!K$13*Ohj.lask.[[#This Row],[%-osuus 2]],0),0)</f>
        <v>516406</v>
      </c>
      <c r="P130" s="133">
        <f>IFERROR(ROUND(VLOOKUP($A130,'2.3 Työll. ja jatko-opisk.'!$A:$Z,COLUMN('2.3 Työll. ja jatko-opisk.'!L:L),FALSE),1),0)</f>
        <v>458.3</v>
      </c>
      <c r="Q130" s="9">
        <f>IFERROR(Ohj.lask.[[#This Row],[Painotetut pisteet 3]]/Ohj.lask.[[#Totals],[Painotetut pisteet 3]],0)</f>
        <v>1.466391071748534E-3</v>
      </c>
      <c r="R130" s="10">
        <f>ROUND(IFERROR('1.1 Jakotaulu'!L$15*Ohj.lask.[[#This Row],[%-osuus 3]],0),0)</f>
        <v>220541</v>
      </c>
      <c r="S130" s="132">
        <f>IFERROR(ROUND(VLOOKUP($A130,'2.4 Aloittaneet palaute'!$A:$I,COLUMN('2.4 Aloittaneet palaute'!H:H),FALSE),1),0)</f>
        <v>1779.7</v>
      </c>
      <c r="T130" s="13">
        <f>IFERROR(Ohj.lask.[[#This Row],[Painotetut pisteet 4]]/Ohj.lask.[[#Totals],[Painotetut pisteet 4]],0)</f>
        <v>1.0676736646475233E-3</v>
      </c>
      <c r="U130" s="16">
        <f>ROUND(IFERROR('1.1 Jakotaulu'!M$17*Ohj.lask.[[#This Row],[%-osuus 4]],0),0)</f>
        <v>8602</v>
      </c>
      <c r="V130" s="132">
        <f>IFERROR(ROUND(VLOOKUP($A130,'2.5 Päättäneet palaute'!$A:$Z,COLUMN('2.5 Päättäneet palaute'!X:X),FALSE),1),0)</f>
        <v>16033.2</v>
      </c>
      <c r="W130" s="13">
        <f>IFERROR(Ohj.lask.[[#This Row],[Painotetut pisteet 5]]/Ohj.lask.[[#Totals],[Painotetut pisteet 5]],0)</f>
        <v>1.567666298861717E-3</v>
      </c>
      <c r="X130" s="16">
        <f>ROUND(IFERROR('1.1 Jakotaulu'!M$18*Ohj.lask.[[#This Row],[%-osuus 5]],0),0)</f>
        <v>37892</v>
      </c>
      <c r="Y130" s="132">
        <f>IFERROR(ROUND(VLOOKUP($A130,'2.6 Työpaikkaohjaajakysely'!B:J,COLUMN('2.6 Työpaikkaohjaajakysely'!H:H),FALSE),1),0)</f>
        <v>534766.80000000005</v>
      </c>
      <c r="Z130" s="9">
        <f>IFERROR(Ohj.lask.[[#This Row],[Painotetut pisteet 6]]/Ohj.lask.[[#Totals],[Painotetut pisteet 6]],0)</f>
        <v>1.5755916634156342E-3</v>
      </c>
      <c r="AA130" s="16">
        <f>ROUND(IFERROR('1.1 Jakotaulu'!M$20*Ohj.lask.[[#This Row],[%-osuus 6]],0),0)</f>
        <v>38084</v>
      </c>
      <c r="AB130" s="132">
        <f>IFERROR(ROUND(VLOOKUP($A130,'2.7 Työpaikkakysely'!B:H,COLUMN('2.7 Työpaikkakysely'!F:F),FALSE),1),0)</f>
        <v>252645</v>
      </c>
      <c r="AC130" s="9">
        <f>IFERROR(Ohj.lask.[[#This Row],[Pisteet 7]]/Ohj.lask.[[#Totals],[Pisteet 7]],0)</f>
        <v>1.3691487731358316E-3</v>
      </c>
      <c r="AD130" s="16">
        <f>ROUND(IFERROR('1.1 Jakotaulu'!M$21*Ohj.lask.[[#This Row],[%-osuus 7]],0),0)</f>
        <v>11031</v>
      </c>
      <c r="AE130" s="12">
        <f>IFERROR(Ohj.lask.[[#This Row],[Jaettava € 8]]/Ohj.lask.[[#Totals],[Jaettava € 8]],"")</f>
        <v>1.2301188298901452E-3</v>
      </c>
      <c r="AF13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2612348</v>
      </c>
      <c r="AG130" s="102">
        <v>0</v>
      </c>
      <c r="AH130" s="102">
        <v>0</v>
      </c>
      <c r="AI130" s="102">
        <v>0</v>
      </c>
      <c r="AJ130" s="102">
        <v>0</v>
      </c>
      <c r="AK130" s="102">
        <v>0</v>
      </c>
      <c r="AL130" s="107">
        <v>0</v>
      </c>
      <c r="AM130" s="107">
        <v>292</v>
      </c>
      <c r="AN13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292</v>
      </c>
      <c r="AO130" s="10">
        <f>Ohj.lask.[[#This Row],[Jaettava € 1]]+Ohj.lask.[[#This Row],[Harkinnanvarainen korotus 8, €]]</f>
        <v>1780084</v>
      </c>
      <c r="AP130" s="102">
        <f>Ohj.lask.[[#This Row],[Jaettava € 2]]</f>
        <v>516406</v>
      </c>
      <c r="AQ130" s="10">
        <f>Ohj.lask.[[#This Row],[Jaettava € 3]]+Ohj.lask.[[#This Row],[Jaettava € 4]]+Ohj.lask.[[#This Row],[Jaettava € 5]]+Ohj.lask.[[#This Row],[Jaettava € 6]]+Ohj.lask.[[#This Row],[Jaettava € 7]]</f>
        <v>316150</v>
      </c>
      <c r="AR130" s="33">
        <f>Ohj.lask.[[#This Row],[Jaettava € 8]]+Ohj.lask.[[#This Row],[Harkinnanvarainen korotus 8, €]]</f>
        <v>2612640</v>
      </c>
      <c r="AS130" s="33">
        <v>96600</v>
      </c>
      <c r="AT130" s="16">
        <f>Ohj.lask.[[#This Row],[Perus-, suoritus- ja vaikuttavuusrahoitus yhteensä, €]]+Ohj.lask.[[#This Row],[Alv-korvaus, €]]</f>
        <v>2709240</v>
      </c>
    </row>
    <row r="131" spans="1:46" ht="12.75" x14ac:dyDescent="0.2">
      <c r="A131" s="3" t="s">
        <v>379</v>
      </c>
      <c r="B131" s="7" t="s">
        <v>380</v>
      </c>
      <c r="C131" s="96" t="s">
        <v>186</v>
      </c>
      <c r="D131" s="96" t="s">
        <v>325</v>
      </c>
      <c r="E131" s="96" t="s">
        <v>373</v>
      </c>
      <c r="F131" s="104">
        <v>79</v>
      </c>
      <c r="G131" s="106">
        <f>Ohj.lask.[[#This Row],[Tavoitteelliset opiskelija-vuodet]]-Ohj.lask.[[#This Row],[Järjestämisluvan opisk.vuosien vähimmäismäärä]]</f>
        <v>11</v>
      </c>
      <c r="H131" s="32">
        <v>90</v>
      </c>
      <c r="I131" s="8">
        <f>IFERROR(VLOOKUP($A131,'2.1 Toteut. op.vuodet'!$A:$T,COLUMN('2.1 Toteut. op.vuodet'!S:S),FALSE),0)</f>
        <v>1.4022228345522869</v>
      </c>
      <c r="J131" s="74">
        <f t="shared" si="3"/>
        <v>126.2</v>
      </c>
      <c r="K131" s="9">
        <f>IFERROR(Ohj.lask.[[#This Row],[Painotetut opiskelija-vuodet]]/Ohj.lask.[[#Totals],[Painotetut opiskelija-vuodet]],0)</f>
        <v>5.8227037461854828E-4</v>
      </c>
      <c r="L131" s="10">
        <f>ROUND(IFERROR('1.1 Jakotaulu'!L$12*Ohj.lask.[[#This Row],[%-osuus 1]],0),0)</f>
        <v>861234</v>
      </c>
      <c r="M131" s="132">
        <f>IFERROR(ROUND(VLOOKUP($A131,'2.2 Tutk. ja osien pain. pist.'!$A:$Q,COLUMN('2.2 Tutk. ja osien pain. pist.'!O:O),FALSE),1),0)</f>
        <v>18928.3</v>
      </c>
      <c r="N131" s="9">
        <f>IFERROR(Ohj.lask.[[#This Row],[Painotetut pisteet 2]]/Ohj.lask.[[#Totals],[Painotetut pisteet 2]],0)</f>
        <v>1.2356266835620011E-3</v>
      </c>
      <c r="O131" s="16">
        <f>ROUND(IFERROR('1.1 Jakotaulu'!K$13*Ohj.lask.[[#This Row],[%-osuus 2]],0),0)</f>
        <v>530956</v>
      </c>
      <c r="P131" s="133">
        <f>IFERROR(ROUND(VLOOKUP($A131,'2.3 Työll. ja jatko-opisk.'!$A:$Z,COLUMN('2.3 Työll. ja jatko-opisk.'!L:L),FALSE),1),0)</f>
        <v>178</v>
      </c>
      <c r="Q131" s="13">
        <f>IFERROR(Ohj.lask.[[#This Row],[Painotetut pisteet 3]]/Ohj.lask.[[#Totals],[Painotetut pisteet 3]],0)</f>
        <v>5.6953438963831349E-4</v>
      </c>
      <c r="R131" s="10">
        <f>ROUND(IFERROR('1.1 Jakotaulu'!L$15*Ohj.lask.[[#This Row],[%-osuus 3]],0),0)</f>
        <v>85656</v>
      </c>
      <c r="S131" s="132">
        <f>IFERROR(ROUND(VLOOKUP($A131,'2.4 Aloittaneet palaute'!$A:$I,COLUMN('2.4 Aloittaneet palaute'!H:H),FALSE),1),0)</f>
        <v>794.5</v>
      </c>
      <c r="T131" s="13">
        <f>IFERROR(Ohj.lask.[[#This Row],[Painotetut pisteet 4]]/Ohj.lask.[[#Totals],[Painotetut pisteet 4]],0)</f>
        <v>4.7663467245179372E-4</v>
      </c>
      <c r="U131" s="16">
        <f>ROUND(IFERROR('1.1 Jakotaulu'!M$17*Ohj.lask.[[#This Row],[%-osuus 4]],0),0)</f>
        <v>3840</v>
      </c>
      <c r="V131" s="132">
        <f>IFERROR(ROUND(VLOOKUP($A131,'2.5 Päättäneet palaute'!$A:$Z,COLUMN('2.5 Päättäneet palaute'!X:X),FALSE),1),0)</f>
        <v>7012.7</v>
      </c>
      <c r="W131" s="13">
        <f>IFERROR(Ohj.lask.[[#This Row],[Painotetut pisteet 5]]/Ohj.lask.[[#Totals],[Painotetut pisteet 5]],0)</f>
        <v>6.856755640812541E-4</v>
      </c>
      <c r="X131" s="16">
        <f>ROUND(IFERROR('1.1 Jakotaulu'!M$18*Ohj.lask.[[#This Row],[%-osuus 5]],0),0)</f>
        <v>16573</v>
      </c>
      <c r="Y131" s="132">
        <f>IFERROR(ROUND(VLOOKUP($A131,'2.6 Työpaikkaohjaajakysely'!B:J,COLUMN('2.6 Työpaikkaohjaajakysely'!H:H),FALSE),1),0)</f>
        <v>181436.6</v>
      </c>
      <c r="Z131" s="9">
        <f>IFERROR(Ohj.lask.[[#This Row],[Painotetut pisteet 6]]/Ohj.lask.[[#Totals],[Painotetut pisteet 6]],0)</f>
        <v>5.3456945045667948E-4</v>
      </c>
      <c r="AA131" s="16">
        <f>ROUND(IFERROR('1.1 Jakotaulu'!M$20*Ohj.lask.[[#This Row],[%-osuus 6]],0),0)</f>
        <v>12921</v>
      </c>
      <c r="AB131" s="132">
        <f>IFERROR(ROUND(VLOOKUP($A131,'2.7 Työpaikkakysely'!B:H,COLUMN('2.7 Työpaikkakysely'!F:F),FALSE),1),0)</f>
        <v>103986</v>
      </c>
      <c r="AC131" s="9">
        <f>IFERROR(Ohj.lask.[[#This Row],[Pisteet 7]]/Ohj.lask.[[#Totals],[Pisteet 7]],0)</f>
        <v>5.6352710056918826E-4</v>
      </c>
      <c r="AD131" s="16">
        <f>ROUND(IFERROR('1.1 Jakotaulu'!M$21*Ohj.lask.[[#This Row],[%-osuus 7]],0),0)</f>
        <v>4540</v>
      </c>
      <c r="AE131" s="12">
        <f>IFERROR(Ohj.lask.[[#This Row],[Jaettava € 8]]/Ohj.lask.[[#Totals],[Jaettava € 8]],"")</f>
        <v>7.1373175122192408E-4</v>
      </c>
      <c r="AF131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1515720</v>
      </c>
      <c r="AG131" s="102">
        <v>0</v>
      </c>
      <c r="AH131" s="102">
        <v>0</v>
      </c>
      <c r="AI131" s="102">
        <v>0</v>
      </c>
      <c r="AJ131" s="102">
        <v>0</v>
      </c>
      <c r="AK131" s="102">
        <v>0</v>
      </c>
      <c r="AL131" s="107">
        <v>0</v>
      </c>
      <c r="AM131" s="107">
        <v>0</v>
      </c>
      <c r="AN13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31" s="10">
        <f>Ohj.lask.[[#This Row],[Jaettava € 1]]+Ohj.lask.[[#This Row],[Harkinnanvarainen korotus 8, €]]</f>
        <v>861234</v>
      </c>
      <c r="AP131" s="102">
        <f>Ohj.lask.[[#This Row],[Jaettava € 2]]</f>
        <v>530956</v>
      </c>
      <c r="AQ131" s="10">
        <f>Ohj.lask.[[#This Row],[Jaettava € 3]]+Ohj.lask.[[#This Row],[Jaettava € 4]]+Ohj.lask.[[#This Row],[Jaettava € 5]]+Ohj.lask.[[#This Row],[Jaettava € 6]]+Ohj.lask.[[#This Row],[Jaettava € 7]]</f>
        <v>123530</v>
      </c>
      <c r="AR131" s="33">
        <f>Ohj.lask.[[#This Row],[Jaettava € 8]]+Ohj.lask.[[#This Row],[Harkinnanvarainen korotus 8, €]]</f>
        <v>1515720</v>
      </c>
      <c r="AS131" s="33">
        <v>84930</v>
      </c>
      <c r="AT131" s="16">
        <f>Ohj.lask.[[#This Row],[Perus-, suoritus- ja vaikuttavuusrahoitus yhteensä, €]]+Ohj.lask.[[#This Row],[Alv-korvaus, €]]</f>
        <v>1600650</v>
      </c>
    </row>
    <row r="132" spans="1:46" ht="12.75" x14ac:dyDescent="0.2">
      <c r="A132" s="3" t="s">
        <v>251</v>
      </c>
      <c r="B132" s="7" t="s">
        <v>131</v>
      </c>
      <c r="C132" s="7" t="s">
        <v>186</v>
      </c>
      <c r="D132" s="7" t="s">
        <v>325</v>
      </c>
      <c r="E132" s="7" t="s">
        <v>373</v>
      </c>
      <c r="F132" s="105">
        <v>28</v>
      </c>
      <c r="G132" s="106">
        <f>Ohj.lask.[[#This Row],[Tavoitteelliset opiskelija-vuodet]]-Ohj.lask.[[#This Row],[Järjestämisluvan opisk.vuosien vähimmäismäärä]]</f>
        <v>0</v>
      </c>
      <c r="H132" s="32">
        <v>28</v>
      </c>
      <c r="I132" s="8">
        <f>IFERROR(VLOOKUP($A132,'2.1 Toteut. op.vuodet'!$A:$T,COLUMN('2.1 Toteut. op.vuodet'!S:S),FALSE),0)</f>
        <v>0.72661008403361205</v>
      </c>
      <c r="J132" s="74">
        <f t="shared" si="3"/>
        <v>20.3</v>
      </c>
      <c r="K132" s="9">
        <f>IFERROR(Ohj.lask.[[#This Row],[Painotetut opiskelija-vuodet]]/Ohj.lask.[[#Totals],[Painotetut opiskelija-vuodet]],0)</f>
        <v>9.3661557882381374E-5</v>
      </c>
      <c r="L132" s="10">
        <f>ROUND(IFERROR('1.1 Jakotaulu'!L$12*Ohj.lask.[[#This Row],[%-osuus 1]],0),0)</f>
        <v>138534</v>
      </c>
      <c r="M132" s="132">
        <f>IFERROR(ROUND(VLOOKUP($A132,'2.2 Tutk. ja osien pain. pist.'!$A:$Q,COLUMN('2.2 Tutk. ja osien pain. pist.'!O:O),FALSE),1),0)</f>
        <v>2232.8000000000002</v>
      </c>
      <c r="N132" s="9">
        <f>IFERROR(Ohj.lask.[[#This Row],[Painotetut pisteet 2]]/Ohj.lask.[[#Totals],[Painotetut pisteet 2]],0)</f>
        <v>1.4575568112599845E-4</v>
      </c>
      <c r="O132" s="16">
        <f>ROUND(IFERROR('1.1 Jakotaulu'!K$13*Ohj.lask.[[#This Row],[%-osuus 2]],0),0)</f>
        <v>62632</v>
      </c>
      <c r="P132" s="133">
        <f>IFERROR(ROUND(VLOOKUP($A132,'2.3 Työll. ja jatko-opisk.'!$A:$Z,COLUMN('2.3 Työll. ja jatko-opisk.'!L:L),FALSE),1),0)</f>
        <v>92.4</v>
      </c>
      <c r="Q132" s="9">
        <f>IFERROR(Ohj.lask.[[#This Row],[Painotetut pisteet 3]]/Ohj.lask.[[#Totals],[Painotetut pisteet 3]],0)</f>
        <v>2.9564594158752901E-4</v>
      </c>
      <c r="R132" s="10">
        <f>ROUND(IFERROR('1.1 Jakotaulu'!L$15*Ohj.lask.[[#This Row],[%-osuus 3]],0),0)</f>
        <v>44464</v>
      </c>
      <c r="S132" s="132">
        <f>IFERROR(ROUND(VLOOKUP($A132,'2.4 Aloittaneet palaute'!$A:$I,COLUMN('2.4 Aloittaneet palaute'!H:H),FALSE),1),0)</f>
        <v>213.4</v>
      </c>
      <c r="T132" s="13">
        <f>IFERROR(Ohj.lask.[[#This Row],[Painotetut pisteet 4]]/Ohj.lask.[[#Totals],[Painotetut pisteet 4]],0)</f>
        <v>1.2802245324255857E-4</v>
      </c>
      <c r="U132" s="16">
        <f>ROUND(IFERROR('1.1 Jakotaulu'!M$17*Ohj.lask.[[#This Row],[%-osuus 4]],0),0)</f>
        <v>1031</v>
      </c>
      <c r="V132" s="132">
        <f>IFERROR(ROUND(VLOOKUP($A132,'2.5 Päättäneet palaute'!$A:$Z,COLUMN('2.5 Päättäneet palaute'!X:X),FALSE),1),0)</f>
        <v>2242.3000000000002</v>
      </c>
      <c r="W132" s="13">
        <f>IFERROR(Ohj.lask.[[#This Row],[Painotetut pisteet 5]]/Ohj.lask.[[#Totals],[Painotetut pisteet 5]],0)</f>
        <v>2.1924370318698877E-4</v>
      </c>
      <c r="X132" s="16">
        <f>ROUND(IFERROR('1.1 Jakotaulu'!M$18*Ohj.lask.[[#This Row],[%-osuus 5]],0),0)</f>
        <v>5299</v>
      </c>
      <c r="Y132" s="132">
        <f>IFERROR(ROUND(VLOOKUP($A132,'2.6 Työpaikkaohjaajakysely'!B:J,COLUMN('2.6 Työpaikkaohjaajakysely'!H:H),FALSE),1),0)</f>
        <v>0</v>
      </c>
      <c r="Z132" s="9">
        <f>IFERROR(Ohj.lask.[[#This Row],[Painotetut pisteet 6]]/Ohj.lask.[[#Totals],[Painotetut pisteet 6]],0)</f>
        <v>0</v>
      </c>
      <c r="AA132" s="16">
        <f>ROUND(IFERROR('1.1 Jakotaulu'!M$20*Ohj.lask.[[#This Row],[%-osuus 6]],0),0)</f>
        <v>0</v>
      </c>
      <c r="AB132" s="132">
        <f>IFERROR(ROUND(VLOOKUP($A132,'2.7 Työpaikkakysely'!B:H,COLUMN('2.7 Työpaikkakysely'!F:F),FALSE),1),0)</f>
        <v>0</v>
      </c>
      <c r="AC132" s="9">
        <f>IFERROR(Ohj.lask.[[#This Row],[Pisteet 7]]/Ohj.lask.[[#Totals],[Pisteet 7]],0)</f>
        <v>0</v>
      </c>
      <c r="AD132" s="16">
        <f>ROUND(IFERROR('1.1 Jakotaulu'!M$21*Ohj.lask.[[#This Row],[%-osuus 7]],0),0)</f>
        <v>0</v>
      </c>
      <c r="AE132" s="12">
        <f>IFERROR(Ohj.lask.[[#This Row],[Jaettava € 8]]/Ohj.lask.[[#Totals],[Jaettava € 8]],"")</f>
        <v>1.1864450692599952E-4</v>
      </c>
      <c r="AF132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251960</v>
      </c>
      <c r="AG132" s="102">
        <v>0</v>
      </c>
      <c r="AH132" s="102">
        <v>0</v>
      </c>
      <c r="AI132" s="102">
        <v>0</v>
      </c>
      <c r="AJ132" s="102">
        <v>0</v>
      </c>
      <c r="AK132" s="102">
        <v>0</v>
      </c>
      <c r="AL132" s="107">
        <v>0</v>
      </c>
      <c r="AM132" s="107">
        <v>0</v>
      </c>
      <c r="AN13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32" s="10">
        <f>Ohj.lask.[[#This Row],[Jaettava € 1]]+Ohj.lask.[[#This Row],[Harkinnanvarainen korotus 8, €]]</f>
        <v>138534</v>
      </c>
      <c r="AP132" s="102">
        <f>Ohj.lask.[[#This Row],[Jaettava € 2]]</f>
        <v>62632</v>
      </c>
      <c r="AQ132" s="10">
        <f>Ohj.lask.[[#This Row],[Jaettava € 3]]+Ohj.lask.[[#This Row],[Jaettava € 4]]+Ohj.lask.[[#This Row],[Jaettava € 5]]+Ohj.lask.[[#This Row],[Jaettava € 6]]+Ohj.lask.[[#This Row],[Jaettava € 7]]</f>
        <v>50794</v>
      </c>
      <c r="AR132" s="33">
        <f>Ohj.lask.[[#This Row],[Jaettava € 8]]+Ohj.lask.[[#This Row],[Harkinnanvarainen korotus 8, €]]</f>
        <v>251960</v>
      </c>
      <c r="AS132" s="33">
        <v>12526</v>
      </c>
      <c r="AT132" s="16">
        <f>Ohj.lask.[[#This Row],[Perus-, suoritus- ja vaikuttavuusrahoitus yhteensä, €]]+Ohj.lask.[[#This Row],[Alv-korvaus, €]]</f>
        <v>264486</v>
      </c>
    </row>
    <row r="133" spans="1:46" ht="12.75" x14ac:dyDescent="0.2">
      <c r="A133" s="3" t="s">
        <v>191</v>
      </c>
      <c r="B133" s="7" t="s">
        <v>118</v>
      </c>
      <c r="C133" s="7" t="s">
        <v>173</v>
      </c>
      <c r="D133" s="7" t="s">
        <v>325</v>
      </c>
      <c r="E133" s="7" t="s">
        <v>373</v>
      </c>
      <c r="F133" s="105">
        <v>702</v>
      </c>
      <c r="G133" s="106">
        <f>Ohj.lask.[[#This Row],[Tavoitteelliset opiskelija-vuodet]]-Ohj.lask.[[#This Row],[Järjestämisluvan opisk.vuosien vähimmäismäärä]]</f>
        <v>623</v>
      </c>
      <c r="H133" s="32">
        <v>1325</v>
      </c>
      <c r="I133" s="8">
        <f>IFERROR(VLOOKUP($A133,'2.1 Toteut. op.vuodet'!$A:$T,COLUMN('2.1 Toteut. op.vuodet'!S:S),FALSE),0)</f>
        <v>1.11501474912441</v>
      </c>
      <c r="J133" s="74">
        <f t="shared" ref="J133:J140" si="4">IFERROR(ROUND(H133*I133,1),0)</f>
        <v>1477.4</v>
      </c>
      <c r="K133" s="9">
        <f>IFERROR(Ohj.lask.[[#This Row],[Painotetut opiskelija-vuodet]]/Ohj.lask.[[#Totals],[Painotetut opiskelija-vuodet]],0)</f>
        <v>6.8165313111049385E-3</v>
      </c>
      <c r="L133" s="10">
        <f>ROUND(IFERROR('1.1 Jakotaulu'!L$12*Ohj.lask.[[#This Row],[%-osuus 1]],0),0)</f>
        <v>10082304</v>
      </c>
      <c r="M133" s="132">
        <f>IFERROR(ROUND(VLOOKUP($A133,'2.2 Tutk. ja osien pain. pist.'!$A:$Q,COLUMN('2.2 Tutk. ja osien pain. pist.'!O:O),FALSE),1),0)</f>
        <v>130273.3</v>
      </c>
      <c r="N133" s="9">
        <f>IFERROR(Ohj.lask.[[#This Row],[Painotetut pisteet 2]]/Ohj.lask.[[#Totals],[Painotetut pisteet 2]],0)</f>
        <v>8.504153338423295E-3</v>
      </c>
      <c r="O133" s="16">
        <f>ROUND(IFERROR('1.1 Jakotaulu'!K$13*Ohj.lask.[[#This Row],[%-osuus 2]],0),0)</f>
        <v>3654286</v>
      </c>
      <c r="P133" s="133">
        <f>IFERROR(ROUND(VLOOKUP($A133,'2.3 Työll. ja jatko-opisk.'!$A:$Z,COLUMN('2.3 Työll. ja jatko-opisk.'!L:L),FALSE),1),0)</f>
        <v>2041.1</v>
      </c>
      <c r="Q133" s="9">
        <f>IFERROR(Ohj.lask.[[#This Row],[Painotetut pisteet 3]]/Ohj.lask.[[#Totals],[Painotetut pisteet 3]],0)</f>
        <v>6.5307676555660761E-3</v>
      </c>
      <c r="R133" s="10">
        <f>ROUND(IFERROR('1.1 Jakotaulu'!L$15*Ohj.lask.[[#This Row],[%-osuus 3]],0),0)</f>
        <v>982209</v>
      </c>
      <c r="S133" s="132">
        <f>IFERROR(ROUND(VLOOKUP($A133,'2.4 Aloittaneet palaute'!$A:$I,COLUMN('2.4 Aloittaneet palaute'!H:H),FALSE),1),0)</f>
        <v>20554.599999999999</v>
      </c>
      <c r="T133" s="13">
        <f>IFERROR(Ohj.lask.[[#This Row],[Painotetut pisteet 4]]/Ohj.lask.[[#Totals],[Painotetut pisteet 4]],0)</f>
        <v>1.2331069903559016E-2</v>
      </c>
      <c r="U133" s="16">
        <f>ROUND(IFERROR('1.1 Jakotaulu'!M$17*Ohj.lask.[[#This Row],[%-osuus 4]],0),0)</f>
        <v>99351</v>
      </c>
      <c r="V133" s="132">
        <f>IFERROR(ROUND(VLOOKUP($A133,'2.5 Päättäneet palaute'!$A:$Z,COLUMN('2.5 Päättäneet palaute'!X:X),FALSE),1),0)</f>
        <v>83390.899999999994</v>
      </c>
      <c r="W133" s="13">
        <f>IFERROR(Ohj.lask.[[#This Row],[Painotetut pisteet 5]]/Ohj.lask.[[#Totals],[Painotetut pisteet 5]],0)</f>
        <v>8.1536501485509789E-3</v>
      </c>
      <c r="X133" s="16">
        <f>ROUND(IFERROR('1.1 Jakotaulu'!M$18*Ohj.lask.[[#This Row],[%-osuus 5]],0),0)</f>
        <v>197082</v>
      </c>
      <c r="Y133" s="132">
        <f>IFERROR(ROUND(VLOOKUP($A133,'2.6 Työpaikkaohjaajakysely'!B:J,COLUMN('2.6 Työpaikkaohjaajakysely'!H:H),FALSE),1),0)</f>
        <v>2162375.1</v>
      </c>
      <c r="Z133" s="9">
        <f>IFERROR(Ohj.lask.[[#This Row],[Painotetut pisteet 6]]/Ohj.lask.[[#Totals],[Painotetut pisteet 6]],0)</f>
        <v>6.3710390785993972E-3</v>
      </c>
      <c r="AA133" s="16">
        <f>ROUND(IFERROR('1.1 Jakotaulu'!M$20*Ohj.lask.[[#This Row],[%-osuus 6]],0),0)</f>
        <v>153994</v>
      </c>
      <c r="AB133" s="132">
        <f>IFERROR(ROUND(VLOOKUP($A133,'2.7 Työpaikkakysely'!B:H,COLUMN('2.7 Työpaikkakysely'!F:F),FALSE),1),0)</f>
        <v>1288719</v>
      </c>
      <c r="AC133" s="9">
        <f>IFERROR(Ohj.lask.[[#This Row],[Pisteet 7]]/Ohj.lask.[[#Totals],[Pisteet 7]],0)</f>
        <v>6.9839024630087105E-3</v>
      </c>
      <c r="AD133" s="16">
        <f>ROUND(IFERROR('1.1 Jakotaulu'!M$21*Ohj.lask.[[#This Row],[%-osuus 7]],0),0)</f>
        <v>56269</v>
      </c>
      <c r="AE133" s="12">
        <f>IFERROR(Ohj.lask.[[#This Row],[Jaettava € 8]]/Ohj.lask.[[#Totals],[Jaettava € 8]],"")</f>
        <v>7.1694766906622923E-3</v>
      </c>
      <c r="AF133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15225495</v>
      </c>
      <c r="AG133" s="102">
        <v>0</v>
      </c>
      <c r="AH133" s="102">
        <v>100000</v>
      </c>
      <c r="AI133" s="102">
        <v>0</v>
      </c>
      <c r="AJ133" s="102">
        <v>0</v>
      </c>
      <c r="AK133" s="102">
        <v>30000</v>
      </c>
      <c r="AL133" s="107">
        <v>0</v>
      </c>
      <c r="AM133" s="107">
        <v>34228</v>
      </c>
      <c r="AN13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164228</v>
      </c>
      <c r="AO133" s="10">
        <f>Ohj.lask.[[#This Row],[Jaettava € 1]]+Ohj.lask.[[#This Row],[Harkinnanvarainen korotus 8, €]]</f>
        <v>10246532</v>
      </c>
      <c r="AP133" s="102">
        <f>Ohj.lask.[[#This Row],[Jaettava € 2]]</f>
        <v>3654286</v>
      </c>
      <c r="AQ133" s="10">
        <f>Ohj.lask.[[#This Row],[Jaettava € 3]]+Ohj.lask.[[#This Row],[Jaettava € 4]]+Ohj.lask.[[#This Row],[Jaettava € 5]]+Ohj.lask.[[#This Row],[Jaettava € 6]]+Ohj.lask.[[#This Row],[Jaettava € 7]]</f>
        <v>1488905</v>
      </c>
      <c r="AR133" s="33">
        <f>Ohj.lask.[[#This Row],[Jaettava € 8]]+Ohj.lask.[[#This Row],[Harkinnanvarainen korotus 8, €]]</f>
        <v>15389723</v>
      </c>
      <c r="AS133" s="33">
        <v>1093713</v>
      </c>
      <c r="AT133" s="16">
        <f>Ohj.lask.[[#This Row],[Perus-, suoritus- ja vaikuttavuusrahoitus yhteensä, €]]+Ohj.lask.[[#This Row],[Alv-korvaus, €]]</f>
        <v>16483436</v>
      </c>
    </row>
    <row r="134" spans="1:46" ht="12.75" x14ac:dyDescent="0.2">
      <c r="A134" s="3" t="s">
        <v>190</v>
      </c>
      <c r="B134" s="7" t="s">
        <v>119</v>
      </c>
      <c r="C134" s="7" t="s">
        <v>179</v>
      </c>
      <c r="D134" s="7" t="s">
        <v>326</v>
      </c>
      <c r="E134" s="7" t="s">
        <v>375</v>
      </c>
      <c r="F134" s="105">
        <v>2401</v>
      </c>
      <c r="G134" s="106">
        <f>Ohj.lask.[[#This Row],[Tavoitteelliset opiskelija-vuodet]]-Ohj.lask.[[#This Row],[Järjestämisluvan opisk.vuosien vähimmäismäärä]]</f>
        <v>169</v>
      </c>
      <c r="H134" s="32">
        <v>2570</v>
      </c>
      <c r="I134" s="8">
        <f>IFERROR(VLOOKUP($A134,'2.1 Toteut. op.vuodet'!$A:$T,COLUMN('2.1 Toteut. op.vuodet'!S:S),FALSE),0)</f>
        <v>1.0623888162786732</v>
      </c>
      <c r="J134" s="74">
        <f t="shared" si="4"/>
        <v>2730.3</v>
      </c>
      <c r="K134" s="9">
        <f>IFERROR(Ohj.lask.[[#This Row],[Painotetut opiskelija-vuodet]]/Ohj.lask.[[#Totals],[Painotetut opiskelija-vuodet]],0)</f>
        <v>1.2597248841687975E-2</v>
      </c>
      <c r="L134" s="10">
        <f>ROUND(IFERROR('1.1 Jakotaulu'!L$12*Ohj.lask.[[#This Row],[%-osuus 1]],0),0)</f>
        <v>18632540</v>
      </c>
      <c r="M134" s="132">
        <f>IFERROR(ROUND(VLOOKUP($A134,'2.2 Tutk. ja osien pain. pist.'!$A:$Q,COLUMN('2.2 Tutk. ja osien pain. pist.'!O:O),FALSE),1),0)</f>
        <v>196107.5</v>
      </c>
      <c r="N134" s="9">
        <f>IFERROR(Ohj.lask.[[#This Row],[Painotetut pisteet 2]]/Ohj.lask.[[#Totals],[Painotetut pisteet 2]],0)</f>
        <v>1.2801765602121434E-2</v>
      </c>
      <c r="O134" s="16">
        <f>ROUND(IFERROR('1.1 Jakotaulu'!K$13*Ohj.lask.[[#This Row],[%-osuus 2]],0),0)</f>
        <v>5500995</v>
      </c>
      <c r="P134" s="133">
        <f>IFERROR(ROUND(VLOOKUP($A134,'2.3 Työll. ja jatko-opisk.'!$A:$Z,COLUMN('2.3 Työll. ja jatko-opisk.'!L:L),FALSE),1),0)</f>
        <v>4237.8</v>
      </c>
      <c r="Q134" s="9">
        <f>IFERROR(Ohj.lask.[[#This Row],[Painotetut pisteet 3]]/Ohj.lask.[[#Totals],[Painotetut pisteet 3]],0)</f>
        <v>1.3559397957355309E-2</v>
      </c>
      <c r="R134" s="10">
        <f>ROUND(IFERROR('1.1 Jakotaulu'!L$15*Ohj.lask.[[#This Row],[%-osuus 3]],0),0)</f>
        <v>2039294</v>
      </c>
      <c r="S134" s="132">
        <f>IFERROR(ROUND(VLOOKUP($A134,'2.4 Aloittaneet palaute'!$A:$I,COLUMN('2.4 Aloittaneet palaute'!H:H),FALSE),1),0)</f>
        <v>16514</v>
      </c>
      <c r="T134" s="13">
        <f>IFERROR(Ohj.lask.[[#This Row],[Painotetut pisteet 4]]/Ohj.lask.[[#Totals],[Painotetut pisteet 4]],0)</f>
        <v>9.9070421408041804E-3</v>
      </c>
      <c r="U134" s="16">
        <f>ROUND(IFERROR('1.1 Jakotaulu'!M$17*Ohj.lask.[[#This Row],[%-osuus 4]],0),0)</f>
        <v>79821</v>
      </c>
      <c r="V134" s="132">
        <f>IFERROR(ROUND(VLOOKUP($A134,'2.5 Päättäneet palaute'!$A:$Z,COLUMN('2.5 Päättäneet palaute'!X:X),FALSE),1),0)</f>
        <v>101617.9</v>
      </c>
      <c r="W134" s="13">
        <f>IFERROR(Ohj.lask.[[#This Row],[Painotetut pisteet 5]]/Ohj.lask.[[#Totals],[Painotetut pisteet 5]],0)</f>
        <v>9.935818002089418E-3</v>
      </c>
      <c r="X134" s="16">
        <f>ROUND(IFERROR('1.1 Jakotaulu'!M$18*Ohj.lask.[[#This Row],[%-osuus 5]],0),0)</f>
        <v>240158</v>
      </c>
      <c r="Y134" s="132">
        <f>IFERROR(ROUND(VLOOKUP($A134,'2.6 Työpaikkaohjaajakysely'!B:J,COLUMN('2.6 Työpaikkaohjaajakysely'!H:H),FALSE),1),0)</f>
        <v>4397456.0999999996</v>
      </c>
      <c r="Z134" s="9">
        <f>IFERROR(Ohj.lask.[[#This Row],[Painotetut pisteet 6]]/Ohj.lask.[[#Totals],[Painotetut pisteet 6]],0)</f>
        <v>1.2956292670742137E-2</v>
      </c>
      <c r="AA134" s="16">
        <f>ROUND(IFERROR('1.1 Jakotaulu'!M$20*Ohj.lask.[[#This Row],[%-osuus 6]],0),0)</f>
        <v>313166</v>
      </c>
      <c r="AB134" s="132">
        <f>IFERROR(ROUND(VLOOKUP($A134,'2.7 Työpaikkakysely'!B:H,COLUMN('2.7 Työpaikkakysely'!F:F),FALSE),1),0)</f>
        <v>1703258</v>
      </c>
      <c r="AC134" s="9">
        <f>IFERROR(Ohj.lask.[[#This Row],[Pisteet 7]]/Ohj.lask.[[#Totals],[Pisteet 7]],0)</f>
        <v>9.2303968059284369E-3</v>
      </c>
      <c r="AD134" s="16">
        <f>ROUND(IFERROR('1.1 Jakotaulu'!M$21*Ohj.lask.[[#This Row],[%-osuus 7]],0),0)</f>
        <v>74369</v>
      </c>
      <c r="AE134" s="12">
        <f>IFERROR(Ohj.lask.[[#This Row],[Jaettava € 8]]/Ohj.lask.[[#Totals],[Jaettava € 8]],"")</f>
        <v>1.2657584700891978E-2</v>
      </c>
      <c r="AF134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26880343</v>
      </c>
      <c r="AG134" s="102">
        <v>0</v>
      </c>
      <c r="AH134" s="102">
        <v>0</v>
      </c>
      <c r="AI134" s="102">
        <v>0</v>
      </c>
      <c r="AJ134" s="102">
        <v>0</v>
      </c>
      <c r="AK134" s="102">
        <v>31000</v>
      </c>
      <c r="AL134" s="107">
        <v>10000</v>
      </c>
      <c r="AM134" s="107">
        <v>20319</v>
      </c>
      <c r="AN13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61319</v>
      </c>
      <c r="AO134" s="10">
        <f>Ohj.lask.[[#This Row],[Jaettava € 1]]+Ohj.lask.[[#This Row],[Harkinnanvarainen korotus 8, €]]</f>
        <v>18693859</v>
      </c>
      <c r="AP134" s="102">
        <f>Ohj.lask.[[#This Row],[Jaettava € 2]]</f>
        <v>5500995</v>
      </c>
      <c r="AQ134" s="10">
        <f>Ohj.lask.[[#This Row],[Jaettava € 3]]+Ohj.lask.[[#This Row],[Jaettava € 4]]+Ohj.lask.[[#This Row],[Jaettava € 5]]+Ohj.lask.[[#This Row],[Jaettava € 6]]+Ohj.lask.[[#This Row],[Jaettava € 7]]</f>
        <v>2746808</v>
      </c>
      <c r="AR134" s="33">
        <f>Ohj.lask.[[#This Row],[Jaettava € 8]]+Ohj.lask.[[#This Row],[Harkinnanvarainen korotus 8, €]]</f>
        <v>26941662</v>
      </c>
      <c r="AS134" s="33">
        <v>0</v>
      </c>
      <c r="AT134" s="16">
        <f>Ohj.lask.[[#This Row],[Perus-, suoritus- ja vaikuttavuusrahoitus yhteensä, €]]+Ohj.lask.[[#This Row],[Alv-korvaus, €]]</f>
        <v>26941662</v>
      </c>
    </row>
    <row r="135" spans="1:46" ht="12.75" x14ac:dyDescent="0.2">
      <c r="A135" s="3" t="s">
        <v>189</v>
      </c>
      <c r="B135" s="7" t="s">
        <v>120</v>
      </c>
      <c r="C135" s="7" t="s">
        <v>182</v>
      </c>
      <c r="D135" s="7" t="s">
        <v>324</v>
      </c>
      <c r="E135" s="7" t="s">
        <v>373</v>
      </c>
      <c r="F135" s="105">
        <v>994</v>
      </c>
      <c r="G135" s="106">
        <f>Ohj.lask.[[#This Row],[Tavoitteelliset opiskelija-vuodet]]-Ohj.lask.[[#This Row],[Järjestämisluvan opisk.vuosien vähimmäismäärä]]</f>
        <v>53</v>
      </c>
      <c r="H135" s="32">
        <v>1047</v>
      </c>
      <c r="I135" s="8">
        <f>IFERROR(VLOOKUP($A135,'2.1 Toteut. op.vuodet'!$A:$T,COLUMN('2.1 Toteut. op.vuodet'!S:S),FALSE),0)</f>
        <v>1.0899861762766638</v>
      </c>
      <c r="J135" s="74">
        <f t="shared" si="4"/>
        <v>1141.2</v>
      </c>
      <c r="K135" s="9">
        <f>IFERROR(Ohj.lask.[[#This Row],[Painotetut opiskelija-vuodet]]/Ohj.lask.[[#Totals],[Painotetut opiskelija-vuodet]],0)</f>
        <v>5.2653482687376177E-3</v>
      </c>
      <c r="L135" s="10">
        <f>ROUND(IFERROR('1.1 Jakotaulu'!L$12*Ohj.lask.[[#This Row],[%-osuus 1]],0),0)</f>
        <v>7787956</v>
      </c>
      <c r="M135" s="132">
        <f>IFERROR(ROUND(VLOOKUP($A135,'2.2 Tutk. ja osien pain. pist.'!$A:$Q,COLUMN('2.2 Tutk. ja osien pain. pist.'!O:O),FALSE),1),0)</f>
        <v>81959.199999999997</v>
      </c>
      <c r="N135" s="9">
        <f>IFERROR(Ohj.lask.[[#This Row],[Painotetut pisteet 2]]/Ohj.lask.[[#Totals],[Painotetut pisteet 2]],0)</f>
        <v>5.3502414101316426E-3</v>
      </c>
      <c r="O135" s="16">
        <f>ROUND(IFERROR('1.1 Jakotaulu'!K$13*Ohj.lask.[[#This Row],[%-osuus 2]],0),0)</f>
        <v>2299031</v>
      </c>
      <c r="P135" s="133">
        <f>IFERROR(ROUND(VLOOKUP($A135,'2.3 Työll. ja jatko-opisk.'!$A:$Z,COLUMN('2.3 Työll. ja jatko-opisk.'!L:L),FALSE),1),0)</f>
        <v>1827.7</v>
      </c>
      <c r="Q135" s="9">
        <f>IFERROR(Ohj.lask.[[#This Row],[Painotetut pisteet 3]]/Ohj.lask.[[#Totals],[Painotetut pisteet 3]],0)</f>
        <v>5.8479663142805925E-3</v>
      </c>
      <c r="R135" s="10">
        <f>ROUND(IFERROR('1.1 Jakotaulu'!L$15*Ohj.lask.[[#This Row],[%-osuus 3]],0),0)</f>
        <v>879517</v>
      </c>
      <c r="S135" s="132">
        <f>IFERROR(ROUND(VLOOKUP($A135,'2.4 Aloittaneet palaute'!$A:$I,COLUMN('2.4 Aloittaneet palaute'!H:H),FALSE),1),0)</f>
        <v>11180</v>
      </c>
      <c r="T135" s="13">
        <f>IFERROR(Ohj.lask.[[#This Row],[Painotetut pisteet 4]]/Ohj.lask.[[#Totals],[Painotetut pisteet 4]],0)</f>
        <v>6.707080727515486E-3</v>
      </c>
      <c r="U135" s="16">
        <f>ROUND(IFERROR('1.1 Jakotaulu'!M$17*Ohj.lask.[[#This Row],[%-osuus 4]],0),0)</f>
        <v>54039</v>
      </c>
      <c r="V135" s="132">
        <f>IFERROR(ROUND(VLOOKUP($A135,'2.5 Päättäneet palaute'!$A:$Z,COLUMN('2.5 Päättäneet palaute'!X:X),FALSE),1),0)</f>
        <v>60813.1</v>
      </c>
      <c r="W135" s="13">
        <f>IFERROR(Ohj.lask.[[#This Row],[Painotetut pisteet 5]]/Ohj.lask.[[#Totals],[Painotetut pisteet 5]],0)</f>
        <v>5.9460773519514187E-3</v>
      </c>
      <c r="X135" s="16">
        <f>ROUND(IFERROR('1.1 Jakotaulu'!M$18*Ohj.lask.[[#This Row],[%-osuus 5]],0),0)</f>
        <v>143722</v>
      </c>
      <c r="Y135" s="132">
        <f>IFERROR(ROUND(VLOOKUP($A135,'2.6 Työpaikkaohjaajakysely'!B:J,COLUMN('2.6 Työpaikkaohjaajakysely'!H:H),FALSE),1),0)</f>
        <v>1955370</v>
      </c>
      <c r="Z135" s="9">
        <f>IFERROR(Ohj.lask.[[#This Row],[Painotetut pisteet 6]]/Ohj.lask.[[#Totals],[Painotetut pisteet 6]],0)</f>
        <v>5.7611367625907744E-3</v>
      </c>
      <c r="AA135" s="16">
        <f>ROUND(IFERROR('1.1 Jakotaulu'!M$20*Ohj.lask.[[#This Row],[%-osuus 6]],0),0)</f>
        <v>139252</v>
      </c>
      <c r="AB135" s="132">
        <f>IFERROR(ROUND(VLOOKUP($A135,'2.7 Työpaikkakysely'!B:H,COLUMN('2.7 Työpaikkakysely'!F:F),FALSE),1),0)</f>
        <v>788862</v>
      </c>
      <c r="AC135" s="9">
        <f>IFERROR(Ohj.lask.[[#This Row],[Pisteet 7]]/Ohj.lask.[[#Totals],[Pisteet 7]],0)</f>
        <v>4.2750477526706581E-3</v>
      </c>
      <c r="AD135" s="16">
        <f>ROUND(IFERROR('1.1 Jakotaulu'!M$21*Ohj.lask.[[#This Row],[%-osuus 7]],0),0)</f>
        <v>34444</v>
      </c>
      <c r="AE135" s="12">
        <f>IFERROR(Ohj.lask.[[#This Row],[Jaettava € 8]]/Ohj.lask.[[#Totals],[Jaettava € 8]],"")</f>
        <v>5.3388902698492322E-3</v>
      </c>
      <c r="AF135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11337961</v>
      </c>
      <c r="AG135" s="102">
        <v>0</v>
      </c>
      <c r="AH135" s="102">
        <v>0</v>
      </c>
      <c r="AI135" s="102">
        <v>0</v>
      </c>
      <c r="AJ135" s="102">
        <v>0</v>
      </c>
      <c r="AK135" s="102">
        <v>15000</v>
      </c>
      <c r="AL135" s="107">
        <v>0</v>
      </c>
      <c r="AM135" s="107">
        <v>63095</v>
      </c>
      <c r="AN13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78095</v>
      </c>
      <c r="AO135" s="10">
        <f>Ohj.lask.[[#This Row],[Jaettava € 1]]+Ohj.lask.[[#This Row],[Harkinnanvarainen korotus 8, €]]</f>
        <v>7866051</v>
      </c>
      <c r="AP135" s="102">
        <f>Ohj.lask.[[#This Row],[Jaettava € 2]]</f>
        <v>2299031</v>
      </c>
      <c r="AQ135" s="10">
        <f>Ohj.lask.[[#This Row],[Jaettava € 3]]+Ohj.lask.[[#This Row],[Jaettava € 4]]+Ohj.lask.[[#This Row],[Jaettava € 5]]+Ohj.lask.[[#This Row],[Jaettava € 6]]+Ohj.lask.[[#This Row],[Jaettava € 7]]</f>
        <v>1250974</v>
      </c>
      <c r="AR135" s="33">
        <f>Ohj.lask.[[#This Row],[Jaettava € 8]]+Ohj.lask.[[#This Row],[Harkinnanvarainen korotus 8, €]]</f>
        <v>11416056</v>
      </c>
      <c r="AS135" s="33">
        <v>0</v>
      </c>
      <c r="AT135" s="16">
        <f>Ohj.lask.[[#This Row],[Perus-, suoritus- ja vaikuttavuusrahoitus yhteensä, €]]+Ohj.lask.[[#This Row],[Alv-korvaus, €]]</f>
        <v>11416056</v>
      </c>
    </row>
    <row r="136" spans="1:46" ht="12.75" x14ac:dyDescent="0.2">
      <c r="A136" s="3" t="s">
        <v>188</v>
      </c>
      <c r="B136" s="7" t="s">
        <v>121</v>
      </c>
      <c r="C136" s="7" t="s">
        <v>187</v>
      </c>
      <c r="D136" s="7" t="s">
        <v>325</v>
      </c>
      <c r="E136" s="7" t="s">
        <v>373</v>
      </c>
      <c r="F136" s="105">
        <v>17</v>
      </c>
      <c r="G136" s="106">
        <f>Ohj.lask.[[#This Row],[Tavoitteelliset opiskelija-vuodet]]-Ohj.lask.[[#This Row],[Järjestämisluvan opisk.vuosien vähimmäismäärä]]</f>
        <v>0</v>
      </c>
      <c r="H136" s="32">
        <v>17</v>
      </c>
      <c r="I136" s="8">
        <f>IFERROR(VLOOKUP($A136,'2.1 Toteut. op.vuodet'!$A:$T,COLUMN('2.1 Toteut. op.vuodet'!S:S),FALSE),0)</f>
        <v>0.72606290868094592</v>
      </c>
      <c r="J136" s="74">
        <f t="shared" si="4"/>
        <v>12.3</v>
      </c>
      <c r="K136" s="9">
        <f>IFERROR(Ohj.lask.[[#This Row],[Painotetut opiskelija-vuodet]]/Ohj.lask.[[#Totals],[Painotetut opiskelija-vuodet]],0)</f>
        <v>5.6750599110999557E-5</v>
      </c>
      <c r="L136" s="10">
        <f>ROUND(IFERROR('1.1 Jakotaulu'!L$12*Ohj.lask.[[#This Row],[%-osuus 1]],0),0)</f>
        <v>83940</v>
      </c>
      <c r="M136" s="132">
        <f>IFERROR(ROUND(VLOOKUP($A136,'2.2 Tutk. ja osien pain. pist.'!$A:$Q,COLUMN('2.2 Tutk. ja osien pain. pist.'!O:O),FALSE),1),0)</f>
        <v>1223.9000000000001</v>
      </c>
      <c r="N136" s="9">
        <f>IFERROR(Ohj.lask.[[#This Row],[Painotetut pisteet 2]]/Ohj.lask.[[#Totals],[Painotetut pisteet 2]],0)</f>
        <v>7.9895368205889247E-5</v>
      </c>
      <c r="O136" s="16">
        <f>ROUND(IFERROR('1.1 Jakotaulu'!K$13*Ohj.lask.[[#This Row],[%-osuus 2]],0),0)</f>
        <v>34332</v>
      </c>
      <c r="P136" s="133">
        <f>IFERROR(ROUND(VLOOKUP($A136,'2.3 Työll. ja jatko-opisk.'!$A:$Z,COLUMN('2.3 Työll. ja jatko-opisk.'!L:L),FALSE),1),0)</f>
        <v>37.700000000000003</v>
      </c>
      <c r="Q136" s="9">
        <f>IFERROR(Ohj.lask.[[#This Row],[Painotetut pisteet 3]]/Ohj.lask.[[#Totals],[Painotetut pisteet 3]],0)</f>
        <v>1.2062610387283382E-4</v>
      </c>
      <c r="R136" s="10">
        <f>ROUND(IFERROR('1.1 Jakotaulu'!L$15*Ohj.lask.[[#This Row],[%-osuus 3]],0),0)</f>
        <v>18142</v>
      </c>
      <c r="S136" s="132">
        <f>IFERROR(ROUND(VLOOKUP($A136,'2.4 Aloittaneet palaute'!$A:$I,COLUMN('2.4 Aloittaneet palaute'!H:H),FALSE),1),0)</f>
        <v>239.2</v>
      </c>
      <c r="T136" s="13">
        <f>IFERROR(Ohj.lask.[[#This Row],[Painotetut pisteet 4]]/Ohj.lask.[[#Totals],[Painotetut pisteet 4]],0)</f>
        <v>1.4350033184451738E-4</v>
      </c>
      <c r="U136" s="16">
        <f>ROUND(IFERROR('1.1 Jakotaulu'!M$17*Ohj.lask.[[#This Row],[%-osuus 4]],0),0)</f>
        <v>1156</v>
      </c>
      <c r="V136" s="132">
        <f>IFERROR(ROUND(VLOOKUP($A136,'2.5 Päättäneet palaute'!$A:$Z,COLUMN('2.5 Päättäneet palaute'!X:X),FALSE),1),0)</f>
        <v>2256.5</v>
      </c>
      <c r="W136" s="13">
        <f>IFERROR(Ohj.lask.[[#This Row],[Painotetut pisteet 5]]/Ohj.lask.[[#Totals],[Painotetut pisteet 5]],0)</f>
        <v>2.2063212604978821E-4</v>
      </c>
      <c r="X136" s="16">
        <f>ROUND(IFERROR('1.1 Jakotaulu'!M$18*Ohj.lask.[[#This Row],[%-osuus 5]],0),0)</f>
        <v>5333</v>
      </c>
      <c r="Y136" s="132">
        <f>IFERROR(ROUND(VLOOKUP($A136,'2.6 Työpaikkaohjaajakysely'!B:J,COLUMN('2.6 Työpaikkaohjaajakysely'!H:H),FALSE),1),0)</f>
        <v>34967.4</v>
      </c>
      <c r="Z136" s="9">
        <f>IFERROR(Ohj.lask.[[#This Row],[Painotetut pisteet 6]]/Ohj.lask.[[#Totals],[Painotetut pisteet 6]],0)</f>
        <v>1.0302498945581484E-4</v>
      </c>
      <c r="AA136" s="16">
        <f>ROUND(IFERROR('1.1 Jakotaulu'!M$20*Ohj.lask.[[#This Row],[%-osuus 6]],0),0)</f>
        <v>2490</v>
      </c>
      <c r="AB136" s="132">
        <f>IFERROR(ROUND(VLOOKUP($A136,'2.7 Työpaikkakysely'!B:H,COLUMN('2.7 Työpaikkakysely'!F:F),FALSE),1),0)</f>
        <v>15864</v>
      </c>
      <c r="AC136" s="9">
        <f>IFERROR(Ohj.lask.[[#This Row],[Pisteet 7]]/Ohj.lask.[[#Totals],[Pisteet 7]],0)</f>
        <v>8.5971129992783675E-5</v>
      </c>
      <c r="AD136" s="16">
        <f>ROUND(IFERROR('1.1 Jakotaulu'!M$21*Ohj.lask.[[#This Row],[%-osuus 7]],0),0)</f>
        <v>693</v>
      </c>
      <c r="AE136" s="12">
        <f>IFERROR(Ohj.lask.[[#This Row],[Jaettava € 8]]/Ohj.lask.[[#Totals],[Jaettava € 8]],"")</f>
        <v>6.878989299409258E-5</v>
      </c>
      <c r="AF136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146086</v>
      </c>
      <c r="AG136" s="102">
        <v>0</v>
      </c>
      <c r="AH136" s="102">
        <v>0</v>
      </c>
      <c r="AI136" s="102">
        <v>0</v>
      </c>
      <c r="AJ136" s="102">
        <v>0</v>
      </c>
      <c r="AK136" s="102">
        <v>0</v>
      </c>
      <c r="AL136" s="107">
        <v>0</v>
      </c>
      <c r="AM136" s="107">
        <v>0</v>
      </c>
      <c r="AN13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36" s="10">
        <f>Ohj.lask.[[#This Row],[Jaettava € 1]]+Ohj.lask.[[#This Row],[Harkinnanvarainen korotus 8, €]]</f>
        <v>83940</v>
      </c>
      <c r="AP136" s="102">
        <f>Ohj.lask.[[#This Row],[Jaettava € 2]]</f>
        <v>34332</v>
      </c>
      <c r="AQ136" s="10">
        <f>Ohj.lask.[[#This Row],[Jaettava € 3]]+Ohj.lask.[[#This Row],[Jaettava € 4]]+Ohj.lask.[[#This Row],[Jaettava € 5]]+Ohj.lask.[[#This Row],[Jaettava € 6]]+Ohj.lask.[[#This Row],[Jaettava € 7]]</f>
        <v>27814</v>
      </c>
      <c r="AR136" s="33">
        <f>Ohj.lask.[[#This Row],[Jaettava € 8]]+Ohj.lask.[[#This Row],[Harkinnanvarainen korotus 8, €]]</f>
        <v>146086</v>
      </c>
      <c r="AS136" s="33">
        <v>0</v>
      </c>
      <c r="AT136" s="16">
        <f>Ohj.lask.[[#This Row],[Perus-, suoritus- ja vaikuttavuusrahoitus yhteensä, €]]+Ohj.lask.[[#This Row],[Alv-korvaus, €]]</f>
        <v>146086</v>
      </c>
    </row>
    <row r="137" spans="1:46" ht="12.75" x14ac:dyDescent="0.2">
      <c r="A137" s="3" t="s">
        <v>184</v>
      </c>
      <c r="B137" s="7" t="s">
        <v>122</v>
      </c>
      <c r="C137" s="7" t="s">
        <v>173</v>
      </c>
      <c r="D137" s="7" t="s">
        <v>326</v>
      </c>
      <c r="E137" s="7" t="s">
        <v>373</v>
      </c>
      <c r="F137" s="105">
        <v>3063</v>
      </c>
      <c r="G137" s="106">
        <f>Ohj.lask.[[#This Row],[Tavoitteelliset opiskelija-vuodet]]-Ohj.lask.[[#This Row],[Järjestämisluvan opisk.vuosien vähimmäismäärä]]</f>
        <v>585</v>
      </c>
      <c r="H137" s="32">
        <v>3648</v>
      </c>
      <c r="I137" s="8">
        <f>IFERROR(VLOOKUP($A137,'2.1 Toteut. op.vuodet'!$A:$T,COLUMN('2.1 Toteut. op.vuodet'!S:S),FALSE),0)</f>
        <v>1.0792873341886438</v>
      </c>
      <c r="J137" s="74">
        <f t="shared" si="4"/>
        <v>3937.2</v>
      </c>
      <c r="K137" s="9">
        <f>IFERROR(Ohj.lask.[[#This Row],[Painotetut opiskelija-vuodet]]/Ohj.lask.[[#Totals],[Painotetut opiskelija-vuodet]],0)</f>
        <v>1.8165728359335564E-2</v>
      </c>
      <c r="L137" s="10">
        <f>ROUND(IFERROR('1.1 Jakotaulu'!L$12*Ohj.lask.[[#This Row],[%-osuus 1]],0),0)</f>
        <v>26868856</v>
      </c>
      <c r="M137" s="132">
        <f>IFERROR(ROUND(VLOOKUP($A137,'2.2 Tutk. ja osien pain. pist.'!$A:$Q,COLUMN('2.2 Tutk. ja osien pain. pist.'!O:O),FALSE),1),0)</f>
        <v>280681.5</v>
      </c>
      <c r="N137" s="9">
        <f>IFERROR(Ohj.lask.[[#This Row],[Painotetut pisteet 2]]/Ohj.lask.[[#Totals],[Painotetut pisteet 2]],0)</f>
        <v>1.8322699396258926E-2</v>
      </c>
      <c r="O137" s="16">
        <f>ROUND(IFERROR('1.1 Jakotaulu'!K$13*Ohj.lask.[[#This Row],[%-osuus 2]],0),0)</f>
        <v>7873374</v>
      </c>
      <c r="P137" s="133">
        <f>IFERROR(ROUND(VLOOKUP($A137,'2.3 Työll. ja jatko-opisk.'!$A:$Z,COLUMN('2.3 Työll. ja jatko-opisk.'!L:L),FALSE),1),0)</f>
        <v>5904.4</v>
      </c>
      <c r="Q137" s="9">
        <f>IFERROR(Ohj.lask.[[#This Row],[Painotetut pisteet 3]]/Ohj.lask.[[#Totals],[Painotetut pisteet 3]],0)</f>
        <v>1.8891903652699202E-2</v>
      </c>
      <c r="R137" s="10">
        <f>ROUND(IFERROR('1.1 Jakotaulu'!L$15*Ohj.lask.[[#This Row],[%-osuus 3]],0),0)</f>
        <v>2841288</v>
      </c>
      <c r="S137" s="132">
        <f>IFERROR(ROUND(VLOOKUP($A137,'2.4 Aloittaneet palaute'!$A:$I,COLUMN('2.4 Aloittaneet palaute'!H:H),FALSE),1),0)</f>
        <v>37946.300000000003</v>
      </c>
      <c r="T137" s="13">
        <f>IFERROR(Ohj.lask.[[#This Row],[Painotetut pisteet 4]]/Ohj.lask.[[#Totals],[Painotetut pisteet 4]],0)</f>
        <v>2.2764659875717436E-2</v>
      </c>
      <c r="U137" s="16">
        <f>ROUND(IFERROR('1.1 Jakotaulu'!M$17*Ohj.lask.[[#This Row],[%-osuus 4]],0),0)</f>
        <v>183415</v>
      </c>
      <c r="V137" s="132">
        <f>IFERROR(ROUND(VLOOKUP($A137,'2.5 Päättäneet palaute'!$A:$Z,COLUMN('2.5 Päättäneet palaute'!X:X),FALSE),1),0)</f>
        <v>159672.6</v>
      </c>
      <c r="W137" s="13">
        <f>IFERROR(Ohj.lask.[[#This Row],[Painotetut pisteet 5]]/Ohj.lask.[[#Totals],[Painotetut pisteet 5]],0)</f>
        <v>1.5612189324129144E-2</v>
      </c>
      <c r="X137" s="16">
        <f>ROUND(IFERROR('1.1 Jakotaulu'!M$18*Ohj.lask.[[#This Row],[%-osuus 5]],0),0)</f>
        <v>377362</v>
      </c>
      <c r="Y137" s="132">
        <f>IFERROR(ROUND(VLOOKUP($A137,'2.6 Työpaikkaohjaajakysely'!B:J,COLUMN('2.6 Työpaikkaohjaajakysely'!H:H),FALSE),1),0)</f>
        <v>3510136.2</v>
      </c>
      <c r="Z137" s="9">
        <f>IFERROR(Ohj.lask.[[#This Row],[Painotetut pisteet 6]]/Ohj.lask.[[#Totals],[Painotetut pisteet 6]],0)</f>
        <v>1.0341968376072397E-2</v>
      </c>
      <c r="AA137" s="16">
        <f>ROUND(IFERROR('1.1 Jakotaulu'!M$20*Ohj.lask.[[#This Row],[%-osuus 6]],0),0)</f>
        <v>249975</v>
      </c>
      <c r="AB137" s="132">
        <f>IFERROR(ROUND(VLOOKUP($A137,'2.7 Työpaikkakysely'!B:H,COLUMN('2.7 Työpaikkakysely'!F:F),FALSE),1),0)</f>
        <v>1406678</v>
      </c>
      <c r="AC137" s="9">
        <f>IFERROR(Ohj.lask.[[#This Row],[Pisteet 7]]/Ohj.lask.[[#Totals],[Pisteet 7]],0)</f>
        <v>7.6231528741798381E-3</v>
      </c>
      <c r="AD137" s="16">
        <f>ROUND(IFERROR('1.1 Jakotaulu'!M$21*Ohj.lask.[[#This Row],[%-osuus 7]],0),0)</f>
        <v>61420</v>
      </c>
      <c r="AE137" s="12">
        <f>IFERROR(Ohj.lask.[[#This Row],[Jaettava € 8]]/Ohj.lask.[[#Totals],[Jaettava € 8]],"")</f>
        <v>1.8108256781033064E-2</v>
      </c>
      <c r="AF137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38455690</v>
      </c>
      <c r="AG137" s="102">
        <v>0</v>
      </c>
      <c r="AH137" s="102">
        <v>0</v>
      </c>
      <c r="AI137" s="102">
        <v>0</v>
      </c>
      <c r="AJ137" s="102">
        <v>0</v>
      </c>
      <c r="AK137" s="102">
        <v>0</v>
      </c>
      <c r="AL137" s="107">
        <v>0</v>
      </c>
      <c r="AM137" s="107">
        <v>0</v>
      </c>
      <c r="AN13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37" s="10">
        <f>Ohj.lask.[[#This Row],[Jaettava € 1]]+Ohj.lask.[[#This Row],[Harkinnanvarainen korotus 8, €]]</f>
        <v>26868856</v>
      </c>
      <c r="AP137" s="102">
        <f>Ohj.lask.[[#This Row],[Jaettava € 2]]</f>
        <v>7873374</v>
      </c>
      <c r="AQ137" s="10">
        <f>Ohj.lask.[[#This Row],[Jaettava € 3]]+Ohj.lask.[[#This Row],[Jaettava € 4]]+Ohj.lask.[[#This Row],[Jaettava € 5]]+Ohj.lask.[[#This Row],[Jaettava € 6]]+Ohj.lask.[[#This Row],[Jaettava € 7]]</f>
        <v>3713460</v>
      </c>
      <c r="AR137" s="33">
        <f>Ohj.lask.[[#This Row],[Jaettava € 8]]+Ohj.lask.[[#This Row],[Harkinnanvarainen korotus 8, €]]</f>
        <v>38455690</v>
      </c>
      <c r="AS137" s="33">
        <v>0</v>
      </c>
      <c r="AT137" s="16">
        <f>Ohj.lask.[[#This Row],[Perus-, suoritus- ja vaikuttavuusrahoitus yhteensä, €]]+Ohj.lask.[[#This Row],[Alv-korvaus, €]]</f>
        <v>38455690</v>
      </c>
    </row>
    <row r="138" spans="1:46" ht="12.75" x14ac:dyDescent="0.2">
      <c r="A138" s="3" t="s">
        <v>183</v>
      </c>
      <c r="B138" s="7" t="s">
        <v>123</v>
      </c>
      <c r="C138" s="7" t="s">
        <v>182</v>
      </c>
      <c r="D138" s="7" t="s">
        <v>325</v>
      </c>
      <c r="E138" s="7" t="s">
        <v>373</v>
      </c>
      <c r="F138" s="105">
        <v>128</v>
      </c>
      <c r="G138" s="106">
        <f>Ohj.lask.[[#This Row],[Tavoitteelliset opiskelija-vuodet]]-Ohj.lask.[[#This Row],[Järjestämisluvan opisk.vuosien vähimmäismäärä]]</f>
        <v>67</v>
      </c>
      <c r="H138" s="32">
        <v>195</v>
      </c>
      <c r="I138" s="8">
        <f>IFERROR(VLOOKUP($A138,'2.1 Toteut. op.vuodet'!$A:$T,COLUMN('2.1 Toteut. op.vuodet'!S:S),FALSE),0)</f>
        <v>1.4106540303592272</v>
      </c>
      <c r="J138" s="74">
        <f t="shared" si="4"/>
        <v>275.10000000000002</v>
      </c>
      <c r="K138" s="9">
        <f>IFERROR(Ohj.lask.[[#This Row],[Painotetut opiskelija-vuodet]]/Ohj.lask.[[#Totals],[Painotetut opiskelija-vuodet]],0)</f>
        <v>1.2692755947508925E-3</v>
      </c>
      <c r="L138" s="10">
        <f>ROUND(IFERROR('1.1 Jakotaulu'!L$12*Ohj.lask.[[#This Row],[%-osuus 1]],0),0)</f>
        <v>1877380</v>
      </c>
      <c r="M138" s="132">
        <f>IFERROR(ROUND(VLOOKUP($A138,'2.2 Tutk. ja osien pain. pist.'!$A:$Q,COLUMN('2.2 Tutk. ja osien pain. pist.'!O:O),FALSE),1),0)</f>
        <v>18688.599999999999</v>
      </c>
      <c r="N138" s="9">
        <f>IFERROR(Ohj.lask.[[#This Row],[Painotetut pisteet 2]]/Ohj.lask.[[#Totals],[Painotetut pisteet 2]],0)</f>
        <v>1.2199792289015292E-3</v>
      </c>
      <c r="O138" s="16">
        <f>ROUND(IFERROR('1.1 Jakotaulu'!K$13*Ohj.lask.[[#This Row],[%-osuus 2]],0),0)</f>
        <v>524232</v>
      </c>
      <c r="P138" s="133">
        <f>IFERROR(ROUND(VLOOKUP($A138,'2.3 Työll. ja jatko-opisk.'!$A:$Z,COLUMN('2.3 Työll. ja jatko-opisk.'!L:L),FALSE),1),0)</f>
        <v>353.4</v>
      </c>
      <c r="Q138" s="9">
        <f>IFERROR(Ohj.lask.[[#This Row],[Painotetut pisteet 3]]/Ohj.lask.[[#Totals],[Painotetut pisteet 3]],0)</f>
        <v>1.1307497376302246E-3</v>
      </c>
      <c r="R138" s="10">
        <f>ROUND(IFERROR('1.1 Jakotaulu'!L$15*Ohj.lask.[[#This Row],[%-osuus 3]],0),0)</f>
        <v>170061</v>
      </c>
      <c r="S138" s="132">
        <f>IFERROR(ROUND(VLOOKUP($A138,'2.4 Aloittaneet palaute'!$A:$I,COLUMN('2.4 Aloittaneet palaute'!H:H),FALSE),1),0)</f>
        <v>1488.2</v>
      </c>
      <c r="T138" s="13">
        <f>IFERROR(Ohj.lask.[[#This Row],[Painotetut pisteet 4]]/Ohj.lask.[[#Totals],[Painotetut pisteet 4]],0)</f>
        <v>8.9279763315639957E-4</v>
      </c>
      <c r="U138" s="16">
        <f>ROUND(IFERROR('1.1 Jakotaulu'!M$17*Ohj.lask.[[#This Row],[%-osuus 4]],0),0)</f>
        <v>7193</v>
      </c>
      <c r="V138" s="132">
        <f>IFERROR(ROUND(VLOOKUP($A138,'2.5 Päättäneet palaute'!$A:$Z,COLUMN('2.5 Päättäneet palaute'!X:X),FALSE),1),0)</f>
        <v>12948.3</v>
      </c>
      <c r="W138" s="13">
        <f>IFERROR(Ohj.lask.[[#This Row],[Painotetut pisteet 5]]/Ohj.lask.[[#Totals],[Painotetut pisteet 5]],0)</f>
        <v>1.2660363207314302E-3</v>
      </c>
      <c r="X138" s="16">
        <f>ROUND(IFERROR('1.1 Jakotaulu'!M$18*Ohj.lask.[[#This Row],[%-osuus 5]],0),0)</f>
        <v>30601</v>
      </c>
      <c r="Y138" s="132">
        <f>IFERROR(ROUND(VLOOKUP($A138,'2.6 Työpaikkaohjaajakysely'!B:J,COLUMN('2.6 Työpaikkaohjaajakysely'!H:H),FALSE),1),0)</f>
        <v>533999</v>
      </c>
      <c r="Z138" s="9">
        <f>IFERROR(Ohj.lask.[[#This Row],[Painotetut pisteet 6]]/Ohj.lask.[[#Totals],[Painotetut pisteet 6]],0)</f>
        <v>1.5733294824440956E-3</v>
      </c>
      <c r="AA138" s="16">
        <f>ROUND(IFERROR('1.1 Jakotaulu'!M$20*Ohj.lask.[[#This Row],[%-osuus 6]],0),0)</f>
        <v>38029</v>
      </c>
      <c r="AB138" s="132">
        <f>IFERROR(ROUND(VLOOKUP($A138,'2.7 Työpaikkakysely'!B:H,COLUMN('2.7 Työpaikkakysely'!F:F),FALSE),1),0)</f>
        <v>345984</v>
      </c>
      <c r="AC138" s="9">
        <f>IFERROR(Ohj.lask.[[#This Row],[Pisteet 7]]/Ohj.lask.[[#Totals],[Pisteet 7]],0)</f>
        <v>1.8749770196308162E-3</v>
      </c>
      <c r="AD138" s="16">
        <f>ROUND(IFERROR('1.1 Jakotaulu'!M$21*Ohj.lask.[[#This Row],[%-osuus 7]],0),0)</f>
        <v>15107</v>
      </c>
      <c r="AE138" s="12">
        <f>IFERROR(Ohj.lask.[[#This Row],[Jaettava € 8]]/Ohj.lask.[[#Totals],[Jaettava € 8]],"")</f>
        <v>1.2537832198550845E-3</v>
      </c>
      <c r="AF138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2662603</v>
      </c>
      <c r="AG138" s="102">
        <v>0</v>
      </c>
      <c r="AH138" s="102">
        <v>0</v>
      </c>
      <c r="AI138" s="102">
        <v>0</v>
      </c>
      <c r="AJ138" s="102">
        <v>0</v>
      </c>
      <c r="AK138" s="102">
        <v>0</v>
      </c>
      <c r="AL138" s="107">
        <v>0</v>
      </c>
      <c r="AM138" s="107">
        <v>0</v>
      </c>
      <c r="AN13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0</v>
      </c>
      <c r="AO138" s="10">
        <f>Ohj.lask.[[#This Row],[Jaettava € 1]]+Ohj.lask.[[#This Row],[Harkinnanvarainen korotus 8, €]]</f>
        <v>1877380</v>
      </c>
      <c r="AP138" s="102">
        <f>Ohj.lask.[[#This Row],[Jaettava € 2]]</f>
        <v>524232</v>
      </c>
      <c r="AQ138" s="10">
        <f>Ohj.lask.[[#This Row],[Jaettava € 3]]+Ohj.lask.[[#This Row],[Jaettava € 4]]+Ohj.lask.[[#This Row],[Jaettava € 5]]+Ohj.lask.[[#This Row],[Jaettava € 6]]+Ohj.lask.[[#This Row],[Jaettava € 7]]</f>
        <v>260991</v>
      </c>
      <c r="AR138" s="33">
        <f>Ohj.lask.[[#This Row],[Jaettava € 8]]+Ohj.lask.[[#This Row],[Harkinnanvarainen korotus 8, €]]</f>
        <v>2662603</v>
      </c>
      <c r="AS138" s="33">
        <v>158512</v>
      </c>
      <c r="AT138" s="16">
        <f>Ohj.lask.[[#This Row],[Perus-, suoritus- ja vaikuttavuusrahoitus yhteensä, €]]+Ohj.lask.[[#This Row],[Alv-korvaus, €]]</f>
        <v>2821115</v>
      </c>
    </row>
    <row r="139" spans="1:46" ht="12.75" x14ac:dyDescent="0.2">
      <c r="A139" s="3" t="s">
        <v>178</v>
      </c>
      <c r="B139" s="7" t="s">
        <v>124</v>
      </c>
      <c r="C139" s="7" t="s">
        <v>177</v>
      </c>
      <c r="D139" s="7" t="s">
        <v>324</v>
      </c>
      <c r="E139" s="7" t="s">
        <v>373</v>
      </c>
      <c r="F139" s="105">
        <v>1320</v>
      </c>
      <c r="G139" s="106">
        <f>Ohj.lask.[[#This Row],[Tavoitteelliset opiskelija-vuodet]]-Ohj.lask.[[#This Row],[Järjestämisluvan opisk.vuosien vähimmäismäärä]]</f>
        <v>253</v>
      </c>
      <c r="H139" s="32">
        <v>1573</v>
      </c>
      <c r="I139" s="8">
        <f>IFERROR(VLOOKUP($A139,'2.1 Toteut. op.vuodet'!$A:$T,COLUMN('2.1 Toteut. op.vuodet'!S:S),FALSE),0)</f>
        <v>1.2516399803843961</v>
      </c>
      <c r="J139" s="74">
        <f t="shared" si="4"/>
        <v>1968.8</v>
      </c>
      <c r="K139" s="9">
        <f>IFERROR(Ohj.lask.[[#This Row],[Painotetut opiskelija-vuodet]]/Ohj.lask.[[#Totals],[Painotetut opiskelija-vuodet]],0)</f>
        <v>9.0837869536370668E-3</v>
      </c>
      <c r="L139" s="10">
        <f>ROUND(IFERROR('1.1 Jakotaulu'!L$12*Ohj.lask.[[#This Row],[%-osuus 1]],0),0)</f>
        <v>13435793</v>
      </c>
      <c r="M139" s="132">
        <f>IFERROR(ROUND(VLOOKUP($A139,'2.2 Tutk. ja osien pain. pist.'!$A:$Q,COLUMN('2.2 Tutk. ja osien pain. pist.'!O:O),FALSE),1),0)</f>
        <v>143993</v>
      </c>
      <c r="N139" s="9">
        <f>IFERROR(Ohj.lask.[[#This Row],[Painotetut pisteet 2]]/Ohj.lask.[[#Totals],[Painotetut pisteet 2]],0)</f>
        <v>9.3997661198387192E-3</v>
      </c>
      <c r="O139" s="16">
        <f>ROUND(IFERROR('1.1 Jakotaulu'!K$13*Ohj.lask.[[#This Row],[%-osuus 2]],0),0)</f>
        <v>4039136</v>
      </c>
      <c r="P139" s="133">
        <f>IFERROR(ROUND(VLOOKUP($A139,'2.3 Työll. ja jatko-opisk.'!$A:$Z,COLUMN('2.3 Työll. ja jatko-opisk.'!L:L),FALSE),1),0)</f>
        <v>2701.4</v>
      </c>
      <c r="Q139" s="9">
        <f>IFERROR(Ohj.lask.[[#This Row],[Painotetut pisteet 3]]/Ohj.lask.[[#Totals],[Painotetut pisteet 3]],0)</f>
        <v>8.6434842706120223E-3</v>
      </c>
      <c r="R139" s="10">
        <f>ROUND(IFERROR('1.1 Jakotaulu'!L$15*Ohj.lask.[[#This Row],[%-osuus 3]],0),0)</f>
        <v>1299955</v>
      </c>
      <c r="S139" s="132">
        <f>IFERROR(ROUND(VLOOKUP($A139,'2.4 Aloittaneet palaute'!$A:$I,COLUMN('2.4 Aloittaneet palaute'!H:H),FALSE),1),0)</f>
        <v>19697.8</v>
      </c>
      <c r="T139" s="13">
        <f>IFERROR(Ohj.lask.[[#This Row],[Painotetut pisteet 4]]/Ohj.lask.[[#Totals],[Painotetut pisteet 4]],0)</f>
        <v>1.181706035370792E-2</v>
      </c>
      <c r="U139" s="16">
        <f>ROUND(IFERROR('1.1 Jakotaulu'!M$17*Ohj.lask.[[#This Row],[%-osuus 4]],0),0)</f>
        <v>95210</v>
      </c>
      <c r="V139" s="132">
        <f>IFERROR(ROUND(VLOOKUP($A139,'2.5 Päättäneet palaute'!$A:$Z,COLUMN('2.5 Päättäneet palaute'!X:X),FALSE),1),0)</f>
        <v>114575.9</v>
      </c>
      <c r="W139" s="13">
        <f>IFERROR(Ohj.lask.[[#This Row],[Painotetut pisteet 5]]/Ohj.lask.[[#Totals],[Painotetut pisteet 5]],0)</f>
        <v>1.1202802752522901E-2</v>
      </c>
      <c r="X139" s="16">
        <f>ROUND(IFERROR('1.1 Jakotaulu'!M$18*Ohj.lask.[[#This Row],[%-osuus 5]],0),0)</f>
        <v>270783</v>
      </c>
      <c r="Y139" s="132">
        <f>IFERROR(ROUND(VLOOKUP($A139,'2.6 Työpaikkaohjaajakysely'!B:J,COLUMN('2.6 Työpaikkaohjaajakysely'!H:H),FALSE),1),0)</f>
        <v>3637738.9</v>
      </c>
      <c r="Z139" s="9">
        <f>IFERROR(Ohj.lask.[[#This Row],[Painotetut pisteet 6]]/Ohj.lask.[[#Totals],[Painotetut pisteet 6]],0)</f>
        <v>1.0717926177396874E-2</v>
      </c>
      <c r="AA139" s="16">
        <f>ROUND(IFERROR('1.1 Jakotaulu'!M$20*Ohj.lask.[[#This Row],[%-osuus 6]],0),0)</f>
        <v>259063</v>
      </c>
      <c r="AB139" s="132">
        <f>IFERROR(ROUND(VLOOKUP($A139,'2.7 Työpaikkakysely'!B:H,COLUMN('2.7 Työpaikkakysely'!F:F),FALSE),1),0)</f>
        <v>3243220.6</v>
      </c>
      <c r="AC139" s="9">
        <f>IFERROR(Ohj.lask.[[#This Row],[Pisteet 7]]/Ohj.lask.[[#Totals],[Pisteet 7]],0)</f>
        <v>1.7575853492049539E-2</v>
      </c>
      <c r="AD139" s="16">
        <f>ROUND(IFERROR('1.1 Jakotaulu'!M$21*Ohj.lask.[[#This Row],[%-osuus 7]],0),0)</f>
        <v>141608</v>
      </c>
      <c r="AE139" s="12">
        <f>IFERROR(Ohj.lask.[[#This Row],[Jaettava € 8]]/Ohj.lask.[[#Totals],[Jaettava € 8]],"")</f>
        <v>9.2018468289837754E-3</v>
      </c>
      <c r="AF139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19541548</v>
      </c>
      <c r="AG139" s="102">
        <v>0</v>
      </c>
      <c r="AH139" s="102">
        <v>0</v>
      </c>
      <c r="AI139" s="102">
        <v>0</v>
      </c>
      <c r="AJ139" s="102">
        <v>0</v>
      </c>
      <c r="AK139" s="102">
        <v>25000</v>
      </c>
      <c r="AL139" s="107">
        <v>0</v>
      </c>
      <c r="AM139" s="107">
        <v>107098</v>
      </c>
      <c r="AN13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132098</v>
      </c>
      <c r="AO139" s="10">
        <f>Ohj.lask.[[#This Row],[Jaettava € 1]]+Ohj.lask.[[#This Row],[Harkinnanvarainen korotus 8, €]]</f>
        <v>13567891</v>
      </c>
      <c r="AP139" s="102">
        <f>Ohj.lask.[[#This Row],[Jaettava € 2]]</f>
        <v>4039136</v>
      </c>
      <c r="AQ139" s="10">
        <f>Ohj.lask.[[#This Row],[Jaettava € 3]]+Ohj.lask.[[#This Row],[Jaettava € 4]]+Ohj.lask.[[#This Row],[Jaettava € 5]]+Ohj.lask.[[#This Row],[Jaettava € 6]]+Ohj.lask.[[#This Row],[Jaettava € 7]]</f>
        <v>2066619</v>
      </c>
      <c r="AR139" s="33">
        <f>Ohj.lask.[[#This Row],[Jaettava € 8]]+Ohj.lask.[[#This Row],[Harkinnanvarainen korotus 8, €]]</f>
        <v>19673646</v>
      </c>
      <c r="AS139" s="33">
        <v>0</v>
      </c>
      <c r="AT139" s="16">
        <f>Ohj.lask.[[#This Row],[Perus-, suoritus- ja vaikuttavuusrahoitus yhteensä, €]]+Ohj.lask.[[#This Row],[Alv-korvaus, €]]</f>
        <v>19673646</v>
      </c>
    </row>
    <row r="140" spans="1:46" ht="12.75" x14ac:dyDescent="0.2">
      <c r="A140" s="3" t="s">
        <v>176</v>
      </c>
      <c r="B140" s="7" t="s">
        <v>125</v>
      </c>
      <c r="C140" s="7" t="s">
        <v>175</v>
      </c>
      <c r="D140" s="7" t="s">
        <v>324</v>
      </c>
      <c r="E140" s="7" t="s">
        <v>373</v>
      </c>
      <c r="F140" s="105">
        <v>1472</v>
      </c>
      <c r="G140" s="106">
        <f>Ohj.lask.[[#This Row],[Tavoitteelliset opiskelija-vuodet]]-Ohj.lask.[[#This Row],[Järjestämisluvan opisk.vuosien vähimmäismäärä]]</f>
        <v>179</v>
      </c>
      <c r="H140" s="32">
        <v>1651</v>
      </c>
      <c r="I140" s="8">
        <f>IFERROR(VLOOKUP($A140,'2.1 Toteut. op.vuodet'!$A:$T,COLUMN('2.1 Toteut. op.vuodet'!S:S),FALSE),0)</f>
        <v>1.1643194596501742</v>
      </c>
      <c r="J140" s="74">
        <f t="shared" si="4"/>
        <v>1922.3</v>
      </c>
      <c r="K140" s="9">
        <f>IFERROR(Ohj.lask.[[#This Row],[Painotetut opiskelija-vuodet]]/Ohj.lask.[[#Totals],[Painotetut opiskelija-vuodet]],0)</f>
        <v>8.8692420057784101E-3</v>
      </c>
      <c r="L140" s="10">
        <f>ROUND(IFERROR('1.1 Jakotaulu'!L$12*Ohj.lask.[[#This Row],[%-osuus 1]],0),0)</f>
        <v>13118460</v>
      </c>
      <c r="M140" s="132">
        <f>IFERROR(ROUND(VLOOKUP($A140,'2.2 Tutk. ja osien pain. pist.'!$A:$Q,COLUMN('2.2 Tutk. ja osien pain. pist.'!O:O),FALSE),1),0)</f>
        <v>137759.20000000001</v>
      </c>
      <c r="N140" s="9">
        <f>IFERROR(Ohj.lask.[[#This Row],[Painotetut pisteet 2]]/Ohj.lask.[[#Totals],[Painotetut pisteet 2]],0)</f>
        <v>8.9928278517433929E-3</v>
      </c>
      <c r="O140" s="16">
        <f>ROUND(IFERROR('1.1 Jakotaulu'!K$13*Ohj.lask.[[#This Row],[%-osuus 2]],0),0)</f>
        <v>3864272</v>
      </c>
      <c r="P140" s="133">
        <f>IFERROR(ROUND(VLOOKUP($A140,'2.3 Työll. ja jatko-opisk.'!$A:$Z,COLUMN('2.3 Työll. ja jatko-opisk.'!L:L),FALSE),1),0)</f>
        <v>2908.1</v>
      </c>
      <c r="Q140" s="9">
        <f>IFERROR(Ohj.lask.[[#This Row],[Painotetut pisteet 3]]/Ohj.lask.[[#Totals],[Painotetut pisteet 3]],0)</f>
        <v>9.3048480815010066E-3</v>
      </c>
      <c r="R140" s="10">
        <f>ROUND(IFERROR('1.1 Jakotaulu'!L$15*Ohj.lask.[[#This Row],[%-osuus 3]],0),0)</f>
        <v>1399422</v>
      </c>
      <c r="S140" s="132">
        <f>IFERROR(ROUND(VLOOKUP($A140,'2.4 Aloittaneet palaute'!$A:$I,COLUMN('2.4 Aloittaneet palaute'!H:H),FALSE),1),0)</f>
        <v>17088.099999999999</v>
      </c>
      <c r="T140" s="13">
        <f>IFERROR(Ohj.lask.[[#This Row],[Painotetut pisteet 4]]/Ohj.lask.[[#Totals],[Painotetut pisteet 4]],0)</f>
        <v>1.0251454935586527E-2</v>
      </c>
      <c r="U140" s="16">
        <f>ROUND(IFERROR('1.1 Jakotaulu'!M$17*Ohj.lask.[[#This Row],[%-osuus 4]],0),0)</f>
        <v>82596</v>
      </c>
      <c r="V140" s="132">
        <f>IFERROR(ROUND(VLOOKUP($A140,'2.5 Päättäneet palaute'!$A:$Z,COLUMN('2.5 Päättäneet palaute'!X:X),FALSE),1),0)</f>
        <v>99707.9</v>
      </c>
      <c r="W140" s="13">
        <f>IFERROR(Ohj.lask.[[#This Row],[Painotetut pisteet 5]]/Ohj.lask.[[#Totals],[Painotetut pisteet 5]],0)</f>
        <v>9.7490653494170954E-3</v>
      </c>
      <c r="X140" s="16">
        <f>ROUND(IFERROR('1.1 Jakotaulu'!M$18*Ohj.lask.[[#This Row],[%-osuus 5]],0),0)</f>
        <v>235644</v>
      </c>
      <c r="Y140" s="132">
        <f>IFERROR(ROUND(VLOOKUP($A140,'2.6 Työpaikkaohjaajakysely'!B:J,COLUMN('2.6 Työpaikkaohjaajakysely'!H:H),FALSE),1),0)</f>
        <v>4108866</v>
      </c>
      <c r="Z140" s="9">
        <f>IFERROR(Ohj.lask.[[#This Row],[Painotetut pisteet 6]]/Ohj.lask.[[#Totals],[Painotetut pisteet 6]],0)</f>
        <v>1.2106015212036242E-2</v>
      </c>
      <c r="AA140" s="16">
        <f>ROUND(IFERROR('1.1 Jakotaulu'!M$20*Ohj.lask.[[#This Row],[%-osuus 6]],0),0)</f>
        <v>292614</v>
      </c>
      <c r="AB140" s="132">
        <f>IFERROR(ROUND(VLOOKUP($A140,'2.7 Työpaikkakysely'!B:H,COLUMN('2.7 Työpaikkakysely'!F:F),FALSE),1),0)</f>
        <v>2319454.6</v>
      </c>
      <c r="AC140" s="9">
        <f>IFERROR(Ohj.lask.[[#This Row],[Pisteet 7]]/Ohj.lask.[[#Totals],[Pisteet 7]],0)</f>
        <v>1.2569725978880489E-2</v>
      </c>
      <c r="AD140" s="16">
        <f>ROUND(IFERROR('1.1 Jakotaulu'!M$21*Ohj.lask.[[#This Row],[%-osuus 7]],0),0)</f>
        <v>101274</v>
      </c>
      <c r="AE140" s="12">
        <f>IFERROR(Ohj.lask.[[#This Row],[Jaettava € 8]]/Ohj.lask.[[#Totals],[Jaettava € 8]],"")</f>
        <v>8.9912354063977941E-3</v>
      </c>
      <c r="AF140" s="16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19094282</v>
      </c>
      <c r="AG140" s="102">
        <v>0</v>
      </c>
      <c r="AH140" s="102">
        <v>0</v>
      </c>
      <c r="AI140" s="102">
        <v>0</v>
      </c>
      <c r="AJ140" s="102">
        <v>0</v>
      </c>
      <c r="AK140" s="102">
        <v>23000</v>
      </c>
      <c r="AL140" s="107">
        <v>0</v>
      </c>
      <c r="AM140" s="107">
        <v>70498</v>
      </c>
      <c r="AN14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€]]+Ohj.lask.[[#This Row],[Harkinnanvarainen korotus 6, €]]+Ohj.lask.[[#This Row],[Harkinnanvarainen korotus 7, €]]</f>
        <v>93498</v>
      </c>
      <c r="AO140" s="10">
        <f>Ohj.lask.[[#This Row],[Jaettava € 1]]+Ohj.lask.[[#This Row],[Harkinnanvarainen korotus 8, €]]</f>
        <v>13211958</v>
      </c>
      <c r="AP140" s="102">
        <f>Ohj.lask.[[#This Row],[Jaettava € 2]]</f>
        <v>3864272</v>
      </c>
      <c r="AQ140" s="10">
        <f>Ohj.lask.[[#This Row],[Jaettava € 3]]+Ohj.lask.[[#This Row],[Jaettava € 4]]+Ohj.lask.[[#This Row],[Jaettava € 5]]+Ohj.lask.[[#This Row],[Jaettava € 6]]+Ohj.lask.[[#This Row],[Jaettava € 7]]</f>
        <v>2111550</v>
      </c>
      <c r="AR140" s="33">
        <f>Ohj.lask.[[#This Row],[Jaettava € 8]]+Ohj.lask.[[#This Row],[Harkinnanvarainen korotus 8, €]]</f>
        <v>19187780</v>
      </c>
      <c r="AS140" s="33">
        <v>0</v>
      </c>
      <c r="AT140" s="16">
        <f>Ohj.lask.[[#This Row],[Perus-, suoritus- ja vaikuttavuusrahoitus yhteensä, €]]+Ohj.lask.[[#This Row],[Alv-korvaus, €]]</f>
        <v>19187780</v>
      </c>
    </row>
    <row r="141" spans="1:46" ht="12.75" x14ac:dyDescent="0.2">
      <c r="A141" s="131" t="s">
        <v>13</v>
      </c>
      <c r="B141" s="129">
        <f>COUNTIF(Ohj.lask.[Nimi],"?*")</f>
        <v>135</v>
      </c>
      <c r="C141" s="129"/>
      <c r="D141" s="129"/>
      <c r="E141" s="129"/>
      <c r="F141" s="229">
        <f>SUM(Ohj.lask.[Järjestämisluvan opisk.vuosien vähimmäismäärä])</f>
        <v>157935</v>
      </c>
      <c r="G141" s="230">
        <f>SUM(Ohj.lask.[Suoritepäätöksellä jaettavat opisk.vuodet (luvan ylittävä osuus)])</f>
        <v>20673</v>
      </c>
      <c r="H141" s="230">
        <f>SUM(Ohj.lask.[Tavoitteelliset opiskelija-vuodet])</f>
        <v>178608</v>
      </c>
      <c r="I141" s="131"/>
      <c r="J141" s="128">
        <f>SUM(Ohj.lask.[Painotetut opiskelija-vuodet])</f>
        <v>216737.80000000002</v>
      </c>
      <c r="K141" s="138">
        <f>SUM(Ohj.lask.[%-osuus 1])</f>
        <v>0.99999999999999989</v>
      </c>
      <c r="L141" s="98">
        <f>SUM(Ohj.lask.[Jaettava € 1])</f>
        <v>1479095996</v>
      </c>
      <c r="M141" s="231">
        <f>SUM(Ohj.lask.[Painotetut pisteet 2])</f>
        <v>15318785.399999997</v>
      </c>
      <c r="N141" s="138">
        <f>SUM(Ohj.lask.[%-osuus 2])</f>
        <v>0.99999999999999989</v>
      </c>
      <c r="O141" s="99">
        <f>SUM(Ohj.lask.[Jaettava € 2])</f>
        <v>429705998</v>
      </c>
      <c r="P141" s="128">
        <f>SUM(Ohj.lask.[Painotetut pisteet 3])</f>
        <v>312536.00000000012</v>
      </c>
      <c r="Q141" s="138">
        <f>SUM(Ohj.lask.[%-osuus 3])</f>
        <v>0.99999999999999933</v>
      </c>
      <c r="R141" s="98">
        <f>SUM(Ohj.lask.[Jaettava € 3])</f>
        <v>150397103</v>
      </c>
      <c r="S141" s="231">
        <f>SUM(Ohj.lask.[Painotetut pisteet 4])</f>
        <v>1666895.1</v>
      </c>
      <c r="T141" s="138">
        <f>SUM(Ohj.lask.[%-osuus 4])</f>
        <v>1</v>
      </c>
      <c r="U141" s="99">
        <f>SUM(Ohj.lask.[Jaettava € 4])</f>
        <v>8056994</v>
      </c>
      <c r="V141" s="231">
        <f>SUM(Ohj.lask.[Painotetut pisteet 5])</f>
        <v>10227431.700000001</v>
      </c>
      <c r="W141" s="138">
        <f>SUM(Ohj.lask.[%-osuus 5])</f>
        <v>1.0000000000000002</v>
      </c>
      <c r="X141" s="99">
        <f>SUM(Ohj.lask.[Jaettava € 5])</f>
        <v>24170962</v>
      </c>
      <c r="Y141" s="231">
        <f>SUM(Ohj.lask.[Painotetut pisteet 6])</f>
        <v>339406974.79999989</v>
      </c>
      <c r="Z141" s="138">
        <f>SUM(Ohj.lask.[%-osuus 6])</f>
        <v>1.0000000000000002</v>
      </c>
      <c r="AA141" s="99">
        <f>SUM(Ohj.lask.[Jaettava € 6])</f>
        <v>24170959</v>
      </c>
      <c r="AB141" s="231">
        <f>SUM(Ohj.lask.[Pisteet 7])</f>
        <v>184527061.59999999</v>
      </c>
      <c r="AC141" s="138">
        <f>SUM(Ohj.lask.[%-osuus 7])</f>
        <v>0.99999999999999967</v>
      </c>
      <c r="AD141" s="99">
        <f>SUM(Ohj.lask.[Jaettava € 7])</f>
        <v>8056985</v>
      </c>
      <c r="AE141" s="139">
        <f>SUM(Ohj.lask.[%-osuus 8])</f>
        <v>0.99999999999999922</v>
      </c>
      <c r="AF141" s="99">
        <f>SUM(Ohj.lask.[Jaettava € 8])</f>
        <v>2123654997</v>
      </c>
      <c r="AG141" s="141">
        <f>SUM(Ohj.lask.[Harkinnanvarainen korotus 1, €])</f>
        <v>8285000</v>
      </c>
      <c r="AH141" s="141">
        <f>SUM(Ohj.lask.[Harkinnanvarainen korotus 2, €])</f>
        <v>1125000</v>
      </c>
      <c r="AI141" s="141">
        <f>SUM(Ohj.lask.[Harkinnanvarainen korotus 3, €])</f>
        <v>0</v>
      </c>
      <c r="AJ141" s="141">
        <f>SUM(Ohj.lask.[Harkinnanvarainen korotus 4, €])</f>
        <v>0</v>
      </c>
      <c r="AK141" s="141">
        <f>SUM(Ohj.lask.[Harkinnanvarainen korotus 5, €])</f>
        <v>2500000</v>
      </c>
      <c r="AL141" s="99">
        <f>SUM(Ohj.lask.[Harkinnanvarainen korotus 6, €])</f>
        <v>500000</v>
      </c>
      <c r="AM141" s="99">
        <f>SUM(Ohj.lask.[Harkinnanvarainen korotus 7, €])</f>
        <v>5000000</v>
      </c>
      <c r="AN141" s="232">
        <f>SUM(Ohj.lask.[Harkinnanvarainen korotus 8, €])</f>
        <v>17410000</v>
      </c>
      <c r="AO141" s="141">
        <f>SUM(Ohj.lask.[Suoriteperusteinen (opiskelijavuosiin perustuva) sekä harkinnanvarainen korotus, €])</f>
        <v>1496505996</v>
      </c>
      <c r="AP141" s="141">
        <f>SUM(Ohj.lask.[Suoritusrahoitus, €])</f>
        <v>429705998</v>
      </c>
      <c r="AQ141" s="141">
        <f>SUM(Ohj.lask.[Työllistymiseen ja jatko-opintoihin siirtymiseen, opiskelijapalautteiseen sekä työelämäpalautteeseen perustuva, €])</f>
        <v>214853003</v>
      </c>
      <c r="AR141" s="141">
        <f>SUM(Ohj.lask.[Perus-, suoritus- ja vaikuttavuusrahoitus yhteensä, €])</f>
        <v>2141064997</v>
      </c>
      <c r="AS141" s="141">
        <f>SUM(Ohj.lask.[Alv-korvaus, €])</f>
        <v>45364500</v>
      </c>
      <c r="AT141" s="141">
        <f>SUM(Ohj.lask.[Koko rahoitus + 
alv-korvaus, €])</f>
        <v>2186429497</v>
      </c>
    </row>
    <row r="142" spans="1:46" customFormat="1" x14ac:dyDescent="0.25"/>
    <row r="143" spans="1:46" customFormat="1" x14ac:dyDescent="0.25"/>
    <row r="144" spans="1:46" customFormat="1" x14ac:dyDescent="0.25"/>
    <row r="145" spans="14:44" customFormat="1" x14ac:dyDescent="0.25"/>
    <row r="146" spans="14:44" x14ac:dyDescent="0.25">
      <c r="N146"/>
      <c r="O146"/>
      <c r="P146"/>
      <c r="Q146"/>
      <c r="R146"/>
      <c r="AH146" s="2"/>
      <c r="AQ146" s="4"/>
      <c r="AR146" s="100"/>
    </row>
    <row r="147" spans="14:44" x14ac:dyDescent="0.25">
      <c r="AH147" s="2"/>
      <c r="AQ147" s="4"/>
      <c r="AR147" s="100"/>
    </row>
    <row r="148" spans="14:44" x14ac:dyDescent="0.25">
      <c r="AH148" s="2"/>
      <c r="AQ148" s="4"/>
      <c r="AR148" s="100"/>
    </row>
    <row r="161" spans="34:34" x14ac:dyDescent="0.25">
      <c r="AH161" s="2"/>
    </row>
    <row r="304" spans="1:34" x14ac:dyDescent="0.25">
      <c r="A304" s="2" t="s">
        <v>12</v>
      </c>
      <c r="AH304" s="2"/>
    </row>
    <row r="305" spans="1:34" x14ac:dyDescent="0.25">
      <c r="A305" s="2" t="s">
        <v>12</v>
      </c>
      <c r="AH305" s="2"/>
    </row>
    <row r="306" spans="1:34" x14ac:dyDescent="0.25">
      <c r="A306" s="2" t="s">
        <v>12</v>
      </c>
      <c r="AH306" s="2"/>
    </row>
    <row r="307" spans="1:34" x14ac:dyDescent="0.25">
      <c r="A307" s="2" t="s">
        <v>12</v>
      </c>
      <c r="AH307" s="2"/>
    </row>
    <row r="308" spans="1:34" x14ac:dyDescent="0.25">
      <c r="A308" s="2" t="s">
        <v>12</v>
      </c>
      <c r="AH308" s="2"/>
    </row>
    <row r="309" spans="1:34" x14ac:dyDescent="0.25">
      <c r="A309" s="2" t="s">
        <v>12</v>
      </c>
      <c r="AH309" s="2"/>
    </row>
    <row r="310" spans="1:34" x14ac:dyDescent="0.25">
      <c r="A310" s="2" t="s">
        <v>12</v>
      </c>
      <c r="AH310" s="2"/>
    </row>
    <row r="311" spans="1:34" x14ac:dyDescent="0.25">
      <c r="A311" s="2" t="s">
        <v>12</v>
      </c>
      <c r="AH311" s="2"/>
    </row>
    <row r="312" spans="1:34" x14ac:dyDescent="0.25">
      <c r="A312" s="2" t="s">
        <v>12</v>
      </c>
      <c r="AH312" s="2"/>
    </row>
    <row r="313" spans="1:34" x14ac:dyDescent="0.25">
      <c r="A313" s="2" t="s">
        <v>12</v>
      </c>
      <c r="AH313" s="2"/>
    </row>
    <row r="314" spans="1:34" x14ac:dyDescent="0.25">
      <c r="A314" s="2" t="s">
        <v>12</v>
      </c>
      <c r="AH314" s="2"/>
    </row>
    <row r="315" spans="1:34" x14ac:dyDescent="0.25">
      <c r="AH315" s="2"/>
    </row>
  </sheetData>
  <mergeCells count="34">
    <mergeCell ref="A2:B2"/>
    <mergeCell ref="M3:O3"/>
    <mergeCell ref="AE2:AF2"/>
    <mergeCell ref="M2:O2"/>
    <mergeCell ref="M4:O4"/>
    <mergeCell ref="AE4:AF4"/>
    <mergeCell ref="V4:X4"/>
    <mergeCell ref="P4:R4"/>
    <mergeCell ref="S4:U4"/>
    <mergeCell ref="AE3:AF3"/>
    <mergeCell ref="AG2:AN2"/>
    <mergeCell ref="Y4:AA4"/>
    <mergeCell ref="F4:L4"/>
    <mergeCell ref="J2:L2"/>
    <mergeCell ref="F2:I2"/>
    <mergeCell ref="F3:L3"/>
    <mergeCell ref="AB4:AD4"/>
    <mergeCell ref="P2:AD2"/>
    <mergeCell ref="P3:AD3"/>
    <mergeCell ref="AG3:AG4"/>
    <mergeCell ref="AI3:AI4"/>
    <mergeCell ref="AJ3:AJ4"/>
    <mergeCell ref="AK3:AK4"/>
    <mergeCell ref="AH3:AH4"/>
    <mergeCell ref="AM3:AM4"/>
    <mergeCell ref="AN3:AN4"/>
    <mergeCell ref="AL3:AL4"/>
    <mergeCell ref="AT3:AT4"/>
    <mergeCell ref="AO2:AR2"/>
    <mergeCell ref="AS3:AS4"/>
    <mergeCell ref="AP3:AP4"/>
    <mergeCell ref="AQ3:AQ4"/>
    <mergeCell ref="AO3:AO4"/>
    <mergeCell ref="AR3:AR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>
    <tabColor theme="4" tint="0.59999389629810485"/>
  </sheetPr>
  <dimension ref="A1:AK21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B4"/>
    </sheetView>
  </sheetViews>
  <sheetFormatPr defaultRowHeight="15" x14ac:dyDescent="0.25"/>
  <cols>
    <col min="1" max="1" width="11.28515625" style="2" hidden="1" customWidth="1"/>
    <col min="2" max="2" width="42.140625" style="2" customWidth="1"/>
    <col min="3" max="3" width="18.5703125" style="2" customWidth="1"/>
    <col min="4" max="4" width="16.42578125" style="2" customWidth="1"/>
    <col min="5" max="8" width="13.140625" style="2" customWidth="1"/>
    <col min="9" max="13" width="13.140625" style="15" customWidth="1"/>
    <col min="14" max="15" width="25.5703125" style="15" customWidth="1"/>
    <col min="16" max="17" width="13.140625" customWidth="1"/>
    <col min="18" max="19" width="25.5703125" customWidth="1"/>
    <col min="20" max="21" width="13.140625" customWidth="1"/>
    <col min="22" max="23" width="25.5703125" customWidth="1"/>
    <col min="24" max="25" width="13.140625" customWidth="1"/>
    <col min="26" max="27" width="16.7109375" customWidth="1"/>
    <col min="28" max="29" width="13.140625" customWidth="1"/>
    <col min="30" max="31" width="16.7109375" customWidth="1"/>
    <col min="32" max="33" width="13.140625" customWidth="1"/>
    <col min="34" max="35" width="16.7109375" customWidth="1"/>
    <col min="36" max="37" width="13.140625" customWidth="1"/>
  </cols>
  <sheetData>
    <row r="1" spans="1:37" x14ac:dyDescent="0.25">
      <c r="A1" s="3"/>
      <c r="B1" s="2" t="s">
        <v>419</v>
      </c>
      <c r="C1" s="3"/>
      <c r="D1" s="3"/>
      <c r="E1" s="15"/>
      <c r="F1" s="15"/>
      <c r="G1" s="15"/>
      <c r="N1" s="32"/>
      <c r="O1" s="3"/>
      <c r="P1" s="3"/>
      <c r="Q1" s="3"/>
      <c r="R1" s="3"/>
      <c r="S1" s="32"/>
      <c r="T1" s="32"/>
      <c r="U1" s="3"/>
      <c r="V1" s="3"/>
      <c r="W1" s="3"/>
      <c r="X1" s="3"/>
      <c r="Y1" s="3"/>
      <c r="Z1" s="160"/>
      <c r="AA1" s="160"/>
      <c r="AD1" s="137"/>
      <c r="AE1" s="137"/>
      <c r="AF1" s="137"/>
      <c r="AG1" s="137"/>
    </row>
    <row r="2" spans="1:37" ht="25.5" customHeight="1" x14ac:dyDescent="0.25">
      <c r="A2" s="284" t="s">
        <v>323</v>
      </c>
      <c r="B2" s="284"/>
      <c r="C2" s="14"/>
      <c r="D2" s="37"/>
      <c r="E2" s="285" t="s">
        <v>563</v>
      </c>
      <c r="F2" s="286"/>
      <c r="G2" s="286"/>
      <c r="H2" s="286"/>
      <c r="I2" s="286"/>
      <c r="J2" s="286"/>
      <c r="K2" s="286"/>
      <c r="L2" s="161"/>
      <c r="M2" s="161"/>
      <c r="N2" s="282" t="s">
        <v>565</v>
      </c>
      <c r="O2" s="283"/>
      <c r="P2" s="283"/>
      <c r="Q2" s="283"/>
      <c r="R2" s="118"/>
      <c r="S2" s="118"/>
      <c r="T2" s="118"/>
      <c r="U2" s="119"/>
      <c r="V2" s="150"/>
      <c r="W2" s="150"/>
      <c r="X2" s="150"/>
      <c r="Y2" s="150"/>
      <c r="Z2" s="271" t="s">
        <v>566</v>
      </c>
      <c r="AA2" s="272"/>
      <c r="AB2" s="272"/>
      <c r="AC2" s="272"/>
      <c r="AD2" s="271"/>
      <c r="AE2" s="272"/>
      <c r="AF2" s="272"/>
      <c r="AG2" s="272"/>
      <c r="AH2" s="271"/>
      <c r="AI2" s="272"/>
      <c r="AJ2" s="272"/>
      <c r="AK2" s="272"/>
    </row>
    <row r="3" spans="1:37" ht="15" customHeight="1" x14ac:dyDescent="0.25">
      <c r="A3" s="284"/>
      <c r="B3" s="284"/>
      <c r="C3" s="22"/>
      <c r="D3" s="22"/>
      <c r="E3" s="25"/>
      <c r="F3" s="29"/>
      <c r="G3" s="29"/>
      <c r="H3" s="25"/>
      <c r="I3" s="26"/>
      <c r="J3" s="26"/>
      <c r="K3" s="26"/>
      <c r="L3" s="26"/>
      <c r="M3" s="26"/>
      <c r="N3" s="279" t="s">
        <v>545</v>
      </c>
      <c r="O3" s="280"/>
      <c r="P3" s="280"/>
      <c r="Q3" s="281"/>
      <c r="R3" s="279" t="s">
        <v>546</v>
      </c>
      <c r="S3" s="280"/>
      <c r="T3" s="280"/>
      <c r="U3" s="281"/>
      <c r="V3" s="279" t="s">
        <v>547</v>
      </c>
      <c r="W3" s="280"/>
      <c r="X3" s="280"/>
      <c r="Y3" s="281"/>
      <c r="Z3" s="273" t="s">
        <v>548</v>
      </c>
      <c r="AA3" s="274"/>
      <c r="AB3" s="274"/>
      <c r="AC3" s="275"/>
      <c r="AD3" s="273" t="s">
        <v>549</v>
      </c>
      <c r="AE3" s="274"/>
      <c r="AF3" s="274"/>
      <c r="AG3" s="275"/>
      <c r="AH3" s="273" t="s">
        <v>550</v>
      </c>
      <c r="AI3" s="274"/>
      <c r="AJ3" s="274"/>
      <c r="AK3" s="275"/>
    </row>
    <row r="4" spans="1:37" ht="12.75" customHeight="1" x14ac:dyDescent="0.25">
      <c r="A4" s="284"/>
      <c r="B4" s="284"/>
      <c r="C4" s="23"/>
      <c r="D4" s="23"/>
      <c r="E4" s="276" t="s">
        <v>421</v>
      </c>
      <c r="F4" s="278"/>
      <c r="G4" s="29"/>
      <c r="H4" s="276" t="s">
        <v>327</v>
      </c>
      <c r="I4" s="277"/>
      <c r="J4" s="277"/>
      <c r="K4" s="277"/>
      <c r="L4" s="277"/>
      <c r="M4" s="278"/>
      <c r="N4" s="279"/>
      <c r="O4" s="280"/>
      <c r="P4" s="280"/>
      <c r="Q4" s="281"/>
      <c r="R4" s="279"/>
      <c r="S4" s="280"/>
      <c r="T4" s="280"/>
      <c r="U4" s="281"/>
      <c r="V4" s="279"/>
      <c r="W4" s="280"/>
      <c r="X4" s="280"/>
      <c r="Y4" s="281"/>
      <c r="Z4" s="273"/>
      <c r="AA4" s="274"/>
      <c r="AB4" s="274"/>
      <c r="AC4" s="275"/>
      <c r="AD4" s="273"/>
      <c r="AE4" s="274"/>
      <c r="AF4" s="274"/>
      <c r="AG4" s="275"/>
      <c r="AH4" s="273"/>
      <c r="AI4" s="274"/>
      <c r="AJ4" s="274"/>
      <c r="AK4" s="275"/>
    </row>
    <row r="5" spans="1:37" ht="48.75" customHeight="1" x14ac:dyDescent="0.25">
      <c r="A5" s="22" t="s">
        <v>322</v>
      </c>
      <c r="B5" s="24" t="s">
        <v>321</v>
      </c>
      <c r="C5" s="24" t="s">
        <v>332</v>
      </c>
      <c r="D5" s="24" t="s">
        <v>331</v>
      </c>
      <c r="E5" s="27" t="s">
        <v>422</v>
      </c>
      <c r="F5" s="120" t="s">
        <v>423</v>
      </c>
      <c r="G5" s="120" t="s">
        <v>333</v>
      </c>
      <c r="H5" s="27" t="s">
        <v>334</v>
      </c>
      <c r="I5" s="38" t="s">
        <v>335</v>
      </c>
      <c r="J5" s="38" t="s">
        <v>336</v>
      </c>
      <c r="K5" s="38" t="s">
        <v>337</v>
      </c>
      <c r="L5" s="38" t="s">
        <v>527</v>
      </c>
      <c r="M5" s="38" t="s">
        <v>528</v>
      </c>
      <c r="N5" s="91" t="s">
        <v>521</v>
      </c>
      <c r="O5" s="91" t="s">
        <v>556</v>
      </c>
      <c r="P5" s="30" t="s">
        <v>366</v>
      </c>
      <c r="Q5" s="31" t="s">
        <v>367</v>
      </c>
      <c r="R5" s="114" t="s">
        <v>526</v>
      </c>
      <c r="S5" s="97" t="s">
        <v>555</v>
      </c>
      <c r="T5" s="30" t="s">
        <v>368</v>
      </c>
      <c r="U5" s="114" t="s">
        <v>369</v>
      </c>
      <c r="V5" s="97" t="s">
        <v>525</v>
      </c>
      <c r="W5" s="114" t="s">
        <v>554</v>
      </c>
      <c r="X5" s="30" t="s">
        <v>371</v>
      </c>
      <c r="Y5" s="31" t="s">
        <v>370</v>
      </c>
      <c r="Z5" s="142" t="s">
        <v>524</v>
      </c>
      <c r="AA5" s="142" t="s">
        <v>553</v>
      </c>
      <c r="AB5" s="143" t="s">
        <v>451</v>
      </c>
      <c r="AC5" s="144" t="s">
        <v>454</v>
      </c>
      <c r="AD5" s="142" t="s">
        <v>523</v>
      </c>
      <c r="AE5" s="142" t="s">
        <v>552</v>
      </c>
      <c r="AF5" s="143" t="s">
        <v>452</v>
      </c>
      <c r="AG5" s="144" t="s">
        <v>453</v>
      </c>
      <c r="AH5" s="142" t="s">
        <v>522</v>
      </c>
      <c r="AI5" s="142" t="s">
        <v>551</v>
      </c>
      <c r="AJ5" s="143" t="s">
        <v>455</v>
      </c>
      <c r="AK5" s="144" t="s">
        <v>456</v>
      </c>
    </row>
    <row r="6" spans="1:37" s="1" customFormat="1" ht="12.75" customHeight="1" x14ac:dyDescent="0.25">
      <c r="A6" s="3" t="s">
        <v>377</v>
      </c>
      <c r="B6" s="151" t="s">
        <v>378</v>
      </c>
      <c r="C6" s="151" t="s">
        <v>173</v>
      </c>
      <c r="D6" s="7" t="s">
        <v>325</v>
      </c>
      <c r="E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0.63975705609756206</v>
      </c>
      <c r="F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0.64348646031149004</v>
      </c>
      <c r="G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0.21813062000321737</v>
      </c>
      <c r="H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0.13838291968529262</v>
      </c>
      <c r="I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8.3703440268032947E-2</v>
      </c>
      <c r="J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7.9281041382449537E-3</v>
      </c>
      <c r="K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2.1557091425323496E-2</v>
      </c>
      <c r="L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2.0335812621633798E-2</v>
      </c>
      <c r="M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4.8584712320574371E-3</v>
      </c>
      <c r="N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37548097</v>
      </c>
      <c r="O6" s="177">
        <f>IFERROR(VLOOKUP(Vertailu[[#This Row],[Y-tunnus]],'1.2 Ohjaus-laskentataulu'!A:AT,COLUMN('1.2 Ohjaus-laskentataulu'!AF:AF),FALSE),0)</f>
        <v>39672864</v>
      </c>
      <c r="P6" s="177">
        <f>IFERROR(Vertailu[[#This Row],[Rahoitus pl. hark. kor. 2024 ilman alv, €]]-Vertailu[[#This Row],[Rahoitus pl. hark. kor. 2023 ilman alv, €]],0)</f>
        <v>2124767</v>
      </c>
      <c r="Q6" s="179">
        <f>IFERROR(Vertailu[[#This Row],[Muutos, € 1]]/Vertailu[[#This Row],[Rahoitus pl. hark. kor. 2023 ilman alv, €]],0)</f>
        <v>5.6587874480030241E-2</v>
      </c>
      <c r="R6" s="182">
        <f>IFERROR(VLOOKUP(Vertailu[[#This Row],[Y-tunnus]],'Suoritepäätös 2023 oikaistu'!$AB:$AL,COLUMN('Suoritepäätös 2023 oikaistu'!J:J),FALSE),0)</f>
        <v>37683097</v>
      </c>
      <c r="S6" s="183">
        <f>IFERROR(VLOOKUP(Vertailu[[#This Row],[Y-tunnus]],'1.2 Ohjaus-laskentataulu'!A:AT,COLUMN('1.2 Ohjaus-laskentataulu'!AR:AR),FALSE),0)</f>
        <v>39821374</v>
      </c>
      <c r="T6" s="177">
        <f>IFERROR(Vertailu[[#This Row],[Rahoitus ml. hark. kor. 
2024 ilman alv, €]]-Vertailu[[#This Row],[Rahoitus ml. hark. kor. 
2023 ilman alv, €]],0)</f>
        <v>2138277</v>
      </c>
      <c r="U6" s="181">
        <f>IFERROR(Vertailu[[#This Row],[Muutos, € 2]]/Vertailu[[#This Row],[Rahoitus ml. hark. kor. 
2023 ilman alv, €]],0)</f>
        <v>5.6743664142042252E-2</v>
      </c>
      <c r="V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40039459</v>
      </c>
      <c r="W6" s="182">
        <f>IFERROR(VLOOKUP(Vertailu[[#This Row],[Y-tunnus]],'1.2 Ohjaus-laskentataulu'!A:AT,COLUMN('1.2 Ohjaus-laskentataulu'!AT:AT),FALSE),0)</f>
        <v>42072330</v>
      </c>
      <c r="X6" s="184">
        <f>IFERROR(Vertailu[[#This Row],[Rahoitus ml. hark. kor. + alv 2024, €]]-Vertailu[[#This Row],[Rahoitus ml. hark. kor. + alv 2023, €]],0)</f>
        <v>2032871</v>
      </c>
      <c r="Y6" s="179">
        <f>IFERROR(Vertailu[[#This Row],[Muutos, € 3]]/Vertailu[[#This Row],[Rahoitus ml. hark. kor. + alv 2023, €]],0)</f>
        <v>5.0771689997110098E-2</v>
      </c>
      <c r="Z6" s="177">
        <f>IFERROR(VLOOKUP(Vertailu[[#This Row],[Y-tunnus]],'Suoritepäätös 2023 oikaistu'!$B:$N,COLUMN('Suoritepäätös 2023 oikaistu'!H:H),FALSE),0)</f>
        <v>24262601</v>
      </c>
      <c r="AA6" s="177">
        <f>IFERROR(VLOOKUP(Vertailu[[#This Row],[Y-tunnus]],'1.2 Ohjaus-laskentataulu'!A:AT,COLUMN('1.2 Ohjaus-laskentataulu'!AO:AO),FALSE),0)</f>
        <v>25624515</v>
      </c>
      <c r="AB6" s="177">
        <f>Vertailu[[#This Row],[Perusrahoitus 2024, €]]-Vertailu[[#This Row],[Perusrahoitus 2023, €]]</f>
        <v>1361914</v>
      </c>
      <c r="AC6" s="179">
        <f>IFERROR(Vertailu[[#This Row],[Perusrahoituksen muutos, €]]/Vertailu[[#This Row],[Perusrahoitus 2023, €]],0)</f>
        <v>5.6132234132688412E-2</v>
      </c>
      <c r="AD6" s="177">
        <f>IFERROR(VLOOKUP(Vertailu[[#This Row],[Y-tunnus]],'Suoritepäätös 2023 oikaistu'!$O:$Y,COLUMN('Suoritepäätös 2023 oikaistu'!D:D),FALSE),0)</f>
        <v>8056308</v>
      </c>
      <c r="AE6" s="177">
        <f>IFERROR(VLOOKUP(Vertailu[[#This Row],[Y-tunnus]],'1.2 Ohjaus-laskentataulu'!A:AT,COLUMN('1.2 Ohjaus-laskentataulu'!O:O),FALSE),0)</f>
        <v>8686261</v>
      </c>
      <c r="AF6" s="177">
        <f>Vertailu[[#This Row],[Suoritusrahoitus 2024, €]]-Vertailu[[#This Row],[Suoritusrahoitus 2023, €]]</f>
        <v>629953</v>
      </c>
      <c r="AG6" s="179">
        <f>IFERROR(Vertailu[[#This Row],[Suoritusrahoituksen muutos, €]]/Vertailu[[#This Row],[Suoritusrahoitus 2023, €]],0)</f>
        <v>7.8193758232679281E-2</v>
      </c>
      <c r="AH6" s="177">
        <f>IFERROR(VLOOKUP(Vertailu[[#This Row],[Y-tunnus]],'Suoritepäätös 2023 oikaistu'!$AB:$AL,COLUMN('Suoritepäätös 2023 oikaistu'!I:I),FALSE),0)</f>
        <v>5364188</v>
      </c>
      <c r="AI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5510598</v>
      </c>
      <c r="AJ6" s="177">
        <f>Vertailu[[#This Row],[Vaikuttavuusrahoitus 2024, €]]-Vertailu[[#This Row],[Vaikuttavuusrahoitus 2023, €]]</f>
        <v>146410</v>
      </c>
      <c r="AK6" s="179">
        <f>IFERROR(Vertailu[[#This Row],[Vaikuttavuusrahoituksen muutos, €]]/Vertailu[[#This Row],[Vaikuttavuusrahoitus 2023, €]],0)</f>
        <v>2.7293972545332116E-2</v>
      </c>
    </row>
    <row r="7" spans="1:37" s="1" customFormat="1" ht="12.75" customHeight="1" x14ac:dyDescent="0.25">
      <c r="A7" s="3" t="s">
        <v>320</v>
      </c>
      <c r="B7" s="151" t="s">
        <v>15</v>
      </c>
      <c r="C7" s="151" t="s">
        <v>182</v>
      </c>
      <c r="D7" s="7" t="s">
        <v>325</v>
      </c>
      <c r="E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0.62541918523788587</v>
      </c>
      <c r="F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0.62702846024793502</v>
      </c>
      <c r="G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0.25170339707528067</v>
      </c>
      <c r="H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0.12126814267678436</v>
      </c>
      <c r="I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8.038095139244042E-2</v>
      </c>
      <c r="J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5.4937563337780736E-3</v>
      </c>
      <c r="K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1.7783172956253764E-2</v>
      </c>
      <c r="L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1.2545834379134058E-2</v>
      </c>
      <c r="M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5.0644276151780437E-3</v>
      </c>
      <c r="N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3928092</v>
      </c>
      <c r="O7" s="177">
        <f>IFERROR(VLOOKUP(Vertailu[[#This Row],[Y-tunnus]],'1.2 Ohjaus-laskentataulu'!A:AT,COLUMN('1.2 Ohjaus-laskentataulu'!AF:AF),FALSE),0)</f>
        <v>4232354</v>
      </c>
      <c r="P7" s="177">
        <f>IFERROR(Vertailu[[#This Row],[Rahoitus pl. hark. kor. 2024 ilman alv, €]]-Vertailu[[#This Row],[Rahoitus pl. hark. kor. 2023 ilman alv, €]],0)</f>
        <v>304262</v>
      </c>
      <c r="Q7" s="179">
        <f>IFERROR(Vertailu[[#This Row],[Muutos, € 1]]/Vertailu[[#This Row],[Rahoitus pl. hark. kor. 2023 ilman alv, €]],0)</f>
        <v>7.745796177889927E-2</v>
      </c>
      <c r="R7" s="182">
        <f>IFERROR(VLOOKUP(Vertailu[[#This Row],[Y-tunnus]],'Suoritepäätös 2023 oikaistu'!$AB:$AL,COLUMN('Suoritepäätös 2023 oikaistu'!J:J),FALSE),0)</f>
        <v>3933092</v>
      </c>
      <c r="S7" s="183">
        <f>IFERROR(VLOOKUP(Vertailu[[#This Row],[Y-tunnus]],'1.2 Ohjaus-laskentataulu'!A:AT,COLUMN('1.2 Ohjaus-laskentataulu'!AR:AR),FALSE),0)</f>
        <v>4239176</v>
      </c>
      <c r="T7" s="177">
        <f>IFERROR(Vertailu[[#This Row],[Rahoitus ml. hark. kor. 
2024 ilman alv, €]]-Vertailu[[#This Row],[Rahoitus ml. hark. kor. 
2023 ilman alv, €]],0)</f>
        <v>306084</v>
      </c>
      <c r="U7" s="181">
        <f>IFERROR(Vertailu[[#This Row],[Muutos, € 2]]/Vertailu[[#This Row],[Rahoitus ml. hark. kor. 
2023 ilman alv, €]],0)</f>
        <v>7.7822740988514882E-2</v>
      </c>
      <c r="V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4094886</v>
      </c>
      <c r="W7" s="182">
        <f>IFERROR(VLOOKUP(Vertailu[[#This Row],[Y-tunnus]],'1.2 Ohjaus-laskentataulu'!A:AT,COLUMN('1.2 Ohjaus-laskentataulu'!AT:AT),FALSE),0)</f>
        <v>4404281</v>
      </c>
      <c r="X7" s="184">
        <f>IFERROR(Vertailu[[#This Row],[Rahoitus ml. hark. kor. + alv 2024, €]]-Vertailu[[#This Row],[Rahoitus ml. hark. kor. + alv 2023, €]],0)</f>
        <v>309395</v>
      </c>
      <c r="Y7" s="179">
        <f>IFERROR(Vertailu[[#This Row],[Muutos, € 3]]/Vertailu[[#This Row],[Rahoitus ml. hark. kor. + alv 2023, €]],0)</f>
        <v>7.5556437957002953E-2</v>
      </c>
      <c r="Z7" s="177">
        <f>IFERROR(VLOOKUP(Vertailu[[#This Row],[Y-tunnus]],'Suoritepäätös 2023 oikaistu'!$B:$N,COLUMN('Suoritepäätös 2023 oikaistu'!H:H),FALSE),0)</f>
        <v>2501384</v>
      </c>
      <c r="AA7" s="177">
        <f>IFERROR(VLOOKUP(Vertailu[[#This Row],[Y-tunnus]],'1.2 Ohjaus-laskentataulu'!A:AT,COLUMN('1.2 Ohjaus-laskentataulu'!AO:AO),FALSE),0)</f>
        <v>2658084</v>
      </c>
      <c r="AB7" s="177">
        <f>Vertailu[[#This Row],[Perusrahoitus 2024, €]]-Vertailu[[#This Row],[Perusrahoitus 2023, €]]</f>
        <v>156700</v>
      </c>
      <c r="AC7" s="179">
        <f>IFERROR(Vertailu[[#This Row],[Perusrahoituksen muutos, €]]/Vertailu[[#This Row],[Perusrahoitus 2023, €]],0)</f>
        <v>6.2645319551096507E-2</v>
      </c>
      <c r="AD7" s="177">
        <f>IFERROR(VLOOKUP(Vertailu[[#This Row],[Y-tunnus]],'Suoritepäätös 2023 oikaistu'!$O:$Y,COLUMN('Suoritepäätös 2023 oikaistu'!D:D),FALSE),0)</f>
        <v>989614</v>
      </c>
      <c r="AE7" s="177">
        <f>IFERROR(VLOOKUP(Vertailu[[#This Row],[Y-tunnus]],'1.2 Ohjaus-laskentataulu'!A:AT,COLUMN('1.2 Ohjaus-laskentataulu'!O:O),FALSE),0)</f>
        <v>1067015</v>
      </c>
      <c r="AF7" s="177">
        <f>Vertailu[[#This Row],[Suoritusrahoitus 2024, €]]-Vertailu[[#This Row],[Suoritusrahoitus 2023, €]]</f>
        <v>77401</v>
      </c>
      <c r="AG7" s="179">
        <f>IFERROR(Vertailu[[#This Row],[Suoritusrahoituksen muutos, €]]/Vertailu[[#This Row],[Suoritusrahoitus 2023, €]],0)</f>
        <v>7.8213323578688251E-2</v>
      </c>
      <c r="AH7" s="177">
        <f>IFERROR(VLOOKUP(Vertailu[[#This Row],[Y-tunnus]],'Suoritepäätös 2023 oikaistu'!$AB:$AL,COLUMN('Suoritepäätös 2023 oikaistu'!I:I),FALSE),0)</f>
        <v>442094</v>
      </c>
      <c r="AI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514077</v>
      </c>
      <c r="AJ7" s="177">
        <f>Vertailu[[#This Row],[Vaikuttavuusrahoitus 2024, €]]-Vertailu[[#This Row],[Vaikuttavuusrahoitus 2023, €]]</f>
        <v>71983</v>
      </c>
      <c r="AK7" s="179">
        <f>IFERROR(Vertailu[[#This Row],[Vaikuttavuusrahoituksen muutos, €]]/Vertailu[[#This Row],[Vaikuttavuusrahoitus 2023, €]],0)</f>
        <v>0.16282283858184007</v>
      </c>
    </row>
    <row r="8" spans="1:37" s="1" customFormat="1" ht="12.75" customHeight="1" x14ac:dyDescent="0.25">
      <c r="A8" s="3" t="s">
        <v>319</v>
      </c>
      <c r="B8" s="151" t="s">
        <v>16</v>
      </c>
      <c r="C8" s="151" t="s">
        <v>182</v>
      </c>
      <c r="D8" s="7" t="s">
        <v>325</v>
      </c>
      <c r="E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0.92330347714100369</v>
      </c>
      <c r="F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0.92330347714100369</v>
      </c>
      <c r="G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7.1851037673279092E-2</v>
      </c>
      <c r="H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4.8454851857172715E-3</v>
      </c>
      <c r="I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2.2702204920967083E-3</v>
      </c>
      <c r="J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3.1678488107865678E-4</v>
      </c>
      <c r="K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1.1811123632130781E-3</v>
      </c>
      <c r="L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7.3325880492263211E-4</v>
      </c>
      <c r="M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3.4410864440619592E-4</v>
      </c>
      <c r="N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4298073</v>
      </c>
      <c r="O8" s="177">
        <f>IFERROR(VLOOKUP(Vertailu[[#This Row],[Y-tunnus]],'1.2 Ohjaus-laskentataulu'!A:AT,COLUMN('1.2 Ohjaus-laskentataulu'!AF:AF),FALSE),0)</f>
        <v>4684567</v>
      </c>
      <c r="P8" s="177">
        <f>IFERROR(Vertailu[[#This Row],[Rahoitus pl. hark. kor. 2024 ilman alv, €]]-Vertailu[[#This Row],[Rahoitus pl. hark. kor. 2023 ilman alv, €]],0)</f>
        <v>386494</v>
      </c>
      <c r="Q8" s="179">
        <f>IFERROR(Vertailu[[#This Row],[Muutos, € 1]]/Vertailu[[#This Row],[Rahoitus pl. hark. kor. 2023 ilman alv, €]],0)</f>
        <v>8.9922623464050055E-2</v>
      </c>
      <c r="R8" s="182">
        <f>IFERROR(VLOOKUP(Vertailu[[#This Row],[Y-tunnus]],'Suoritepäätös 2023 oikaistu'!$AB:$AL,COLUMN('Suoritepäätös 2023 oikaistu'!J:J),FALSE),0)</f>
        <v>4298073</v>
      </c>
      <c r="S8" s="183">
        <f>IFERROR(VLOOKUP(Vertailu[[#This Row],[Y-tunnus]],'1.2 Ohjaus-laskentataulu'!A:AT,COLUMN('1.2 Ohjaus-laskentataulu'!AR:AR),FALSE),0)</f>
        <v>4684567</v>
      </c>
      <c r="T8" s="177">
        <f>IFERROR(Vertailu[[#This Row],[Rahoitus ml. hark. kor. 
2024 ilman alv, €]]-Vertailu[[#This Row],[Rahoitus ml. hark. kor. 
2023 ilman alv, €]],0)</f>
        <v>386494</v>
      </c>
      <c r="U8" s="181">
        <f>IFERROR(Vertailu[[#This Row],[Muutos, € 2]]/Vertailu[[#This Row],[Rahoitus ml. hark. kor. 
2023 ilman alv, €]],0)</f>
        <v>8.9922623464050055E-2</v>
      </c>
      <c r="V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4482703</v>
      </c>
      <c r="W8" s="182">
        <f>IFERROR(VLOOKUP(Vertailu[[#This Row],[Y-tunnus]],'1.2 Ohjaus-laskentataulu'!A:AT,COLUMN('1.2 Ohjaus-laskentataulu'!AT:AT),FALSE),0)</f>
        <v>4829112</v>
      </c>
      <c r="X8" s="184">
        <f>IFERROR(Vertailu[[#This Row],[Rahoitus ml. hark. kor. + alv 2024, €]]-Vertailu[[#This Row],[Rahoitus ml. hark. kor. + alv 2023, €]],0)</f>
        <v>346409</v>
      </c>
      <c r="Y8" s="179">
        <f>IFERROR(Vertailu[[#This Row],[Muutos, € 3]]/Vertailu[[#This Row],[Rahoitus ml. hark. kor. + alv 2023, €]],0)</f>
        <v>7.7276812673068018E-2</v>
      </c>
      <c r="Z8" s="177">
        <f>IFERROR(VLOOKUP(Vertailu[[#This Row],[Y-tunnus]],'Suoritepäätös 2023 oikaistu'!$B:$N,COLUMN('Suoritepäätös 2023 oikaistu'!H:H),FALSE),0)</f>
        <v>3929109</v>
      </c>
      <c r="AA8" s="177">
        <f>IFERROR(VLOOKUP(Vertailu[[#This Row],[Y-tunnus]],'1.2 Ohjaus-laskentataulu'!A:AT,COLUMN('1.2 Ohjaus-laskentataulu'!AO:AO),FALSE),0)</f>
        <v>4325277</v>
      </c>
      <c r="AB8" s="177">
        <f>Vertailu[[#This Row],[Perusrahoitus 2024, €]]-Vertailu[[#This Row],[Perusrahoitus 2023, €]]</f>
        <v>396168</v>
      </c>
      <c r="AC8" s="179">
        <f>IFERROR(Vertailu[[#This Row],[Perusrahoituksen muutos, €]]/Vertailu[[#This Row],[Perusrahoitus 2023, €]],0)</f>
        <v>0.10082896656722937</v>
      </c>
      <c r="AD8" s="177">
        <f>IFERROR(VLOOKUP(Vertailu[[#This Row],[Y-tunnus]],'Suoritepäätös 2023 oikaistu'!$O:$Y,COLUMN('Suoritepäätös 2023 oikaistu'!D:D),FALSE),0)</f>
        <v>345302</v>
      </c>
      <c r="AE8" s="177">
        <f>IFERROR(VLOOKUP(Vertailu[[#This Row],[Y-tunnus]],'1.2 Ohjaus-laskentataulu'!A:AT,COLUMN('1.2 Ohjaus-laskentataulu'!O:O),FALSE),0)</f>
        <v>336591</v>
      </c>
      <c r="AF8" s="177">
        <f>Vertailu[[#This Row],[Suoritusrahoitus 2024, €]]-Vertailu[[#This Row],[Suoritusrahoitus 2023, €]]</f>
        <v>-8711</v>
      </c>
      <c r="AG8" s="179">
        <f>IFERROR(Vertailu[[#This Row],[Suoritusrahoituksen muutos, €]]/Vertailu[[#This Row],[Suoritusrahoitus 2023, €]],0)</f>
        <v>-2.5227192428656654E-2</v>
      </c>
      <c r="AH8" s="177">
        <f>IFERROR(VLOOKUP(Vertailu[[#This Row],[Y-tunnus]],'Suoritepäätös 2023 oikaistu'!$AB:$AL,COLUMN('Suoritepäätös 2023 oikaistu'!I:I),FALSE),0)</f>
        <v>23662</v>
      </c>
      <c r="AI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22699</v>
      </c>
      <c r="AJ8" s="177">
        <f>Vertailu[[#This Row],[Vaikuttavuusrahoitus 2024, €]]-Vertailu[[#This Row],[Vaikuttavuusrahoitus 2023, €]]</f>
        <v>-963</v>
      </c>
      <c r="AK8" s="179">
        <f>IFERROR(Vertailu[[#This Row],[Vaikuttavuusrahoituksen muutos, €]]/Vertailu[[#This Row],[Vaikuttavuusrahoitus 2023, €]],0)</f>
        <v>-4.0698165835516865E-2</v>
      </c>
    </row>
    <row r="9" spans="1:37" s="1" customFormat="1" ht="12.75" customHeight="1" x14ac:dyDescent="0.25">
      <c r="A9" s="3" t="s">
        <v>488</v>
      </c>
      <c r="B9" s="151" t="s">
        <v>489</v>
      </c>
      <c r="C9" s="151" t="s">
        <v>173</v>
      </c>
      <c r="D9" s="7" t="s">
        <v>325</v>
      </c>
      <c r="E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0.84777634714049199</v>
      </c>
      <c r="F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0.8481426591869734</v>
      </c>
      <c r="G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0.13585463325785432</v>
      </c>
      <c r="H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1.6002707555172271E-2</v>
      </c>
      <c r="I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1.0410202994264818E-2</v>
      </c>
      <c r="J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5.8214946562345777E-4</v>
      </c>
      <c r="K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2.538306268063398E-3</v>
      </c>
      <c r="L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1.7949597395914329E-3</v>
      </c>
      <c r="M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6.7708908762916431E-4</v>
      </c>
      <c r="N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64913887</v>
      </c>
      <c r="O9" s="177">
        <f>IFERROR(VLOOKUP(Vertailu[[#This Row],[Y-tunnus]],'1.2 Ohjaus-laskentataulu'!A:AT,COLUMN('1.2 Ohjaus-laskentataulu'!AF:AF),FALSE),0)</f>
        <v>74862269</v>
      </c>
      <c r="P9" s="177">
        <f>IFERROR(Vertailu[[#This Row],[Rahoitus pl. hark. kor. 2024 ilman alv, €]]-Vertailu[[#This Row],[Rahoitus pl. hark. kor. 2023 ilman alv, €]],0)</f>
        <v>9948382</v>
      </c>
      <c r="Q9" s="179">
        <f>IFERROR(Vertailu[[#This Row],[Muutos, € 1]]/Vertailu[[#This Row],[Rahoitus pl. hark. kor. 2023 ilman alv, €]],0)</f>
        <v>0.15325506543769285</v>
      </c>
      <c r="R9" s="182">
        <f>IFERROR(VLOOKUP(Vertailu[[#This Row],[Y-tunnus]],'Suoritepäätös 2023 oikaistu'!$AB:$AL,COLUMN('Suoritepäätös 2023 oikaistu'!J:J),FALSE),0)</f>
        <v>64913887</v>
      </c>
      <c r="S9" s="183">
        <f>IFERROR(VLOOKUP(Vertailu[[#This Row],[Y-tunnus]],'1.2 Ohjaus-laskentataulu'!A:AT,COLUMN('1.2 Ohjaus-laskentataulu'!AR:AR),FALSE),0)</f>
        <v>74889702</v>
      </c>
      <c r="T9" s="177">
        <f>IFERROR(Vertailu[[#This Row],[Rahoitus ml. hark. kor. 
2024 ilman alv, €]]-Vertailu[[#This Row],[Rahoitus ml. hark. kor. 
2023 ilman alv, €]],0)</f>
        <v>9975815</v>
      </c>
      <c r="U9" s="181">
        <f>IFERROR(Vertailu[[#This Row],[Muutos, € 2]]/Vertailu[[#This Row],[Rahoitus ml. hark. kor. 
2023 ilman alv, €]],0)</f>
        <v>0.15367767146650763</v>
      </c>
      <c r="V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67555901</v>
      </c>
      <c r="W9" s="182">
        <f>IFERROR(VLOOKUP(Vertailu[[#This Row],[Y-tunnus]],'1.2 Ohjaus-laskentataulu'!A:AT,COLUMN('1.2 Ohjaus-laskentataulu'!AT:AT),FALSE),0)</f>
        <v>77907901</v>
      </c>
      <c r="X9" s="184">
        <f>IFERROR(Vertailu[[#This Row],[Rahoitus ml. hark. kor. + alv 2024, €]]-Vertailu[[#This Row],[Rahoitus ml. hark. kor. + alv 2023, €]],0)</f>
        <v>10352000</v>
      </c>
      <c r="Y9" s="179">
        <f>IFERROR(Vertailu[[#This Row],[Muutos, € 3]]/Vertailu[[#This Row],[Rahoitus ml. hark. kor. + alv 2023, €]],0)</f>
        <v>0.1532360585346941</v>
      </c>
      <c r="Z9" s="177">
        <f>IFERROR(VLOOKUP(Vertailu[[#This Row],[Y-tunnus]],'Suoritepäätös 2023 oikaistu'!$B:$N,COLUMN('Suoritepäätös 2023 oikaistu'!H:H),FALSE),0)</f>
        <v>53982201</v>
      </c>
      <c r="AA9" s="177">
        <f>IFERROR(VLOOKUP(Vertailu[[#This Row],[Y-tunnus]],'1.2 Ohjaus-laskentataulu'!A:AT,COLUMN('1.2 Ohjaus-laskentataulu'!AO:AO),FALSE),0)</f>
        <v>63517151</v>
      </c>
      <c r="AB9" s="177">
        <f>Vertailu[[#This Row],[Perusrahoitus 2024, €]]-Vertailu[[#This Row],[Perusrahoitus 2023, €]]</f>
        <v>9534950</v>
      </c>
      <c r="AC9" s="179">
        <f>IFERROR(Vertailu[[#This Row],[Perusrahoituksen muutos, €]]/Vertailu[[#This Row],[Perusrahoitus 2023, €]],0)</f>
        <v>0.17663136780954894</v>
      </c>
      <c r="AD9" s="177">
        <f>IFERROR(VLOOKUP(Vertailu[[#This Row],[Y-tunnus]],'Suoritepäätös 2023 oikaistu'!$O:$Y,COLUMN('Suoritepäätös 2023 oikaistu'!D:D),FALSE),0)</f>
        <v>9856648</v>
      </c>
      <c r="AE9" s="177">
        <f>IFERROR(VLOOKUP(Vertailu[[#This Row],[Y-tunnus]],'1.2 Ohjaus-laskentataulu'!A:AT,COLUMN('1.2 Ohjaus-laskentataulu'!O:O),FALSE),0)</f>
        <v>10174113</v>
      </c>
      <c r="AF9" s="177">
        <f>Vertailu[[#This Row],[Suoritusrahoitus 2024, €]]-Vertailu[[#This Row],[Suoritusrahoitus 2023, €]]</f>
        <v>317465</v>
      </c>
      <c r="AG9" s="179">
        <f>IFERROR(Vertailu[[#This Row],[Suoritusrahoituksen muutos, €]]/Vertailu[[#This Row],[Suoritusrahoitus 2023, €]],0)</f>
        <v>3.2208211148455339E-2</v>
      </c>
      <c r="AH9" s="177">
        <f>IFERROR(VLOOKUP(Vertailu[[#This Row],[Y-tunnus]],'Suoritepäätös 2023 oikaistu'!$AB:$AL,COLUMN('Suoritepäätös 2023 oikaistu'!I:I),FALSE),0)</f>
        <v>1075038</v>
      </c>
      <c r="AI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1198438</v>
      </c>
      <c r="AJ9" s="177">
        <f>Vertailu[[#This Row],[Vaikuttavuusrahoitus 2024, €]]-Vertailu[[#This Row],[Vaikuttavuusrahoitus 2023, €]]</f>
        <v>123400</v>
      </c>
      <c r="AK9" s="179">
        <f>IFERROR(Vertailu[[#This Row],[Vaikuttavuusrahoituksen muutos, €]]/Vertailu[[#This Row],[Vaikuttavuusrahoitus 2023, €]],0)</f>
        <v>0.1147866401001639</v>
      </c>
    </row>
    <row r="10" spans="1:37" s="1" customFormat="1" ht="12.75" customHeight="1" x14ac:dyDescent="0.25">
      <c r="A10" s="3" t="s">
        <v>318</v>
      </c>
      <c r="B10" s="151" t="s">
        <v>17</v>
      </c>
      <c r="C10" s="151" t="s">
        <v>173</v>
      </c>
      <c r="D10" s="7" t="s">
        <v>325</v>
      </c>
      <c r="E1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0.84221740591629368</v>
      </c>
      <c r="F1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0.84231363623223821</v>
      </c>
      <c r="G1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0.14588560163135791</v>
      </c>
      <c r="H1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1.1800762136403855E-2</v>
      </c>
      <c r="I1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8.1204914412949455E-3</v>
      </c>
      <c r="J1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5.2072148563903032E-4</v>
      </c>
      <c r="K1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1.6407076407910148E-3</v>
      </c>
      <c r="L1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1.2008966047981435E-3</v>
      </c>
      <c r="M1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3.1794496388072075E-4</v>
      </c>
      <c r="N1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48095410</v>
      </c>
      <c r="O10" s="177">
        <f>IFERROR(VLOOKUP(Vertailu[[#This Row],[Y-tunnus]],'1.2 Ohjaus-laskentataulu'!A:AT,COLUMN('1.2 Ohjaus-laskentataulu'!AF:AF),FALSE),0)</f>
        <v>51953678</v>
      </c>
      <c r="P10" s="177">
        <f>IFERROR(Vertailu[[#This Row],[Rahoitus pl. hark. kor. 2024 ilman alv, €]]-Vertailu[[#This Row],[Rahoitus pl. hark. kor. 2023 ilman alv, €]],0)</f>
        <v>3858268</v>
      </c>
      <c r="Q10" s="179">
        <f>IFERROR(Vertailu[[#This Row],[Muutos, € 1]]/Vertailu[[#This Row],[Rahoitus pl. hark. kor. 2023 ilman alv, €]],0)</f>
        <v>8.0221127130426798E-2</v>
      </c>
      <c r="R10" s="182">
        <f>IFERROR(VLOOKUP(Vertailu[[#This Row],[Y-tunnus]],'Suoritepäätös 2023 oikaistu'!$AB:$AL,COLUMN('Suoritepäätös 2023 oikaistu'!J:J),FALSE),0)</f>
        <v>48105410</v>
      </c>
      <c r="S10" s="183">
        <f>IFERROR(VLOOKUP(Vertailu[[#This Row],[Y-tunnus]],'1.2 Ohjaus-laskentataulu'!A:AT,COLUMN('1.2 Ohjaus-laskentataulu'!AR:AR),FALSE),0)</f>
        <v>51958678</v>
      </c>
      <c r="T10" s="177">
        <f>IFERROR(Vertailu[[#This Row],[Rahoitus ml. hark. kor. 
2024 ilman alv, €]]-Vertailu[[#This Row],[Rahoitus ml. hark. kor. 
2023 ilman alv, €]],0)</f>
        <v>3853268</v>
      </c>
      <c r="U10" s="181">
        <f>IFERROR(Vertailu[[#This Row],[Muutos, € 2]]/Vertailu[[#This Row],[Rahoitus ml. hark. kor. 
2023 ilman alv, €]],0)</f>
        <v>8.0100512603468094E-2</v>
      </c>
      <c r="V1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50620990</v>
      </c>
      <c r="W10" s="182">
        <f>IFERROR(VLOOKUP(Vertailu[[#This Row],[Y-tunnus]],'1.2 Ohjaus-laskentataulu'!A:AT,COLUMN('1.2 Ohjaus-laskentataulu'!AT:AT),FALSE),0)</f>
        <v>54785796</v>
      </c>
      <c r="X10" s="184">
        <f>IFERROR(Vertailu[[#This Row],[Rahoitus ml. hark. kor. + alv 2024, €]]-Vertailu[[#This Row],[Rahoitus ml. hark. kor. + alv 2023, €]],0)</f>
        <v>4164806</v>
      </c>
      <c r="Y10" s="179">
        <f>IFERROR(Vertailu[[#This Row],[Muutos, € 3]]/Vertailu[[#This Row],[Rahoitus ml. hark. kor. + alv 2023, €]],0)</f>
        <v>8.2274289775842002E-2</v>
      </c>
      <c r="Z10" s="177">
        <f>IFERROR(VLOOKUP(Vertailu[[#This Row],[Y-tunnus]],'Suoritepäätös 2023 oikaistu'!$B:$N,COLUMN('Suoritepäätös 2023 oikaistu'!H:H),FALSE),0)</f>
        <v>39949552</v>
      </c>
      <c r="AA10" s="177">
        <f>IFERROR(VLOOKUP(Vertailu[[#This Row],[Y-tunnus]],'1.2 Ohjaus-laskentataulu'!A:AT,COLUMN('1.2 Ohjaus-laskentataulu'!AO:AO),FALSE),0)</f>
        <v>43765503</v>
      </c>
      <c r="AB10" s="177">
        <f>Vertailu[[#This Row],[Perusrahoitus 2024, €]]-Vertailu[[#This Row],[Perusrahoitus 2023, €]]</f>
        <v>3815951</v>
      </c>
      <c r="AC10" s="179">
        <f>IFERROR(Vertailu[[#This Row],[Perusrahoituksen muutos, €]]/Vertailu[[#This Row],[Perusrahoitus 2023, €]],0)</f>
        <v>9.5519243870369308E-2</v>
      </c>
      <c r="AD10" s="177">
        <f>IFERROR(VLOOKUP(Vertailu[[#This Row],[Y-tunnus]],'Suoritepäätös 2023 oikaistu'!$O:$Y,COLUMN('Suoritepäätös 2023 oikaistu'!D:D),FALSE),0)</f>
        <v>7608629</v>
      </c>
      <c r="AE10" s="177">
        <f>IFERROR(VLOOKUP(Vertailu[[#This Row],[Y-tunnus]],'1.2 Ohjaus-laskentataulu'!A:AT,COLUMN('1.2 Ohjaus-laskentataulu'!O:O),FALSE),0)</f>
        <v>7580023</v>
      </c>
      <c r="AF10" s="177">
        <f>Vertailu[[#This Row],[Suoritusrahoitus 2024, €]]-Vertailu[[#This Row],[Suoritusrahoitus 2023, €]]</f>
        <v>-28606</v>
      </c>
      <c r="AG10" s="179">
        <f>IFERROR(Vertailu[[#This Row],[Suoritusrahoituksen muutos, €]]/Vertailu[[#This Row],[Suoritusrahoitus 2023, €]],0)</f>
        <v>-3.7596786490706803E-3</v>
      </c>
      <c r="AH10" s="177">
        <f>IFERROR(VLOOKUP(Vertailu[[#This Row],[Y-tunnus]],'Suoritepäätös 2023 oikaistu'!$AB:$AL,COLUMN('Suoritepäätös 2023 oikaistu'!I:I),FALSE),0)</f>
        <v>547229</v>
      </c>
      <c r="AI1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613152</v>
      </c>
      <c r="AJ10" s="177">
        <f>Vertailu[[#This Row],[Vaikuttavuusrahoitus 2024, €]]-Vertailu[[#This Row],[Vaikuttavuusrahoitus 2023, €]]</f>
        <v>65923</v>
      </c>
      <c r="AK10" s="179">
        <f>IFERROR(Vertailu[[#This Row],[Vaikuttavuusrahoituksen muutos, €]]/Vertailu[[#This Row],[Vaikuttavuusrahoitus 2023, €]],0)</f>
        <v>0.12046693431817393</v>
      </c>
    </row>
    <row r="11" spans="1:37" s="1" customFormat="1" ht="12.75" customHeight="1" x14ac:dyDescent="0.25">
      <c r="A11" s="3" t="s">
        <v>316</v>
      </c>
      <c r="B11" s="151" t="s">
        <v>147</v>
      </c>
      <c r="C11" s="151" t="s">
        <v>173</v>
      </c>
      <c r="D11" s="7" t="s">
        <v>325</v>
      </c>
      <c r="E1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0.51223092854058094</v>
      </c>
      <c r="F1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0.52188928488149888</v>
      </c>
      <c r="G1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0.25866871975727168</v>
      </c>
      <c r="H1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0.21944199536122944</v>
      </c>
      <c r="I1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7.9012253694666246E-2</v>
      </c>
      <c r="J1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1.3394760479661571E-2</v>
      </c>
      <c r="K1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4.8936132049047891E-2</v>
      </c>
      <c r="L1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6.5959674982511471E-2</v>
      </c>
      <c r="M1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1.2139174155342243E-2</v>
      </c>
      <c r="N1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785904</v>
      </c>
      <c r="O11" s="177">
        <f>IFERROR(VLOOKUP(Vertailu[[#This Row],[Y-tunnus]],'1.2 Ohjaus-laskentataulu'!A:AT,COLUMN('1.2 Ohjaus-laskentataulu'!AF:AF),FALSE),0)</f>
        <v>717761</v>
      </c>
      <c r="P11" s="177">
        <f>IFERROR(Vertailu[[#This Row],[Rahoitus pl. hark. kor. 2024 ilman alv, €]]-Vertailu[[#This Row],[Rahoitus pl. hark. kor. 2023 ilman alv, €]],0)</f>
        <v>-68143</v>
      </c>
      <c r="Q11" s="179">
        <f>IFERROR(Vertailu[[#This Row],[Muutos, € 1]]/Vertailu[[#This Row],[Rahoitus pl. hark. kor. 2023 ilman alv, €]],0)</f>
        <v>-8.6706518862354684E-2</v>
      </c>
      <c r="R11" s="182">
        <f>IFERROR(VLOOKUP(Vertailu[[#This Row],[Y-tunnus]],'Suoritepäätös 2023 oikaistu'!$AB:$AL,COLUMN('Suoritepäätös 2023 oikaistu'!J:J),FALSE),0)</f>
        <v>793904</v>
      </c>
      <c r="S11" s="183">
        <f>IFERROR(VLOOKUP(Vertailu[[#This Row],[Y-tunnus]],'1.2 Ohjaus-laskentataulu'!A:AT,COLUMN('1.2 Ohjaus-laskentataulu'!AR:AR),FALSE),0)</f>
        <v>724761</v>
      </c>
      <c r="T11" s="177">
        <f>IFERROR(Vertailu[[#This Row],[Rahoitus ml. hark. kor. 
2024 ilman alv, €]]-Vertailu[[#This Row],[Rahoitus ml. hark. kor. 
2023 ilman alv, €]],0)</f>
        <v>-69143</v>
      </c>
      <c r="U11" s="181">
        <f>IFERROR(Vertailu[[#This Row],[Muutos, € 2]]/Vertailu[[#This Row],[Rahoitus ml. hark. kor. 
2023 ilman alv, €]],0)</f>
        <v>-8.7092394042604646E-2</v>
      </c>
      <c r="V1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845494</v>
      </c>
      <c r="W11" s="182">
        <f>IFERROR(VLOOKUP(Vertailu[[#This Row],[Y-tunnus]],'1.2 Ohjaus-laskentataulu'!A:AT,COLUMN('1.2 Ohjaus-laskentataulu'!AT:AT),FALSE),0)</f>
        <v>751843</v>
      </c>
      <c r="X11" s="184">
        <f>IFERROR(Vertailu[[#This Row],[Rahoitus ml. hark. kor. + alv 2024, €]]-Vertailu[[#This Row],[Rahoitus ml. hark. kor. + alv 2023, €]],0)</f>
        <v>-93651</v>
      </c>
      <c r="Y11" s="179">
        <f>IFERROR(Vertailu[[#This Row],[Muutos, € 3]]/Vertailu[[#This Row],[Rahoitus ml. hark. kor. + alv 2023, €]],0)</f>
        <v>-0.11076483097455452</v>
      </c>
      <c r="Z11" s="177">
        <f>IFERROR(VLOOKUP(Vertailu[[#This Row],[Y-tunnus]],'Suoritepäätös 2023 oikaistu'!$B:$N,COLUMN('Suoritepäätös 2023 oikaistu'!H:H),FALSE),0)</f>
        <v>361470</v>
      </c>
      <c r="AA11" s="177">
        <f>IFERROR(VLOOKUP(Vertailu[[#This Row],[Y-tunnus]],'1.2 Ohjaus-laskentataulu'!A:AT,COLUMN('1.2 Ohjaus-laskentataulu'!AO:AO),FALSE),0)</f>
        <v>378245</v>
      </c>
      <c r="AB11" s="177">
        <f>Vertailu[[#This Row],[Perusrahoitus 2024, €]]-Vertailu[[#This Row],[Perusrahoitus 2023, €]]</f>
        <v>16775</v>
      </c>
      <c r="AC11" s="179">
        <f>IFERROR(Vertailu[[#This Row],[Perusrahoituksen muutos, €]]/Vertailu[[#This Row],[Perusrahoitus 2023, €]],0)</f>
        <v>4.640772401582427E-2</v>
      </c>
      <c r="AD11" s="177">
        <f>IFERROR(VLOOKUP(Vertailu[[#This Row],[Y-tunnus]],'Suoritepäätös 2023 oikaistu'!$O:$Y,COLUMN('Suoritepäätös 2023 oikaistu'!D:D),FALSE),0)</f>
        <v>155094</v>
      </c>
      <c r="AE11" s="177">
        <f>IFERROR(VLOOKUP(Vertailu[[#This Row],[Y-tunnus]],'1.2 Ohjaus-laskentataulu'!A:AT,COLUMN('1.2 Ohjaus-laskentataulu'!O:O),FALSE),0)</f>
        <v>187473</v>
      </c>
      <c r="AF11" s="177">
        <f>Vertailu[[#This Row],[Suoritusrahoitus 2024, €]]-Vertailu[[#This Row],[Suoritusrahoitus 2023, €]]</f>
        <v>32379</v>
      </c>
      <c r="AG11" s="179">
        <f>IFERROR(Vertailu[[#This Row],[Suoritusrahoituksen muutos, €]]/Vertailu[[#This Row],[Suoritusrahoitus 2023, €]],0)</f>
        <v>0.20877016519014274</v>
      </c>
      <c r="AH11" s="177">
        <f>IFERROR(VLOOKUP(Vertailu[[#This Row],[Y-tunnus]],'Suoritepäätös 2023 oikaistu'!$AB:$AL,COLUMN('Suoritepäätös 2023 oikaistu'!I:I),FALSE),0)</f>
        <v>277340</v>
      </c>
      <c r="AI1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159043</v>
      </c>
      <c r="AJ11" s="177">
        <f>Vertailu[[#This Row],[Vaikuttavuusrahoitus 2024, €]]-Vertailu[[#This Row],[Vaikuttavuusrahoitus 2023, €]]</f>
        <v>-118297</v>
      </c>
      <c r="AK11" s="179">
        <f>IFERROR(Vertailu[[#This Row],[Vaikuttavuusrahoituksen muutos, €]]/Vertailu[[#This Row],[Vaikuttavuusrahoitus 2023, €]],0)</f>
        <v>-0.42654142929256506</v>
      </c>
    </row>
    <row r="12" spans="1:37" s="1" customFormat="1" ht="12.75" customHeight="1" x14ac:dyDescent="0.25">
      <c r="A12" s="3" t="s">
        <v>315</v>
      </c>
      <c r="B12" s="151" t="s">
        <v>19</v>
      </c>
      <c r="C12" s="151" t="s">
        <v>173</v>
      </c>
      <c r="D12" s="7" t="s">
        <v>325</v>
      </c>
      <c r="E1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0.68753230966627477</v>
      </c>
      <c r="F1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0.69111815840579116</v>
      </c>
      <c r="G1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0.20562014818003116</v>
      </c>
      <c r="H1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0.10326169341417765</v>
      </c>
      <c r="I1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7.8983593900712384E-2</v>
      </c>
      <c r="J1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3.3268599781148358E-3</v>
      </c>
      <c r="K1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1.2030242768209354E-2</v>
      </c>
      <c r="L1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6.9302508079078723E-3</v>
      </c>
      <c r="M1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1.9907459592332049E-3</v>
      </c>
      <c r="N1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18532995</v>
      </c>
      <c r="O12" s="177">
        <f>IFERROR(VLOOKUP(Vertailu[[#This Row],[Y-tunnus]],'1.2 Ohjaus-laskentataulu'!A:AT,COLUMN('1.2 Ohjaus-laskentataulu'!AF:AF),FALSE),0)</f>
        <v>19482858</v>
      </c>
      <c r="P12" s="177">
        <f>IFERROR(Vertailu[[#This Row],[Rahoitus pl. hark. kor. 2024 ilman alv, €]]-Vertailu[[#This Row],[Rahoitus pl. hark. kor. 2023 ilman alv, €]],0)</f>
        <v>949863</v>
      </c>
      <c r="Q12" s="179">
        <f>IFERROR(Vertailu[[#This Row],[Muutos, € 1]]/Vertailu[[#This Row],[Rahoitus pl. hark. kor. 2023 ilman alv, €]],0)</f>
        <v>5.12525363547554E-2</v>
      </c>
      <c r="R12" s="182">
        <f>IFERROR(VLOOKUP(Vertailu[[#This Row],[Y-tunnus]],'Suoritepäätös 2023 oikaistu'!$AB:$AL,COLUMN('Suoritepäätös 2023 oikaistu'!J:J),FALSE),0)</f>
        <v>18562995</v>
      </c>
      <c r="S12" s="183">
        <f>IFERROR(VLOOKUP(Vertailu[[#This Row],[Y-tunnus]],'1.2 Ohjaus-laskentataulu'!A:AT,COLUMN('1.2 Ohjaus-laskentataulu'!AR:AR),FALSE),0)</f>
        <v>19552972</v>
      </c>
      <c r="T12" s="177">
        <f>IFERROR(Vertailu[[#This Row],[Rahoitus ml. hark. kor. 
2024 ilman alv, €]]-Vertailu[[#This Row],[Rahoitus ml. hark. kor. 
2023 ilman alv, €]],0)</f>
        <v>989977</v>
      </c>
      <c r="U12" s="181">
        <f>IFERROR(Vertailu[[#This Row],[Muutos, € 2]]/Vertailu[[#This Row],[Rahoitus ml. hark. kor. 
2023 ilman alv, €]],0)</f>
        <v>5.3330672124837615E-2</v>
      </c>
      <c r="V1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19840673</v>
      </c>
      <c r="W12" s="182">
        <f>IFERROR(VLOOKUP(Vertailu[[#This Row],[Y-tunnus]],'1.2 Ohjaus-laskentataulu'!A:AT,COLUMN('1.2 Ohjaus-laskentataulu'!AT:AT),FALSE),0)</f>
        <v>20909766</v>
      </c>
      <c r="X12" s="184">
        <f>IFERROR(Vertailu[[#This Row],[Rahoitus ml. hark. kor. + alv 2024, €]]-Vertailu[[#This Row],[Rahoitus ml. hark. kor. + alv 2023, €]],0)</f>
        <v>1069093</v>
      </c>
      <c r="Y12" s="179">
        <f>IFERROR(Vertailu[[#This Row],[Muutos, € 3]]/Vertailu[[#This Row],[Rahoitus ml. hark. kor. + alv 2023, €]],0)</f>
        <v>5.3883908071061901E-2</v>
      </c>
      <c r="Z12" s="177">
        <f>IFERROR(VLOOKUP(Vertailu[[#This Row],[Y-tunnus]],'Suoritepäätös 2023 oikaistu'!$B:$N,COLUMN('Suoritepäätös 2023 oikaistu'!H:H),FALSE),0)</f>
        <v>12923221</v>
      </c>
      <c r="AA12" s="177">
        <f>IFERROR(VLOOKUP(Vertailu[[#This Row],[Y-tunnus]],'1.2 Ohjaus-laskentataulu'!A:AT,COLUMN('1.2 Ohjaus-laskentataulu'!AO:AO),FALSE),0)</f>
        <v>13513414</v>
      </c>
      <c r="AB12" s="177">
        <f>Vertailu[[#This Row],[Perusrahoitus 2024, €]]-Vertailu[[#This Row],[Perusrahoitus 2023, €]]</f>
        <v>590193</v>
      </c>
      <c r="AC12" s="179">
        <f>IFERROR(Vertailu[[#This Row],[Perusrahoituksen muutos, €]]/Vertailu[[#This Row],[Perusrahoitus 2023, €]],0)</f>
        <v>4.5669187271501432E-2</v>
      </c>
      <c r="AD12" s="177">
        <f>IFERROR(VLOOKUP(Vertailu[[#This Row],[Y-tunnus]],'Suoritepäätös 2023 oikaistu'!$O:$Y,COLUMN('Suoritepäätös 2023 oikaistu'!D:D),FALSE),0)</f>
        <v>3752364</v>
      </c>
      <c r="AE12" s="177">
        <f>IFERROR(VLOOKUP(Vertailu[[#This Row],[Y-tunnus]],'1.2 Ohjaus-laskentataulu'!A:AT,COLUMN('1.2 Ohjaus-laskentataulu'!O:O),FALSE),0)</f>
        <v>4020485</v>
      </c>
      <c r="AF12" s="177">
        <f>Vertailu[[#This Row],[Suoritusrahoitus 2024, €]]-Vertailu[[#This Row],[Suoritusrahoitus 2023, €]]</f>
        <v>268121</v>
      </c>
      <c r="AG12" s="179">
        <f>IFERROR(Vertailu[[#This Row],[Suoritusrahoituksen muutos, €]]/Vertailu[[#This Row],[Suoritusrahoitus 2023, €]],0)</f>
        <v>7.1453888801832663E-2</v>
      </c>
      <c r="AH12" s="177">
        <f>IFERROR(VLOOKUP(Vertailu[[#This Row],[Y-tunnus]],'Suoritepäätös 2023 oikaistu'!$AB:$AL,COLUMN('Suoritepäätös 2023 oikaistu'!I:I),FALSE),0)</f>
        <v>1887410</v>
      </c>
      <c r="AI1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2019073</v>
      </c>
      <c r="AJ12" s="177">
        <f>Vertailu[[#This Row],[Vaikuttavuusrahoitus 2024, €]]-Vertailu[[#This Row],[Vaikuttavuusrahoitus 2023, €]]</f>
        <v>131663</v>
      </c>
      <c r="AK12" s="179">
        <f>IFERROR(Vertailu[[#This Row],[Vaikuttavuusrahoituksen muutos, €]]/Vertailu[[#This Row],[Vaikuttavuusrahoitus 2023, €]],0)</f>
        <v>6.9758558023958764E-2</v>
      </c>
    </row>
    <row r="13" spans="1:37" s="1" customFormat="1" ht="12.75" customHeight="1" x14ac:dyDescent="0.25">
      <c r="A13" s="3" t="s">
        <v>174</v>
      </c>
      <c r="B13" s="151" t="s">
        <v>148</v>
      </c>
      <c r="C13" s="151" t="s">
        <v>173</v>
      </c>
      <c r="D13" s="7" t="s">
        <v>325</v>
      </c>
      <c r="E1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0.63559078510297851</v>
      </c>
      <c r="F1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0.63856217642875157</v>
      </c>
      <c r="G1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0.24091683399521047</v>
      </c>
      <c r="H1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0.120520989576038</v>
      </c>
      <c r="I1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8.2216375699826302E-2</v>
      </c>
      <c r="J1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5.6823578833940114E-3</v>
      </c>
      <c r="K1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1.7561903934769491E-2</v>
      </c>
      <c r="L1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1.1677348330442301E-2</v>
      </c>
      <c r="M1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3.3830037276058882E-3</v>
      </c>
      <c r="N1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30845115</v>
      </c>
      <c r="O13" s="177">
        <f>IFERROR(VLOOKUP(Vertailu[[#This Row],[Y-tunnus]],'1.2 Ohjaus-laskentataulu'!A:AT,COLUMN('1.2 Ohjaus-laskentataulu'!AF:AF),FALSE),0)</f>
        <v>32465432</v>
      </c>
      <c r="P13" s="177">
        <f>IFERROR(Vertailu[[#This Row],[Rahoitus pl. hark. kor. 2024 ilman alv, €]]-Vertailu[[#This Row],[Rahoitus pl. hark. kor. 2023 ilman alv, €]],0)</f>
        <v>1620317</v>
      </c>
      <c r="Q13" s="179">
        <f>IFERROR(Vertailu[[#This Row],[Muutos, € 1]]/Vertailu[[#This Row],[Rahoitus pl. hark. kor. 2023 ilman alv, €]],0)</f>
        <v>5.2530749196428674E-2</v>
      </c>
      <c r="R13" s="182">
        <f>IFERROR(VLOOKUP(Vertailu[[#This Row],[Y-tunnus]],'Suoritepäätös 2023 oikaistu'!$AB:$AL,COLUMN('Suoritepäätös 2023 oikaistu'!J:J),FALSE),0)</f>
        <v>30907115</v>
      </c>
      <c r="S13" s="183">
        <f>IFERROR(VLOOKUP(Vertailu[[#This Row],[Y-tunnus]],'1.2 Ohjaus-laskentataulu'!A:AT,COLUMN('1.2 Ohjaus-laskentataulu'!AR:AR),FALSE),0)</f>
        <v>32562187</v>
      </c>
      <c r="T13" s="177">
        <f>IFERROR(Vertailu[[#This Row],[Rahoitus ml. hark. kor. 
2024 ilman alv, €]]-Vertailu[[#This Row],[Rahoitus ml. hark. kor. 
2023 ilman alv, €]],0)</f>
        <v>1655072</v>
      </c>
      <c r="U13" s="181">
        <f>IFERROR(Vertailu[[#This Row],[Muutos, € 2]]/Vertailu[[#This Row],[Rahoitus ml. hark. kor. 
2023 ilman alv, €]],0)</f>
        <v>5.3549870313033099E-2</v>
      </c>
      <c r="V1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32865228</v>
      </c>
      <c r="W13" s="182">
        <f>IFERROR(VLOOKUP(Vertailu[[#This Row],[Y-tunnus]],'1.2 Ohjaus-laskentataulu'!A:AT,COLUMN('1.2 Ohjaus-laskentataulu'!AT:AT),FALSE),0)</f>
        <v>34535850</v>
      </c>
      <c r="X13" s="184">
        <f>IFERROR(Vertailu[[#This Row],[Rahoitus ml. hark. kor. + alv 2024, €]]-Vertailu[[#This Row],[Rahoitus ml. hark. kor. + alv 2023, €]],0)</f>
        <v>1670622</v>
      </c>
      <c r="Y13" s="179">
        <f>IFERROR(Vertailu[[#This Row],[Muutos, € 3]]/Vertailu[[#This Row],[Rahoitus ml. hark. kor. + alv 2023, €]],0)</f>
        <v>5.0832509057901563E-2</v>
      </c>
      <c r="Z13" s="177">
        <f>IFERROR(VLOOKUP(Vertailu[[#This Row],[Y-tunnus]],'Suoritepäätös 2023 oikaistu'!$B:$N,COLUMN('Suoritepäätös 2023 oikaistu'!H:H),FALSE),0)</f>
        <v>20143535</v>
      </c>
      <c r="AA13" s="177">
        <f>IFERROR(VLOOKUP(Vertailu[[#This Row],[Y-tunnus]],'1.2 Ohjaus-laskentataulu'!A:AT,COLUMN('1.2 Ohjaus-laskentataulu'!AO:AO),FALSE),0)</f>
        <v>20792981</v>
      </c>
      <c r="AB13" s="177">
        <f>Vertailu[[#This Row],[Perusrahoitus 2024, €]]-Vertailu[[#This Row],[Perusrahoitus 2023, €]]</f>
        <v>649446</v>
      </c>
      <c r="AC13" s="179">
        <f>IFERROR(Vertailu[[#This Row],[Perusrahoituksen muutos, €]]/Vertailu[[#This Row],[Perusrahoitus 2023, €]],0)</f>
        <v>3.2240915013179168E-2</v>
      </c>
      <c r="AD13" s="177">
        <f>IFERROR(VLOOKUP(Vertailu[[#This Row],[Y-tunnus]],'Suoritepäätös 2023 oikaistu'!$O:$Y,COLUMN('Suoritepäätös 2023 oikaistu'!D:D),FALSE),0)</f>
        <v>6885541</v>
      </c>
      <c r="AE13" s="177">
        <f>IFERROR(VLOOKUP(Vertailu[[#This Row],[Y-tunnus]],'1.2 Ohjaus-laskentataulu'!A:AT,COLUMN('1.2 Ohjaus-laskentataulu'!O:O),FALSE),0)</f>
        <v>7844779</v>
      </c>
      <c r="AF13" s="177">
        <f>Vertailu[[#This Row],[Suoritusrahoitus 2024, €]]-Vertailu[[#This Row],[Suoritusrahoitus 2023, €]]</f>
        <v>959238</v>
      </c>
      <c r="AG13" s="179">
        <f>IFERROR(Vertailu[[#This Row],[Suoritusrahoituksen muutos, €]]/Vertailu[[#This Row],[Suoritusrahoitus 2023, €]],0)</f>
        <v>0.13931192915705534</v>
      </c>
      <c r="AH13" s="177">
        <f>IFERROR(VLOOKUP(Vertailu[[#This Row],[Y-tunnus]],'Suoritepäätös 2023 oikaistu'!$AB:$AL,COLUMN('Suoritepäätös 2023 oikaistu'!I:I),FALSE),0)</f>
        <v>3878039</v>
      </c>
      <c r="AI1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3924427</v>
      </c>
      <c r="AJ13" s="177">
        <f>Vertailu[[#This Row],[Vaikuttavuusrahoitus 2024, €]]-Vertailu[[#This Row],[Vaikuttavuusrahoitus 2023, €]]</f>
        <v>46388</v>
      </c>
      <c r="AK13" s="179">
        <f>IFERROR(Vertailu[[#This Row],[Vaikuttavuusrahoituksen muutos, €]]/Vertailu[[#This Row],[Vaikuttavuusrahoitus 2023, €]],0)</f>
        <v>1.1961715702188657E-2</v>
      </c>
    </row>
    <row r="14" spans="1:37" s="1" customFormat="1" ht="12.75" customHeight="1" x14ac:dyDescent="0.25">
      <c r="A14" s="3" t="s">
        <v>314</v>
      </c>
      <c r="B14" s="151" t="s">
        <v>20</v>
      </c>
      <c r="C14" s="151" t="s">
        <v>173</v>
      </c>
      <c r="D14" s="7" t="s">
        <v>325</v>
      </c>
      <c r="E1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0.52728414139463009</v>
      </c>
      <c r="F1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0.52728414139463009</v>
      </c>
      <c r="G1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</v>
      </c>
      <c r="H1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0.47271585860536991</v>
      </c>
      <c r="I1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0.27887772841413944</v>
      </c>
      <c r="J1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3.3368746378211321E-2</v>
      </c>
      <c r="K1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0.10372802781533706</v>
      </c>
      <c r="L1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4.1626424570214413E-2</v>
      </c>
      <c r="M1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1.5114931427467646E-2</v>
      </c>
      <c r="N1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58231</v>
      </c>
      <c r="O14" s="177">
        <f>IFERROR(VLOOKUP(Vertailu[[#This Row],[Y-tunnus]],'1.2 Ohjaus-laskentataulu'!A:AT,COLUMN('1.2 Ohjaus-laskentataulu'!AF:AF),FALSE),0)</f>
        <v>20708</v>
      </c>
      <c r="P14" s="177">
        <f>IFERROR(Vertailu[[#This Row],[Rahoitus pl. hark. kor. 2024 ilman alv, €]]-Vertailu[[#This Row],[Rahoitus pl. hark. kor. 2023 ilman alv, €]],0)</f>
        <v>-37523</v>
      </c>
      <c r="Q14" s="179">
        <f>IFERROR(Vertailu[[#This Row],[Muutos, € 1]]/Vertailu[[#This Row],[Rahoitus pl. hark. kor. 2023 ilman alv, €]],0)</f>
        <v>-0.6443818584602703</v>
      </c>
      <c r="R14" s="182">
        <f>IFERROR(VLOOKUP(Vertailu[[#This Row],[Y-tunnus]],'Suoritepäätös 2023 oikaistu'!$AB:$AL,COLUMN('Suoritepäätös 2023 oikaistu'!J:J),FALSE),0)</f>
        <v>58231</v>
      </c>
      <c r="S14" s="183">
        <f>IFERROR(VLOOKUP(Vertailu[[#This Row],[Y-tunnus]],'1.2 Ohjaus-laskentataulu'!A:AT,COLUMN('1.2 Ohjaus-laskentataulu'!AR:AR),FALSE),0)</f>
        <v>20708</v>
      </c>
      <c r="T14" s="177">
        <f>IFERROR(Vertailu[[#This Row],[Rahoitus ml. hark. kor. 
2024 ilman alv, €]]-Vertailu[[#This Row],[Rahoitus ml. hark. kor. 
2023 ilman alv, €]],0)</f>
        <v>-37523</v>
      </c>
      <c r="U14" s="181">
        <f>IFERROR(Vertailu[[#This Row],[Muutos, € 2]]/Vertailu[[#This Row],[Rahoitus ml. hark. kor. 
2023 ilman alv, €]],0)</f>
        <v>-0.6443818584602703</v>
      </c>
      <c r="V1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58734</v>
      </c>
      <c r="W14" s="182">
        <f>IFERROR(VLOOKUP(Vertailu[[#This Row],[Y-tunnus]],'1.2 Ohjaus-laskentataulu'!A:AT,COLUMN('1.2 Ohjaus-laskentataulu'!AT:AT),FALSE),0)</f>
        <v>20708</v>
      </c>
      <c r="X14" s="184">
        <f>IFERROR(Vertailu[[#This Row],[Rahoitus ml. hark. kor. + alv 2024, €]]-Vertailu[[#This Row],[Rahoitus ml. hark. kor. + alv 2023, €]],0)</f>
        <v>-38026</v>
      </c>
      <c r="Y14" s="179">
        <f>IFERROR(Vertailu[[#This Row],[Muutos, € 3]]/Vertailu[[#This Row],[Rahoitus ml. hark. kor. + alv 2023, €]],0)</f>
        <v>-0.64742738447917736</v>
      </c>
      <c r="Z14" s="177">
        <f>IFERROR(VLOOKUP(Vertailu[[#This Row],[Y-tunnus]],'Suoritepäätös 2023 oikaistu'!$B:$N,COLUMN('Suoritepäätös 2023 oikaistu'!H:H),FALSE),0)</f>
        <v>15594</v>
      </c>
      <c r="AA14" s="177">
        <f>IFERROR(VLOOKUP(Vertailu[[#This Row],[Y-tunnus]],'1.2 Ohjaus-laskentataulu'!A:AT,COLUMN('1.2 Ohjaus-laskentataulu'!AO:AO),FALSE),0)</f>
        <v>10919</v>
      </c>
      <c r="AB14" s="177">
        <f>Vertailu[[#This Row],[Perusrahoitus 2024, €]]-Vertailu[[#This Row],[Perusrahoitus 2023, €]]</f>
        <v>-4675</v>
      </c>
      <c r="AC14" s="179">
        <f>IFERROR(Vertailu[[#This Row],[Perusrahoituksen muutos, €]]/Vertailu[[#This Row],[Perusrahoitus 2023, €]],0)</f>
        <v>-0.2997947928690522</v>
      </c>
      <c r="AD14" s="177">
        <f>IFERROR(VLOOKUP(Vertailu[[#This Row],[Y-tunnus]],'Suoritepäätös 2023 oikaistu'!$O:$Y,COLUMN('Suoritepäätös 2023 oikaistu'!D:D),FALSE),0)</f>
        <v>15245</v>
      </c>
      <c r="AE14" s="177">
        <f>IFERROR(VLOOKUP(Vertailu[[#This Row],[Y-tunnus]],'1.2 Ohjaus-laskentataulu'!A:AT,COLUMN('1.2 Ohjaus-laskentataulu'!O:O),FALSE),0)</f>
        <v>0</v>
      </c>
      <c r="AF14" s="177">
        <f>Vertailu[[#This Row],[Suoritusrahoitus 2024, €]]-Vertailu[[#This Row],[Suoritusrahoitus 2023, €]]</f>
        <v>-15245</v>
      </c>
      <c r="AG14" s="179">
        <f>IFERROR(Vertailu[[#This Row],[Suoritusrahoituksen muutos, €]]/Vertailu[[#This Row],[Suoritusrahoitus 2023, €]],0)</f>
        <v>-1</v>
      </c>
      <c r="AH14" s="177">
        <f>IFERROR(VLOOKUP(Vertailu[[#This Row],[Y-tunnus]],'Suoritepäätös 2023 oikaistu'!$AB:$AL,COLUMN('Suoritepäätös 2023 oikaistu'!I:I),FALSE),0)</f>
        <v>27392</v>
      </c>
      <c r="AI1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9789</v>
      </c>
      <c r="AJ14" s="177">
        <f>Vertailu[[#This Row],[Vaikuttavuusrahoitus 2024, €]]-Vertailu[[#This Row],[Vaikuttavuusrahoitus 2023, €]]</f>
        <v>-17603</v>
      </c>
      <c r="AK14" s="179">
        <f>IFERROR(Vertailu[[#This Row],[Vaikuttavuusrahoituksen muutos, €]]/Vertailu[[#This Row],[Vaikuttavuusrahoitus 2023, €]],0)</f>
        <v>-0.64263288551401865</v>
      </c>
    </row>
    <row r="15" spans="1:37" s="1" customFormat="1" ht="12.75" customHeight="1" x14ac:dyDescent="0.25">
      <c r="A15" s="3" t="s">
        <v>313</v>
      </c>
      <c r="B15" s="151" t="s">
        <v>21</v>
      </c>
      <c r="C15" s="151" t="s">
        <v>173</v>
      </c>
      <c r="D15" s="7" t="s">
        <v>324</v>
      </c>
      <c r="E1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0.69173246395963561</v>
      </c>
      <c r="F1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0.69477867689833173</v>
      </c>
      <c r="G1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0.20444924501404413</v>
      </c>
      <c r="H1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0.10077207808762408</v>
      </c>
      <c r="I1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7.6343409661214862E-2</v>
      </c>
      <c r="J1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3.215469529169266E-3</v>
      </c>
      <c r="K1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1.2228414447795162E-2</v>
      </c>
      <c r="L1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7.1029012921416598E-3</v>
      </c>
      <c r="M1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1.8818831573031219E-3</v>
      </c>
      <c r="N1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71474697</v>
      </c>
      <c r="O15" s="177">
        <f>IFERROR(VLOOKUP(Vertailu[[#This Row],[Y-tunnus]],'1.2 Ohjaus-laskentataulu'!A:AT,COLUMN('1.2 Ohjaus-laskentataulu'!AF:AF),FALSE),0)</f>
        <v>71265431</v>
      </c>
      <c r="P15" s="177">
        <f>IFERROR(Vertailu[[#This Row],[Rahoitus pl. hark. kor. 2024 ilman alv, €]]-Vertailu[[#This Row],[Rahoitus pl. hark. kor. 2023 ilman alv, €]],0)</f>
        <v>-209266</v>
      </c>
      <c r="Q15" s="179">
        <f>IFERROR(Vertailu[[#This Row],[Muutos, € 1]]/Vertailu[[#This Row],[Rahoitus pl. hark. kor. 2023 ilman alv, €]],0)</f>
        <v>-2.9278333282056444E-3</v>
      </c>
      <c r="R15" s="182">
        <f>IFERROR(VLOOKUP(Vertailu[[#This Row],[Y-tunnus]],'Suoritepäätös 2023 oikaistu'!$AB:$AL,COLUMN('Suoritepäätös 2023 oikaistu'!J:J),FALSE),0)</f>
        <v>71611697</v>
      </c>
      <c r="S15" s="183">
        <f>IFERROR(VLOOKUP(Vertailu[[#This Row],[Y-tunnus]],'1.2 Ohjaus-laskentataulu'!A:AT,COLUMN('1.2 Ohjaus-laskentataulu'!AR:AR),FALSE),0)</f>
        <v>71483184</v>
      </c>
      <c r="T15" s="177">
        <f>IFERROR(Vertailu[[#This Row],[Rahoitus ml. hark. kor. 
2024 ilman alv, €]]-Vertailu[[#This Row],[Rahoitus ml. hark. kor. 
2023 ilman alv, €]],0)</f>
        <v>-128513</v>
      </c>
      <c r="U15" s="181">
        <f>IFERROR(Vertailu[[#This Row],[Muutos, € 2]]/Vertailu[[#This Row],[Rahoitus ml. hark. kor. 
2023 ilman alv, €]],0)</f>
        <v>-1.794581128275734E-3</v>
      </c>
      <c r="V1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71611697</v>
      </c>
      <c r="W15" s="182">
        <f>IFERROR(VLOOKUP(Vertailu[[#This Row],[Y-tunnus]],'1.2 Ohjaus-laskentataulu'!A:AT,COLUMN('1.2 Ohjaus-laskentataulu'!AT:AT),FALSE),0)</f>
        <v>71483184</v>
      </c>
      <c r="X15" s="184">
        <f>IFERROR(Vertailu[[#This Row],[Rahoitus ml. hark. kor. + alv 2024, €]]-Vertailu[[#This Row],[Rahoitus ml. hark. kor. + alv 2023, €]],0)</f>
        <v>-128513</v>
      </c>
      <c r="Y15" s="179">
        <f>IFERROR(Vertailu[[#This Row],[Muutos, € 3]]/Vertailu[[#This Row],[Rahoitus ml. hark. kor. + alv 2023, €]],0)</f>
        <v>-1.794581128275734E-3</v>
      </c>
      <c r="Z15" s="177">
        <f>IFERROR(VLOOKUP(Vertailu[[#This Row],[Y-tunnus]],'Suoritepäätös 2023 oikaistu'!$B:$N,COLUMN('Suoritepäätös 2023 oikaistu'!H:H),FALSE),0)</f>
        <v>51490915</v>
      </c>
      <c r="AA15" s="177">
        <f>IFERROR(VLOOKUP(Vertailu[[#This Row],[Y-tunnus]],'1.2 Ohjaus-laskentataulu'!A:AT,COLUMN('1.2 Ohjaus-laskentataulu'!AO:AO),FALSE),0)</f>
        <v>49664992</v>
      </c>
      <c r="AB15" s="177">
        <f>Vertailu[[#This Row],[Perusrahoitus 2024, €]]-Vertailu[[#This Row],[Perusrahoitus 2023, €]]</f>
        <v>-1825923</v>
      </c>
      <c r="AC15" s="179">
        <f>IFERROR(Vertailu[[#This Row],[Perusrahoituksen muutos, €]]/Vertailu[[#This Row],[Perusrahoitus 2023, €]],0)</f>
        <v>-3.5461071142355888E-2</v>
      </c>
      <c r="AD15" s="177">
        <f>IFERROR(VLOOKUP(Vertailu[[#This Row],[Y-tunnus]],'Suoritepäätös 2023 oikaistu'!$O:$Y,COLUMN('Suoritepäätös 2023 oikaistu'!D:D),FALSE),0)</f>
        <v>13408834</v>
      </c>
      <c r="AE15" s="177">
        <f>IFERROR(VLOOKUP(Vertailu[[#This Row],[Y-tunnus]],'1.2 Ohjaus-laskentataulu'!A:AT,COLUMN('1.2 Ohjaus-laskentataulu'!O:O),FALSE),0)</f>
        <v>14614683</v>
      </c>
      <c r="AF15" s="177">
        <f>Vertailu[[#This Row],[Suoritusrahoitus 2024, €]]-Vertailu[[#This Row],[Suoritusrahoitus 2023, €]]</f>
        <v>1205849</v>
      </c>
      <c r="AG15" s="179">
        <f>IFERROR(Vertailu[[#This Row],[Suoritusrahoituksen muutos, €]]/Vertailu[[#This Row],[Suoritusrahoitus 2023, €]],0)</f>
        <v>8.9929445021095789E-2</v>
      </c>
      <c r="AH15" s="177">
        <f>IFERROR(VLOOKUP(Vertailu[[#This Row],[Y-tunnus]],'Suoritepäätös 2023 oikaistu'!$AB:$AL,COLUMN('Suoritepäätös 2023 oikaistu'!I:I),FALSE),0)</f>
        <v>6711948</v>
      </c>
      <c r="AI1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7203509</v>
      </c>
      <c r="AJ15" s="177">
        <f>Vertailu[[#This Row],[Vaikuttavuusrahoitus 2024, €]]-Vertailu[[#This Row],[Vaikuttavuusrahoitus 2023, €]]</f>
        <v>491561</v>
      </c>
      <c r="AK15" s="179">
        <f>IFERROR(Vertailu[[#This Row],[Vaikuttavuusrahoituksen muutos, €]]/Vertailu[[#This Row],[Vaikuttavuusrahoitus 2023, €]],0)</f>
        <v>7.3236711607420082E-2</v>
      </c>
    </row>
    <row r="16" spans="1:37" s="1" customFormat="1" ht="12.75" customHeight="1" x14ac:dyDescent="0.25">
      <c r="A16" s="3" t="s">
        <v>312</v>
      </c>
      <c r="B16" s="151" t="s">
        <v>22</v>
      </c>
      <c r="C16" s="151" t="s">
        <v>311</v>
      </c>
      <c r="D16" s="7" t="s">
        <v>324</v>
      </c>
      <c r="E1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0.67357962354625756</v>
      </c>
      <c r="F1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0.6767848883136558</v>
      </c>
      <c r="G1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0.21436130579846971</v>
      </c>
      <c r="H1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0.10885380588787448</v>
      </c>
      <c r="I1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7.633094216354383E-2</v>
      </c>
      <c r="J1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3.6416073221514603E-3</v>
      </c>
      <c r="K1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1.1995790952613576E-2</v>
      </c>
      <c r="L1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1.0586470595386288E-2</v>
      </c>
      <c r="M1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6.2989948541793224E-3</v>
      </c>
      <c r="N1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31739846</v>
      </c>
      <c r="O16" s="177">
        <f>IFERROR(VLOOKUP(Vertailu[[#This Row],[Y-tunnus]],'1.2 Ohjaus-laskentataulu'!A:AT,COLUMN('1.2 Ohjaus-laskentataulu'!AF:AF),FALSE),0)</f>
        <v>33782175</v>
      </c>
      <c r="P16" s="177">
        <f>IFERROR(Vertailu[[#This Row],[Rahoitus pl. hark. kor. 2024 ilman alv, €]]-Vertailu[[#This Row],[Rahoitus pl. hark. kor. 2023 ilman alv, €]],0)</f>
        <v>2042329</v>
      </c>
      <c r="Q16" s="179">
        <f>IFERROR(Vertailu[[#This Row],[Muutos, € 1]]/Vertailu[[#This Row],[Rahoitus pl. hark. kor. 2023 ilman alv, €]],0)</f>
        <v>6.4345901363226529E-2</v>
      </c>
      <c r="R16" s="182">
        <f>IFERROR(VLOOKUP(Vertailu[[#This Row],[Y-tunnus]],'Suoritepäätös 2023 oikaistu'!$AB:$AL,COLUMN('Suoritepäätös 2023 oikaistu'!J:J),FALSE),0)</f>
        <v>31797846</v>
      </c>
      <c r="S16" s="183">
        <f>IFERROR(VLOOKUP(Vertailu[[#This Row],[Y-tunnus]],'1.2 Ohjaus-laskentataulu'!A:AT,COLUMN('1.2 Ohjaus-laskentataulu'!AR:AR),FALSE),0)</f>
        <v>33890804</v>
      </c>
      <c r="T16" s="177">
        <f>IFERROR(Vertailu[[#This Row],[Rahoitus ml. hark. kor. 
2024 ilman alv, €]]-Vertailu[[#This Row],[Rahoitus ml. hark. kor. 
2023 ilman alv, €]],0)</f>
        <v>2092958</v>
      </c>
      <c r="U16" s="181">
        <f>IFERROR(Vertailu[[#This Row],[Muutos, € 2]]/Vertailu[[#This Row],[Rahoitus ml. hark. kor. 
2023 ilman alv, €]],0)</f>
        <v>6.5820747732409299E-2</v>
      </c>
      <c r="V1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31797846</v>
      </c>
      <c r="W16" s="182">
        <f>IFERROR(VLOOKUP(Vertailu[[#This Row],[Y-tunnus]],'1.2 Ohjaus-laskentataulu'!A:AT,COLUMN('1.2 Ohjaus-laskentataulu'!AT:AT),FALSE),0)</f>
        <v>33890804</v>
      </c>
      <c r="X16" s="184">
        <f>IFERROR(Vertailu[[#This Row],[Rahoitus ml. hark. kor. + alv 2024, €]]-Vertailu[[#This Row],[Rahoitus ml. hark. kor. + alv 2023, €]],0)</f>
        <v>2092958</v>
      </c>
      <c r="Y16" s="179">
        <f>IFERROR(Vertailu[[#This Row],[Muutos, € 3]]/Vertailu[[#This Row],[Rahoitus ml. hark. kor. + alv 2023, €]],0)</f>
        <v>6.5820747732409299E-2</v>
      </c>
      <c r="Z16" s="177">
        <f>IFERROR(VLOOKUP(Vertailu[[#This Row],[Y-tunnus]],'Suoritepäätös 2023 oikaistu'!$B:$N,COLUMN('Suoritepäätös 2023 oikaistu'!H:H),FALSE),0)</f>
        <v>21891942</v>
      </c>
      <c r="AA16" s="177">
        <f>IFERROR(VLOOKUP(Vertailu[[#This Row],[Y-tunnus]],'1.2 Ohjaus-laskentataulu'!A:AT,COLUMN('1.2 Ohjaus-laskentataulu'!AO:AO),FALSE),0)</f>
        <v>22936784</v>
      </c>
      <c r="AB16" s="177">
        <f>Vertailu[[#This Row],[Perusrahoitus 2024, €]]-Vertailu[[#This Row],[Perusrahoitus 2023, €]]</f>
        <v>1044842</v>
      </c>
      <c r="AC16" s="179">
        <f>IFERROR(Vertailu[[#This Row],[Perusrahoituksen muutos, €]]/Vertailu[[#This Row],[Perusrahoitus 2023, €]],0)</f>
        <v>4.7727241374931471E-2</v>
      </c>
      <c r="AD16" s="177">
        <f>IFERROR(VLOOKUP(Vertailu[[#This Row],[Y-tunnus]],'Suoritepäätös 2023 oikaistu'!$O:$Y,COLUMN('Suoritepäätös 2023 oikaistu'!D:D),FALSE),0)</f>
        <v>6649967</v>
      </c>
      <c r="AE16" s="177">
        <f>IFERROR(VLOOKUP(Vertailu[[#This Row],[Y-tunnus]],'1.2 Ohjaus-laskentataulu'!A:AT,COLUMN('1.2 Ohjaus-laskentataulu'!O:O),FALSE),0)</f>
        <v>7264877</v>
      </c>
      <c r="AF16" s="177">
        <f>Vertailu[[#This Row],[Suoritusrahoitus 2024, €]]-Vertailu[[#This Row],[Suoritusrahoitus 2023, €]]</f>
        <v>614910</v>
      </c>
      <c r="AG16" s="179">
        <f>IFERROR(Vertailu[[#This Row],[Suoritusrahoituksen muutos, €]]/Vertailu[[#This Row],[Suoritusrahoitus 2023, €]],0)</f>
        <v>9.2468128037327096E-2</v>
      </c>
      <c r="AH16" s="177">
        <f>IFERROR(VLOOKUP(Vertailu[[#This Row],[Y-tunnus]],'Suoritepäätös 2023 oikaistu'!$AB:$AL,COLUMN('Suoritepäätös 2023 oikaistu'!I:I),FALSE),0)</f>
        <v>3255937</v>
      </c>
      <c r="AI1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3689143</v>
      </c>
      <c r="AJ16" s="177">
        <f>Vertailu[[#This Row],[Vaikuttavuusrahoitus 2024, €]]-Vertailu[[#This Row],[Vaikuttavuusrahoitus 2023, €]]</f>
        <v>433206</v>
      </c>
      <c r="AK16" s="179">
        <f>IFERROR(Vertailu[[#This Row],[Vaikuttavuusrahoituksen muutos, €]]/Vertailu[[#This Row],[Vaikuttavuusrahoitus 2023, €]],0)</f>
        <v>0.13305110019020638</v>
      </c>
    </row>
    <row r="17" spans="1:37" s="1" customFormat="1" ht="12.75" customHeight="1" x14ac:dyDescent="0.25">
      <c r="A17" s="3" t="s">
        <v>310</v>
      </c>
      <c r="B17" s="151" t="s">
        <v>23</v>
      </c>
      <c r="C17" s="151" t="s">
        <v>200</v>
      </c>
      <c r="D17" s="7" t="s">
        <v>325</v>
      </c>
      <c r="E1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0.69202972752106584</v>
      </c>
      <c r="F1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0.69608401679384035</v>
      </c>
      <c r="G1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0.20782421159852357</v>
      </c>
      <c r="H1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9.6091771607636114E-2</v>
      </c>
      <c r="I1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6.7211801114832284E-2</v>
      </c>
      <c r="J1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4.8741209252335773E-3</v>
      </c>
      <c r="K1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9.5621198354099123E-3</v>
      </c>
      <c r="L1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1.0511922426444926E-2</v>
      </c>
      <c r="M1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3.9318073057154112E-3</v>
      </c>
      <c r="N1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29453209</v>
      </c>
      <c r="O17" s="177">
        <f>IFERROR(VLOOKUP(Vertailu[[#This Row],[Y-tunnus]],'1.2 Ohjaus-laskentataulu'!A:AT,COLUMN('1.2 Ohjaus-laskentataulu'!AF:AF),FALSE),0)</f>
        <v>30720301</v>
      </c>
      <c r="P17" s="177">
        <f>IFERROR(Vertailu[[#This Row],[Rahoitus pl. hark. kor. 2024 ilman alv, €]]-Vertailu[[#This Row],[Rahoitus pl. hark. kor. 2023 ilman alv, €]],0)</f>
        <v>1267092</v>
      </c>
      <c r="Q17" s="179">
        <f>IFERROR(Vertailu[[#This Row],[Muutos, € 1]]/Vertailu[[#This Row],[Rahoitus pl. hark. kor. 2023 ilman alv, €]],0)</f>
        <v>4.3020507544695726E-2</v>
      </c>
      <c r="R17" s="182">
        <f>IFERROR(VLOOKUP(Vertailu[[#This Row],[Y-tunnus]],'Suoritepäätös 2023 oikaistu'!$AB:$AL,COLUMN('Suoritepäätös 2023 oikaistu'!J:J),FALSE),0)</f>
        <v>29491209</v>
      </c>
      <c r="S17" s="183">
        <f>IFERROR(VLOOKUP(Vertailu[[#This Row],[Y-tunnus]],'1.2 Ohjaus-laskentataulu'!A:AT,COLUMN('1.2 Ohjaus-laskentataulu'!AR:AR),FALSE),0)</f>
        <v>30845357</v>
      </c>
      <c r="T17" s="177">
        <f>IFERROR(Vertailu[[#This Row],[Rahoitus ml. hark. kor. 
2024 ilman alv, €]]-Vertailu[[#This Row],[Rahoitus ml. hark. kor. 
2023 ilman alv, €]],0)</f>
        <v>1354148</v>
      </c>
      <c r="U17" s="181">
        <f>IFERROR(Vertailu[[#This Row],[Muutos, € 2]]/Vertailu[[#This Row],[Rahoitus ml. hark. kor. 
2023 ilman alv, €]],0)</f>
        <v>4.5917005301478145E-2</v>
      </c>
      <c r="V1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31295037</v>
      </c>
      <c r="W17" s="182">
        <f>IFERROR(VLOOKUP(Vertailu[[#This Row],[Y-tunnus]],'1.2 Ohjaus-laskentataulu'!A:AT,COLUMN('1.2 Ohjaus-laskentataulu'!AT:AT),FALSE),0)</f>
        <v>32594188</v>
      </c>
      <c r="X17" s="184">
        <f>IFERROR(Vertailu[[#This Row],[Rahoitus ml. hark. kor. + alv 2024, €]]-Vertailu[[#This Row],[Rahoitus ml. hark. kor. + alv 2023, €]],0)</f>
        <v>1299151</v>
      </c>
      <c r="Y17" s="179">
        <f>IFERROR(Vertailu[[#This Row],[Muutos, € 3]]/Vertailu[[#This Row],[Rahoitus ml. hark. kor. + alv 2023, €]],0)</f>
        <v>4.151300412266648E-2</v>
      </c>
      <c r="Z17" s="177">
        <f>IFERROR(VLOOKUP(Vertailu[[#This Row],[Y-tunnus]],'Suoritepäätös 2023 oikaistu'!$B:$N,COLUMN('Suoritepäätös 2023 oikaistu'!H:H),FALSE),0)</f>
        <v>20461959</v>
      </c>
      <c r="AA17" s="177">
        <f>IFERROR(VLOOKUP(Vertailu[[#This Row],[Y-tunnus]],'1.2 Ohjaus-laskentataulu'!A:AT,COLUMN('1.2 Ohjaus-laskentataulu'!AO:AO),FALSE),0)</f>
        <v>21470960</v>
      </c>
      <c r="AB17" s="177">
        <f>Vertailu[[#This Row],[Perusrahoitus 2024, €]]-Vertailu[[#This Row],[Perusrahoitus 2023, €]]</f>
        <v>1009001</v>
      </c>
      <c r="AC17" s="179">
        <f>IFERROR(Vertailu[[#This Row],[Perusrahoituksen muutos, €]]/Vertailu[[#This Row],[Perusrahoitus 2023, €]],0)</f>
        <v>4.9311065475206944E-2</v>
      </c>
      <c r="AD17" s="177">
        <f>IFERROR(VLOOKUP(Vertailu[[#This Row],[Y-tunnus]],'Suoritepäätös 2023 oikaistu'!$O:$Y,COLUMN('Suoritepäätös 2023 oikaistu'!D:D),FALSE),0)</f>
        <v>6019352</v>
      </c>
      <c r="AE17" s="177">
        <f>IFERROR(VLOOKUP(Vertailu[[#This Row],[Y-tunnus]],'1.2 Ohjaus-laskentataulu'!A:AT,COLUMN('1.2 Ohjaus-laskentataulu'!O:O),FALSE),0)</f>
        <v>6410412</v>
      </c>
      <c r="AF17" s="177">
        <f>Vertailu[[#This Row],[Suoritusrahoitus 2024, €]]-Vertailu[[#This Row],[Suoritusrahoitus 2023, €]]</f>
        <v>391060</v>
      </c>
      <c r="AG17" s="179">
        <f>IFERROR(Vertailu[[#This Row],[Suoritusrahoituksen muutos, €]]/Vertailu[[#This Row],[Suoritusrahoitus 2023, €]],0)</f>
        <v>6.4967126029512809E-2</v>
      </c>
      <c r="AH17" s="177">
        <f>IFERROR(VLOOKUP(Vertailu[[#This Row],[Y-tunnus]],'Suoritepäätös 2023 oikaistu'!$AB:$AL,COLUMN('Suoritepäätös 2023 oikaistu'!I:I),FALSE),0)</f>
        <v>3009898</v>
      </c>
      <c r="AI1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2963985</v>
      </c>
      <c r="AJ17" s="177">
        <f>Vertailu[[#This Row],[Vaikuttavuusrahoitus 2024, €]]-Vertailu[[#This Row],[Vaikuttavuusrahoitus 2023, €]]</f>
        <v>-45913</v>
      </c>
      <c r="AK17" s="179">
        <f>IFERROR(Vertailu[[#This Row],[Vaikuttavuusrahoituksen muutos, €]]/Vertailu[[#This Row],[Vaikuttavuusrahoitus 2023, €]],0)</f>
        <v>-1.5254005285228935E-2</v>
      </c>
    </row>
    <row r="18" spans="1:37" s="1" customFormat="1" ht="12.75" customHeight="1" x14ac:dyDescent="0.25">
      <c r="A18" s="3" t="s">
        <v>309</v>
      </c>
      <c r="B18" s="151" t="s">
        <v>24</v>
      </c>
      <c r="C18" s="151" t="s">
        <v>214</v>
      </c>
      <c r="D18" s="7" t="s">
        <v>325</v>
      </c>
      <c r="E1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0.61825296240789906</v>
      </c>
      <c r="F1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0.61825296240789906</v>
      </c>
      <c r="G1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0.18435116159158044</v>
      </c>
      <c r="H1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0.19739587600052044</v>
      </c>
      <c r="I1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0.15420905275230462</v>
      </c>
      <c r="J1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5.2574005985051827E-3</v>
      </c>
      <c r="K1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2.1839174621838212E-2</v>
      </c>
      <c r="L1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1.142556995330503E-2</v>
      </c>
      <c r="M1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4.6646780745673846E-3</v>
      </c>
      <c r="N1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195493</v>
      </c>
      <c r="O18" s="177">
        <f>IFERROR(VLOOKUP(Vertailu[[#This Row],[Y-tunnus]],'1.2 Ohjaus-laskentataulu'!A:AT,COLUMN('1.2 Ohjaus-laskentataulu'!AF:AF),FALSE),0)</f>
        <v>207517</v>
      </c>
      <c r="P18" s="177">
        <f>IFERROR(Vertailu[[#This Row],[Rahoitus pl. hark. kor. 2024 ilman alv, €]]-Vertailu[[#This Row],[Rahoitus pl. hark. kor. 2023 ilman alv, €]],0)</f>
        <v>12024</v>
      </c>
      <c r="Q18" s="179">
        <f>IFERROR(Vertailu[[#This Row],[Muutos, € 1]]/Vertailu[[#This Row],[Rahoitus pl. hark. kor. 2023 ilman alv, €]],0)</f>
        <v>6.1506038579386475E-2</v>
      </c>
      <c r="R18" s="182">
        <f>IFERROR(VLOOKUP(Vertailu[[#This Row],[Y-tunnus]],'Suoritepäätös 2023 oikaistu'!$AB:$AL,COLUMN('Suoritepäätös 2023 oikaistu'!J:J),FALSE),0)</f>
        <v>195493</v>
      </c>
      <c r="S18" s="183">
        <f>IFERROR(VLOOKUP(Vertailu[[#This Row],[Y-tunnus]],'1.2 Ohjaus-laskentataulu'!A:AT,COLUMN('1.2 Ohjaus-laskentataulu'!AR:AR),FALSE),0)</f>
        <v>207517</v>
      </c>
      <c r="T18" s="177">
        <f>IFERROR(Vertailu[[#This Row],[Rahoitus ml. hark. kor. 
2024 ilman alv, €]]-Vertailu[[#This Row],[Rahoitus ml. hark. kor. 
2023 ilman alv, €]],0)</f>
        <v>12024</v>
      </c>
      <c r="U18" s="181">
        <f>IFERROR(Vertailu[[#This Row],[Muutos, € 2]]/Vertailu[[#This Row],[Rahoitus ml. hark. kor. 
2023 ilman alv, €]],0)</f>
        <v>6.1506038579386475E-2</v>
      </c>
      <c r="V1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195493</v>
      </c>
      <c r="W18" s="182">
        <f>IFERROR(VLOOKUP(Vertailu[[#This Row],[Y-tunnus]],'1.2 Ohjaus-laskentataulu'!A:AT,COLUMN('1.2 Ohjaus-laskentataulu'!AT:AT),FALSE),0)</f>
        <v>207517</v>
      </c>
      <c r="X18" s="184">
        <f>IFERROR(Vertailu[[#This Row],[Rahoitus ml. hark. kor. + alv 2024, €]]-Vertailu[[#This Row],[Rahoitus ml. hark. kor. + alv 2023, €]],0)</f>
        <v>12024</v>
      </c>
      <c r="Y18" s="179">
        <f>IFERROR(Vertailu[[#This Row],[Muutos, € 3]]/Vertailu[[#This Row],[Rahoitus ml. hark. kor. + alv 2023, €]],0)</f>
        <v>6.1506038579386475E-2</v>
      </c>
      <c r="Z18" s="177">
        <f>IFERROR(VLOOKUP(Vertailu[[#This Row],[Y-tunnus]],'Suoritepäätös 2023 oikaistu'!$B:$N,COLUMN('Suoritepäätös 2023 oikaistu'!H:H),FALSE),0)</f>
        <v>120856</v>
      </c>
      <c r="AA18" s="177">
        <f>IFERROR(VLOOKUP(Vertailu[[#This Row],[Y-tunnus]],'1.2 Ohjaus-laskentataulu'!A:AT,COLUMN('1.2 Ohjaus-laskentataulu'!AO:AO),FALSE),0)</f>
        <v>128298</v>
      </c>
      <c r="AB18" s="177">
        <f>Vertailu[[#This Row],[Perusrahoitus 2024, €]]-Vertailu[[#This Row],[Perusrahoitus 2023, €]]</f>
        <v>7442</v>
      </c>
      <c r="AC18" s="179">
        <f>IFERROR(Vertailu[[#This Row],[Perusrahoituksen muutos, €]]/Vertailu[[#This Row],[Perusrahoitus 2023, €]],0)</f>
        <v>6.1577414443635403E-2</v>
      </c>
      <c r="AD18" s="177">
        <f>IFERROR(VLOOKUP(Vertailu[[#This Row],[Y-tunnus]],'Suoritepäätös 2023 oikaistu'!$O:$Y,COLUMN('Suoritepäätös 2023 oikaistu'!D:D),FALSE),0)</f>
        <v>29902</v>
      </c>
      <c r="AE18" s="177">
        <f>IFERROR(VLOOKUP(Vertailu[[#This Row],[Y-tunnus]],'1.2 Ohjaus-laskentataulu'!A:AT,COLUMN('1.2 Ohjaus-laskentataulu'!O:O),FALSE),0)</f>
        <v>38256</v>
      </c>
      <c r="AF18" s="177">
        <f>Vertailu[[#This Row],[Suoritusrahoitus 2024, €]]-Vertailu[[#This Row],[Suoritusrahoitus 2023, €]]</f>
        <v>8354</v>
      </c>
      <c r="AG18" s="179">
        <f>IFERROR(Vertailu[[#This Row],[Suoritusrahoituksen muutos, €]]/Vertailu[[#This Row],[Suoritusrahoitus 2023, €]],0)</f>
        <v>0.27937930573205805</v>
      </c>
      <c r="AH18" s="177">
        <f>IFERROR(VLOOKUP(Vertailu[[#This Row],[Y-tunnus]],'Suoritepäätös 2023 oikaistu'!$AB:$AL,COLUMN('Suoritepäätös 2023 oikaistu'!I:I),FALSE),0)</f>
        <v>44735</v>
      </c>
      <c r="AI1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40963</v>
      </c>
      <c r="AJ18" s="177">
        <f>Vertailu[[#This Row],[Vaikuttavuusrahoitus 2024, €]]-Vertailu[[#This Row],[Vaikuttavuusrahoitus 2023, €]]</f>
        <v>-3772</v>
      </c>
      <c r="AK18" s="179">
        <f>IFERROR(Vertailu[[#This Row],[Vaikuttavuusrahoituksen muutos, €]]/Vertailu[[#This Row],[Vaikuttavuusrahoitus 2023, €]],0)</f>
        <v>-8.4318766066838052E-2</v>
      </c>
    </row>
    <row r="19" spans="1:37" s="1" customFormat="1" ht="12.75" customHeight="1" x14ac:dyDescent="0.25">
      <c r="A19" s="3" t="s">
        <v>317</v>
      </c>
      <c r="B19" s="151" t="s">
        <v>471</v>
      </c>
      <c r="C19" s="151" t="s">
        <v>173</v>
      </c>
      <c r="D19" s="7" t="s">
        <v>325</v>
      </c>
      <c r="E1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8.913610918817623E-2</v>
      </c>
      <c r="F1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1</v>
      </c>
      <c r="G1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</v>
      </c>
      <c r="H1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</v>
      </c>
      <c r="I1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</v>
      </c>
      <c r="J1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0</v>
      </c>
      <c r="K1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0</v>
      </c>
      <c r="L1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0</v>
      </c>
      <c r="M1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1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123455</v>
      </c>
      <c r="O19" s="177">
        <f>IFERROR(VLOOKUP(Vertailu[[#This Row],[Y-tunnus]],'1.2 Ohjaus-laskentataulu'!A:AT,COLUMN('1.2 Ohjaus-laskentataulu'!AF:AF),FALSE),0)</f>
        <v>129663</v>
      </c>
      <c r="P19" s="177">
        <f>IFERROR(Vertailu[[#This Row],[Rahoitus pl. hark. kor. 2024 ilman alv, €]]-Vertailu[[#This Row],[Rahoitus pl. hark. kor. 2023 ilman alv, €]],0)</f>
        <v>6208</v>
      </c>
      <c r="Q19" s="179">
        <f>IFERROR(Vertailu[[#This Row],[Muutos, € 1]]/Vertailu[[#This Row],[Rahoitus pl. hark. kor. 2023 ilman alv, €]],0)</f>
        <v>5.0285529140172536E-2</v>
      </c>
      <c r="R19" s="182">
        <f>IFERROR(VLOOKUP(Vertailu[[#This Row],[Y-tunnus]],'Suoritepäätös 2023 oikaistu'!$AB:$AL,COLUMN('Suoritepäätös 2023 oikaistu'!J:J),FALSE),0)</f>
        <v>1373455</v>
      </c>
      <c r="S19" s="183">
        <f>IFERROR(VLOOKUP(Vertailu[[#This Row],[Y-tunnus]],'1.2 Ohjaus-laskentataulu'!A:AT,COLUMN('1.2 Ohjaus-laskentataulu'!AR:AR),FALSE),0)</f>
        <v>1454663</v>
      </c>
      <c r="T19" s="177">
        <f>IFERROR(Vertailu[[#This Row],[Rahoitus ml. hark. kor. 
2024 ilman alv, €]]-Vertailu[[#This Row],[Rahoitus ml. hark. kor. 
2023 ilman alv, €]],0)</f>
        <v>81208</v>
      </c>
      <c r="U19" s="181">
        <f>IFERROR(Vertailu[[#This Row],[Muutos, € 2]]/Vertailu[[#This Row],[Rahoitus ml. hark. kor. 
2023 ilman alv, €]],0)</f>
        <v>5.91268006596503E-2</v>
      </c>
      <c r="V1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1470048</v>
      </c>
      <c r="W19" s="182">
        <f>IFERROR(VLOOKUP(Vertailu[[#This Row],[Y-tunnus]],'1.2 Ohjaus-laskentataulu'!A:AT,COLUMN('1.2 Ohjaus-laskentataulu'!AT:AT),FALSE),0)</f>
        <v>1497547</v>
      </c>
      <c r="X19" s="184">
        <f>IFERROR(Vertailu[[#This Row],[Rahoitus ml. hark. kor. + alv 2024, €]]-Vertailu[[#This Row],[Rahoitus ml. hark. kor. + alv 2023, €]],0)</f>
        <v>27499</v>
      </c>
      <c r="Y19" s="179">
        <f>IFERROR(Vertailu[[#This Row],[Muutos, € 3]]/Vertailu[[#This Row],[Rahoitus ml. hark. kor. + alv 2023, €]],0)</f>
        <v>1.8706191906658832E-2</v>
      </c>
      <c r="Z19" s="177">
        <f>IFERROR(VLOOKUP(Vertailu[[#This Row],[Y-tunnus]],'Suoritepäätös 2023 oikaistu'!$B:$N,COLUMN('Suoritepäätös 2023 oikaistu'!H:H),FALSE),0)</f>
        <v>1373455</v>
      </c>
      <c r="AA19" s="177">
        <f>IFERROR(VLOOKUP(Vertailu[[#This Row],[Y-tunnus]],'1.2 Ohjaus-laskentataulu'!A:AT,COLUMN('1.2 Ohjaus-laskentataulu'!AO:AO),FALSE),0)</f>
        <v>1454663</v>
      </c>
      <c r="AB19" s="177">
        <f>Vertailu[[#This Row],[Perusrahoitus 2024, €]]-Vertailu[[#This Row],[Perusrahoitus 2023, €]]</f>
        <v>81208</v>
      </c>
      <c r="AC19" s="179">
        <f>IFERROR(Vertailu[[#This Row],[Perusrahoituksen muutos, €]]/Vertailu[[#This Row],[Perusrahoitus 2023, €]],0)</f>
        <v>5.91268006596503E-2</v>
      </c>
      <c r="AD19" s="177">
        <f>IFERROR(VLOOKUP(Vertailu[[#This Row],[Y-tunnus]],'Suoritepäätös 2023 oikaistu'!$O:$Y,COLUMN('Suoritepäätös 2023 oikaistu'!D:D),FALSE),0)</f>
        <v>0</v>
      </c>
      <c r="AE19" s="177">
        <f>IFERROR(VLOOKUP(Vertailu[[#This Row],[Y-tunnus]],'1.2 Ohjaus-laskentataulu'!A:AT,COLUMN('1.2 Ohjaus-laskentataulu'!O:O),FALSE),0)</f>
        <v>0</v>
      </c>
      <c r="AF19" s="177">
        <f>Vertailu[[#This Row],[Suoritusrahoitus 2024, €]]-Vertailu[[#This Row],[Suoritusrahoitus 2023, €]]</f>
        <v>0</v>
      </c>
      <c r="AG19" s="179">
        <f>IFERROR(Vertailu[[#This Row],[Suoritusrahoituksen muutos, €]]/Vertailu[[#This Row],[Suoritusrahoitus 2023, €]],0)</f>
        <v>0</v>
      </c>
      <c r="AH19" s="177">
        <f>IFERROR(VLOOKUP(Vertailu[[#This Row],[Y-tunnus]],'Suoritepäätös 2023 oikaistu'!$AB:$AL,COLUMN('Suoritepäätös 2023 oikaistu'!I:I),FALSE),0)</f>
        <v>0</v>
      </c>
      <c r="AI1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0</v>
      </c>
      <c r="AJ19" s="177">
        <f>Vertailu[[#This Row],[Vaikuttavuusrahoitus 2024, €]]-Vertailu[[#This Row],[Vaikuttavuusrahoitus 2023, €]]</f>
        <v>0</v>
      </c>
      <c r="AK19" s="179">
        <f>IFERROR(Vertailu[[#This Row],[Vaikuttavuusrahoituksen muutos, €]]/Vertailu[[#This Row],[Vaikuttavuusrahoitus 2023, €]],0)</f>
        <v>0</v>
      </c>
    </row>
    <row r="20" spans="1:37" s="1" customFormat="1" ht="12.75" customHeight="1" x14ac:dyDescent="0.25">
      <c r="A20" s="3" t="s">
        <v>308</v>
      </c>
      <c r="B20" s="151" t="s">
        <v>25</v>
      </c>
      <c r="C20" s="151" t="s">
        <v>173</v>
      </c>
      <c r="D20" s="7" t="s">
        <v>325</v>
      </c>
      <c r="E2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0.70413932797591561</v>
      </c>
      <c r="F2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0.70413932797591561</v>
      </c>
      <c r="G2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0.22002751865644343</v>
      </c>
      <c r="H2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7.5833153367640946E-2</v>
      </c>
      <c r="I2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5.9987978877002378E-2</v>
      </c>
      <c r="J2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2.709142081597323E-3</v>
      </c>
      <c r="K2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9.7152211178473877E-3</v>
      </c>
      <c r="L2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2.9052022668068934E-3</v>
      </c>
      <c r="M2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5.1560902438696076E-4</v>
      </c>
      <c r="N2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1711551</v>
      </c>
      <c r="O20" s="177">
        <f>IFERROR(VLOOKUP(Vertailu[[#This Row],[Y-tunnus]],'1.2 Ohjaus-laskentataulu'!A:AT,COLUMN('1.2 Ohjaus-laskentataulu'!AF:AF),FALSE),0)</f>
        <v>1708659</v>
      </c>
      <c r="P20" s="177">
        <f>IFERROR(Vertailu[[#This Row],[Rahoitus pl. hark. kor. 2024 ilman alv, €]]-Vertailu[[#This Row],[Rahoitus pl. hark. kor. 2023 ilman alv, €]],0)</f>
        <v>-2892</v>
      </c>
      <c r="Q20" s="179">
        <f>IFERROR(Vertailu[[#This Row],[Muutos, € 1]]/Vertailu[[#This Row],[Rahoitus pl. hark. kor. 2023 ilman alv, €]],0)</f>
        <v>-1.6896954867251983E-3</v>
      </c>
      <c r="R20" s="182">
        <f>IFERROR(VLOOKUP(Vertailu[[#This Row],[Y-tunnus]],'Suoritepäätös 2023 oikaistu'!$AB:$AL,COLUMN('Suoritepäätös 2023 oikaistu'!J:J),FALSE),0)</f>
        <v>1711551</v>
      </c>
      <c r="S20" s="183">
        <f>IFERROR(VLOOKUP(Vertailu[[#This Row],[Y-tunnus]],'1.2 Ohjaus-laskentataulu'!A:AT,COLUMN('1.2 Ohjaus-laskentataulu'!AR:AR),FALSE),0)</f>
        <v>1708659</v>
      </c>
      <c r="T20" s="177">
        <f>IFERROR(Vertailu[[#This Row],[Rahoitus ml. hark. kor. 
2024 ilman alv, €]]-Vertailu[[#This Row],[Rahoitus ml. hark. kor. 
2023 ilman alv, €]],0)</f>
        <v>-2892</v>
      </c>
      <c r="U20" s="181">
        <f>IFERROR(Vertailu[[#This Row],[Muutos, € 2]]/Vertailu[[#This Row],[Rahoitus ml. hark. kor. 
2023 ilman alv, €]],0)</f>
        <v>-1.6896954867251983E-3</v>
      </c>
      <c r="V2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1905278</v>
      </c>
      <c r="W20" s="182">
        <f>IFERROR(VLOOKUP(Vertailu[[#This Row],[Y-tunnus]],'1.2 Ohjaus-laskentataulu'!A:AT,COLUMN('1.2 Ohjaus-laskentataulu'!AT:AT),FALSE),0)</f>
        <v>2012739</v>
      </c>
      <c r="X20" s="184">
        <f>IFERROR(Vertailu[[#This Row],[Rahoitus ml. hark. kor. + alv 2024, €]]-Vertailu[[#This Row],[Rahoitus ml. hark. kor. + alv 2023, €]],0)</f>
        <v>107461</v>
      </c>
      <c r="Y20" s="179">
        <f>IFERROR(Vertailu[[#This Row],[Muutos, € 3]]/Vertailu[[#This Row],[Rahoitus ml. hark. kor. + alv 2023, €]],0)</f>
        <v>5.6401742947748308E-2</v>
      </c>
      <c r="Z20" s="177">
        <f>IFERROR(VLOOKUP(Vertailu[[#This Row],[Y-tunnus]],'Suoritepäätös 2023 oikaistu'!$B:$N,COLUMN('Suoritepäätös 2023 oikaistu'!H:H),FALSE),0)</f>
        <v>1122788</v>
      </c>
      <c r="AA20" s="177">
        <f>IFERROR(VLOOKUP(Vertailu[[#This Row],[Y-tunnus]],'1.2 Ohjaus-laskentataulu'!A:AT,COLUMN('1.2 Ohjaus-laskentataulu'!AO:AO),FALSE),0)</f>
        <v>1203134</v>
      </c>
      <c r="AB20" s="177">
        <f>Vertailu[[#This Row],[Perusrahoitus 2024, €]]-Vertailu[[#This Row],[Perusrahoitus 2023, €]]</f>
        <v>80346</v>
      </c>
      <c r="AC20" s="179">
        <f>IFERROR(Vertailu[[#This Row],[Perusrahoituksen muutos, €]]/Vertailu[[#This Row],[Perusrahoitus 2023, €]],0)</f>
        <v>7.1559368286800359E-2</v>
      </c>
      <c r="AD20" s="177">
        <f>IFERROR(VLOOKUP(Vertailu[[#This Row],[Y-tunnus]],'Suoritepäätös 2023 oikaistu'!$O:$Y,COLUMN('Suoritepäätös 2023 oikaistu'!D:D),FALSE),0)</f>
        <v>453811</v>
      </c>
      <c r="AE20" s="177">
        <f>IFERROR(VLOOKUP(Vertailu[[#This Row],[Y-tunnus]],'1.2 Ohjaus-laskentataulu'!A:AT,COLUMN('1.2 Ohjaus-laskentataulu'!O:O),FALSE),0)</f>
        <v>375952</v>
      </c>
      <c r="AF20" s="177">
        <f>Vertailu[[#This Row],[Suoritusrahoitus 2024, €]]-Vertailu[[#This Row],[Suoritusrahoitus 2023, €]]</f>
        <v>-77859</v>
      </c>
      <c r="AG20" s="179">
        <f>IFERROR(Vertailu[[#This Row],[Suoritusrahoituksen muutos, €]]/Vertailu[[#This Row],[Suoritusrahoitus 2023, €]],0)</f>
        <v>-0.17156701798766447</v>
      </c>
      <c r="AH20" s="177">
        <f>IFERROR(VLOOKUP(Vertailu[[#This Row],[Y-tunnus]],'Suoritepäätös 2023 oikaistu'!$AB:$AL,COLUMN('Suoritepäätös 2023 oikaistu'!I:I),FALSE),0)</f>
        <v>134952</v>
      </c>
      <c r="AI2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129573</v>
      </c>
      <c r="AJ20" s="177">
        <f>Vertailu[[#This Row],[Vaikuttavuusrahoitus 2024, €]]-Vertailu[[#This Row],[Vaikuttavuusrahoitus 2023, €]]</f>
        <v>-5379</v>
      </c>
      <c r="AK20" s="179">
        <f>IFERROR(Vertailu[[#This Row],[Vaikuttavuusrahoituksen muutos, €]]/Vertailu[[#This Row],[Vaikuttavuusrahoitus 2023, €]],0)</f>
        <v>-3.9858616396941132E-2</v>
      </c>
    </row>
    <row r="21" spans="1:37" s="1" customFormat="1" ht="12.75" customHeight="1" x14ac:dyDescent="0.25">
      <c r="A21" s="3" t="s">
        <v>307</v>
      </c>
      <c r="B21" s="151" t="s">
        <v>381</v>
      </c>
      <c r="C21" s="151" t="s">
        <v>179</v>
      </c>
      <c r="D21" s="7" t="s">
        <v>325</v>
      </c>
      <c r="E2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0.89529546758462419</v>
      </c>
      <c r="F2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0.89529546758462419</v>
      </c>
      <c r="G2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7.6542359915853897E-2</v>
      </c>
      <c r="H2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2.8162172499521899E-2</v>
      </c>
      <c r="I2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2.8162172499521899E-2</v>
      </c>
      <c r="J2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0</v>
      </c>
      <c r="K2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0</v>
      </c>
      <c r="L2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0</v>
      </c>
      <c r="M2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2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231879</v>
      </c>
      <c r="O21" s="177">
        <f>IFERROR(VLOOKUP(Vertailu[[#This Row],[Y-tunnus]],'1.2 Ohjaus-laskentataulu'!A:AT,COLUMN('1.2 Ohjaus-laskentataulu'!AF:AF),FALSE),0)</f>
        <v>261450</v>
      </c>
      <c r="P21" s="177">
        <f>IFERROR(Vertailu[[#This Row],[Rahoitus pl. hark. kor. 2024 ilman alv, €]]-Vertailu[[#This Row],[Rahoitus pl. hark. kor. 2023 ilman alv, €]],0)</f>
        <v>29571</v>
      </c>
      <c r="Q21" s="179">
        <f>IFERROR(Vertailu[[#This Row],[Muutos, € 1]]/Vertailu[[#This Row],[Rahoitus pl. hark. kor. 2023 ilman alv, €]],0)</f>
        <v>0.12752771919837502</v>
      </c>
      <c r="R21" s="182">
        <f>IFERROR(VLOOKUP(Vertailu[[#This Row],[Y-tunnus]],'Suoritepäätös 2023 oikaistu'!$AB:$AL,COLUMN('Suoritepäätös 2023 oikaistu'!J:J),FALSE),0)</f>
        <v>231879</v>
      </c>
      <c r="S21" s="183">
        <f>IFERROR(VLOOKUP(Vertailu[[#This Row],[Y-tunnus]],'1.2 Ohjaus-laskentataulu'!A:AT,COLUMN('1.2 Ohjaus-laskentataulu'!AR:AR),FALSE),0)</f>
        <v>261450</v>
      </c>
      <c r="T21" s="177">
        <f>IFERROR(Vertailu[[#This Row],[Rahoitus ml. hark. kor. 
2024 ilman alv, €]]-Vertailu[[#This Row],[Rahoitus ml. hark. kor. 
2023 ilman alv, €]],0)</f>
        <v>29571</v>
      </c>
      <c r="U21" s="181">
        <f>IFERROR(Vertailu[[#This Row],[Muutos, € 2]]/Vertailu[[#This Row],[Rahoitus ml. hark. kor. 
2023 ilman alv, €]],0)</f>
        <v>0.12752771919837502</v>
      </c>
      <c r="V2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231879</v>
      </c>
      <c r="W21" s="182">
        <f>IFERROR(VLOOKUP(Vertailu[[#This Row],[Y-tunnus]],'1.2 Ohjaus-laskentataulu'!A:AT,COLUMN('1.2 Ohjaus-laskentataulu'!AT:AT),FALSE),0)</f>
        <v>261450</v>
      </c>
      <c r="X21" s="184">
        <f>IFERROR(Vertailu[[#This Row],[Rahoitus ml. hark. kor. + alv 2024, €]]-Vertailu[[#This Row],[Rahoitus ml. hark. kor. + alv 2023, €]],0)</f>
        <v>29571</v>
      </c>
      <c r="Y21" s="179">
        <f>IFERROR(Vertailu[[#This Row],[Muutos, € 3]]/Vertailu[[#This Row],[Rahoitus ml. hark. kor. + alv 2023, €]],0)</f>
        <v>0.12752771919837502</v>
      </c>
      <c r="Z21" s="177">
        <f>IFERROR(VLOOKUP(Vertailu[[#This Row],[Y-tunnus]],'Suoritepäätös 2023 oikaistu'!$B:$N,COLUMN('Suoritepäätös 2023 oikaistu'!H:H),FALSE),0)</f>
        <v>192979</v>
      </c>
      <c r="AA21" s="177">
        <f>IFERROR(VLOOKUP(Vertailu[[#This Row],[Y-tunnus]],'1.2 Ohjaus-laskentataulu'!A:AT,COLUMN('1.2 Ohjaus-laskentataulu'!AO:AO),FALSE),0)</f>
        <v>234075</v>
      </c>
      <c r="AB21" s="177">
        <f>Vertailu[[#This Row],[Perusrahoitus 2024, €]]-Vertailu[[#This Row],[Perusrahoitus 2023, €]]</f>
        <v>41096</v>
      </c>
      <c r="AC21" s="179">
        <f>IFERROR(Vertailu[[#This Row],[Perusrahoituksen muutos, €]]/Vertailu[[#This Row],[Perusrahoitus 2023, €]],0)</f>
        <v>0.21295581384502976</v>
      </c>
      <c r="AD21" s="177">
        <f>IFERROR(VLOOKUP(Vertailu[[#This Row],[Y-tunnus]],'Suoritepäätös 2023 oikaistu'!$O:$Y,COLUMN('Suoritepäätös 2023 oikaistu'!D:D),FALSE),0)</f>
        <v>25089</v>
      </c>
      <c r="AE21" s="177">
        <f>IFERROR(VLOOKUP(Vertailu[[#This Row],[Y-tunnus]],'1.2 Ohjaus-laskentataulu'!A:AT,COLUMN('1.2 Ohjaus-laskentataulu'!O:O),FALSE),0)</f>
        <v>20012</v>
      </c>
      <c r="AF21" s="177">
        <f>Vertailu[[#This Row],[Suoritusrahoitus 2024, €]]-Vertailu[[#This Row],[Suoritusrahoitus 2023, €]]</f>
        <v>-5077</v>
      </c>
      <c r="AG21" s="179">
        <f>IFERROR(Vertailu[[#This Row],[Suoritusrahoituksen muutos, €]]/Vertailu[[#This Row],[Suoritusrahoitus 2023, €]],0)</f>
        <v>-0.20235959982462434</v>
      </c>
      <c r="AH21" s="177">
        <f>IFERROR(VLOOKUP(Vertailu[[#This Row],[Y-tunnus]],'Suoritepäätös 2023 oikaistu'!$AB:$AL,COLUMN('Suoritepäätös 2023 oikaistu'!I:I),FALSE),0)</f>
        <v>13811</v>
      </c>
      <c r="AI2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7363</v>
      </c>
      <c r="AJ21" s="177">
        <f>Vertailu[[#This Row],[Vaikuttavuusrahoitus 2024, €]]-Vertailu[[#This Row],[Vaikuttavuusrahoitus 2023, €]]</f>
        <v>-6448</v>
      </c>
      <c r="AK21" s="179">
        <f>IFERROR(Vertailu[[#This Row],[Vaikuttavuusrahoituksen muutos, €]]/Vertailu[[#This Row],[Vaikuttavuusrahoitus 2023, €]],0)</f>
        <v>-0.46687423068568534</v>
      </c>
    </row>
    <row r="22" spans="1:37" s="1" customFormat="1" ht="12.75" customHeight="1" x14ac:dyDescent="0.25">
      <c r="A22" s="3" t="s">
        <v>306</v>
      </c>
      <c r="B22" s="151" t="s">
        <v>128</v>
      </c>
      <c r="C22" s="151" t="s">
        <v>182</v>
      </c>
      <c r="D22" s="7" t="s">
        <v>325</v>
      </c>
      <c r="E2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0.38755458802310511</v>
      </c>
      <c r="F2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0.38755458802310511</v>
      </c>
      <c r="G2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0.29024396015238635</v>
      </c>
      <c r="H2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0.32220145182450854</v>
      </c>
      <c r="I2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0.24734651596297086</v>
      </c>
      <c r="J2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9.549124619757118E-3</v>
      </c>
      <c r="K2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6.2382180576260222E-2</v>
      </c>
      <c r="L2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1.7299900880507113E-3</v>
      </c>
      <c r="M2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1.1936405774696398E-3</v>
      </c>
      <c r="N2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450313</v>
      </c>
      <c r="O22" s="177">
        <f>IFERROR(VLOOKUP(Vertailu[[#This Row],[Y-tunnus]],'1.2 Ohjaus-laskentataulu'!A:AT,COLUMN('1.2 Ohjaus-laskentataulu'!AF:AF),FALSE),0)</f>
        <v>380349</v>
      </c>
      <c r="P22" s="177">
        <f>IFERROR(Vertailu[[#This Row],[Rahoitus pl. hark. kor. 2024 ilman alv, €]]-Vertailu[[#This Row],[Rahoitus pl. hark. kor. 2023 ilman alv, €]],0)</f>
        <v>-69964</v>
      </c>
      <c r="Q22" s="179">
        <f>IFERROR(Vertailu[[#This Row],[Muutos, € 1]]/Vertailu[[#This Row],[Rahoitus pl. hark. kor. 2023 ilman alv, €]],0)</f>
        <v>-0.15536748883554327</v>
      </c>
      <c r="R22" s="182">
        <f>IFERROR(VLOOKUP(Vertailu[[#This Row],[Y-tunnus]],'Suoritepäätös 2023 oikaistu'!$AB:$AL,COLUMN('Suoritepäätös 2023 oikaistu'!J:J),FALSE),0)</f>
        <v>450313</v>
      </c>
      <c r="S22" s="183">
        <f>IFERROR(VLOOKUP(Vertailu[[#This Row],[Y-tunnus]],'1.2 Ohjaus-laskentataulu'!A:AT,COLUMN('1.2 Ohjaus-laskentataulu'!AR:AR),FALSE),0)</f>
        <v>380349</v>
      </c>
      <c r="T22" s="177">
        <f>IFERROR(Vertailu[[#This Row],[Rahoitus ml. hark. kor. 
2024 ilman alv, €]]-Vertailu[[#This Row],[Rahoitus ml. hark. kor. 
2023 ilman alv, €]],0)</f>
        <v>-69964</v>
      </c>
      <c r="U22" s="181">
        <f>IFERROR(Vertailu[[#This Row],[Muutos, € 2]]/Vertailu[[#This Row],[Rahoitus ml. hark. kor. 
2023 ilman alv, €]],0)</f>
        <v>-0.15536748883554327</v>
      </c>
      <c r="V2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463742</v>
      </c>
      <c r="W22" s="182">
        <f>IFERROR(VLOOKUP(Vertailu[[#This Row],[Y-tunnus]],'1.2 Ohjaus-laskentataulu'!A:AT,COLUMN('1.2 Ohjaus-laskentataulu'!AT:AT),FALSE),0)</f>
        <v>392515</v>
      </c>
      <c r="X22" s="184">
        <f>IFERROR(Vertailu[[#This Row],[Rahoitus ml. hark. kor. + alv 2024, €]]-Vertailu[[#This Row],[Rahoitus ml. hark. kor. + alv 2023, €]],0)</f>
        <v>-71227</v>
      </c>
      <c r="Y22" s="179">
        <f>IFERROR(Vertailu[[#This Row],[Muutos, € 3]]/Vertailu[[#This Row],[Rahoitus ml. hark. kor. + alv 2023, €]],0)</f>
        <v>-0.15359186789206067</v>
      </c>
      <c r="Z22" s="177">
        <f>IFERROR(VLOOKUP(Vertailu[[#This Row],[Y-tunnus]],'Suoritepäätös 2023 oikaistu'!$B:$N,COLUMN('Suoritepäätös 2023 oikaistu'!H:H),FALSE),0)</f>
        <v>140349</v>
      </c>
      <c r="AA22" s="177">
        <f>IFERROR(VLOOKUP(Vertailu[[#This Row],[Y-tunnus]],'1.2 Ohjaus-laskentataulu'!A:AT,COLUMN('1.2 Ohjaus-laskentataulu'!AO:AO),FALSE),0)</f>
        <v>147406</v>
      </c>
      <c r="AB22" s="177">
        <f>Vertailu[[#This Row],[Perusrahoitus 2024, €]]-Vertailu[[#This Row],[Perusrahoitus 2023, €]]</f>
        <v>7057</v>
      </c>
      <c r="AC22" s="179">
        <f>IFERROR(Vertailu[[#This Row],[Perusrahoituksen muutos, €]]/Vertailu[[#This Row],[Perusrahoitus 2023, €]],0)</f>
        <v>5.028179751904182E-2</v>
      </c>
      <c r="AD22" s="177">
        <f>IFERROR(VLOOKUP(Vertailu[[#This Row],[Y-tunnus]],'Suoritepäätös 2023 oikaistu'!$O:$Y,COLUMN('Suoritepäätös 2023 oikaistu'!D:D),FALSE),0)</f>
        <v>140701</v>
      </c>
      <c r="AE22" s="177">
        <f>IFERROR(VLOOKUP(Vertailu[[#This Row],[Y-tunnus]],'1.2 Ohjaus-laskentataulu'!A:AT,COLUMN('1.2 Ohjaus-laskentataulu'!O:O),FALSE),0)</f>
        <v>110394</v>
      </c>
      <c r="AF22" s="177">
        <f>Vertailu[[#This Row],[Suoritusrahoitus 2024, €]]-Vertailu[[#This Row],[Suoritusrahoitus 2023, €]]</f>
        <v>-30307</v>
      </c>
      <c r="AG22" s="179">
        <f>IFERROR(Vertailu[[#This Row],[Suoritusrahoituksen muutos, €]]/Vertailu[[#This Row],[Suoritusrahoitus 2023, €]],0)</f>
        <v>-0.21540003269344213</v>
      </c>
      <c r="AH22" s="177">
        <f>IFERROR(VLOOKUP(Vertailu[[#This Row],[Y-tunnus]],'Suoritepäätös 2023 oikaistu'!$AB:$AL,COLUMN('Suoritepäätös 2023 oikaistu'!I:I),FALSE),0)</f>
        <v>169263</v>
      </c>
      <c r="AI2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122549</v>
      </c>
      <c r="AJ22" s="177">
        <f>Vertailu[[#This Row],[Vaikuttavuusrahoitus 2024, €]]-Vertailu[[#This Row],[Vaikuttavuusrahoitus 2023, €]]</f>
        <v>-46714</v>
      </c>
      <c r="AK22" s="179">
        <f>IFERROR(Vertailu[[#This Row],[Vaikuttavuusrahoituksen muutos, €]]/Vertailu[[#This Row],[Vaikuttavuusrahoitus 2023, €]],0)</f>
        <v>-0.27598471018474208</v>
      </c>
    </row>
    <row r="23" spans="1:37" s="1" customFormat="1" ht="12.75" customHeight="1" x14ac:dyDescent="0.25">
      <c r="A23" s="3" t="s">
        <v>305</v>
      </c>
      <c r="B23" s="151" t="s">
        <v>26</v>
      </c>
      <c r="C23" s="151" t="s">
        <v>180</v>
      </c>
      <c r="D23" s="7" t="s">
        <v>325</v>
      </c>
      <c r="E2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0.64167991186231388</v>
      </c>
      <c r="F2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0.64505735231634997</v>
      </c>
      <c r="G2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0.22602574555309302</v>
      </c>
      <c r="H2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0.12891690213055698</v>
      </c>
      <c r="I2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7.1837482969256516E-2</v>
      </c>
      <c r="J2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4.9520031937076931E-3</v>
      </c>
      <c r="K2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1.7363421374199463E-2</v>
      </c>
      <c r="L2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2.6983722763475819E-2</v>
      </c>
      <c r="M2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7.7802718299175028E-3</v>
      </c>
      <c r="N2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1358246</v>
      </c>
      <c r="O23" s="177">
        <f>IFERROR(VLOOKUP(Vertailu[[#This Row],[Y-tunnus]],'1.2 Ohjaus-laskentataulu'!A:AT,COLUMN('1.2 Ohjaus-laskentataulu'!AF:AF),FALSE),0)</f>
        <v>1475411</v>
      </c>
      <c r="P23" s="177">
        <f>IFERROR(Vertailu[[#This Row],[Rahoitus pl. hark. kor. 2024 ilman alv, €]]-Vertailu[[#This Row],[Rahoitus pl. hark. kor. 2023 ilman alv, €]],0)</f>
        <v>117165</v>
      </c>
      <c r="Q23" s="179">
        <f>IFERROR(Vertailu[[#This Row],[Muutos, € 1]]/Vertailu[[#This Row],[Rahoitus pl. hark. kor. 2023 ilman alv, €]],0)</f>
        <v>8.6261987887319383E-2</v>
      </c>
      <c r="R23" s="182">
        <f>IFERROR(VLOOKUP(Vertailu[[#This Row],[Y-tunnus]],'Suoritepäätös 2023 oikaistu'!$AB:$AL,COLUMN('Suoritepäätös 2023 oikaistu'!J:J),FALSE),0)</f>
        <v>1363246</v>
      </c>
      <c r="S23" s="183">
        <f>IFERROR(VLOOKUP(Vertailu[[#This Row],[Y-tunnus]],'1.2 Ohjaus-laskentataulu'!A:AT,COLUMN('1.2 Ohjaus-laskentataulu'!AR:AR),FALSE),0)</f>
        <v>1480411</v>
      </c>
      <c r="T23" s="177">
        <f>IFERROR(Vertailu[[#This Row],[Rahoitus ml. hark. kor. 
2024 ilman alv, €]]-Vertailu[[#This Row],[Rahoitus ml. hark. kor. 
2023 ilman alv, €]],0)</f>
        <v>117165</v>
      </c>
      <c r="U23" s="181">
        <f>IFERROR(Vertailu[[#This Row],[Muutos, € 2]]/Vertailu[[#This Row],[Rahoitus ml. hark. kor. 
2023 ilman alv, €]],0)</f>
        <v>8.5945603361388914E-2</v>
      </c>
      <c r="V2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1428686</v>
      </c>
      <c r="W23" s="182">
        <f>IFERROR(VLOOKUP(Vertailu[[#This Row],[Y-tunnus]],'1.2 Ohjaus-laskentataulu'!A:AT,COLUMN('1.2 Ohjaus-laskentataulu'!AT:AT),FALSE),0)</f>
        <v>1547850</v>
      </c>
      <c r="X23" s="184">
        <f>IFERROR(Vertailu[[#This Row],[Rahoitus ml. hark. kor. + alv 2024, €]]-Vertailu[[#This Row],[Rahoitus ml. hark. kor. + alv 2023, €]],0)</f>
        <v>119164</v>
      </c>
      <c r="Y23" s="179">
        <f>IFERROR(Vertailu[[#This Row],[Muutos, € 3]]/Vertailu[[#This Row],[Rahoitus ml. hark. kor. + alv 2023, €]],0)</f>
        <v>8.3408110669524305E-2</v>
      </c>
      <c r="Z23" s="177">
        <f>IFERROR(VLOOKUP(Vertailu[[#This Row],[Y-tunnus]],'Suoritepäätös 2023 oikaistu'!$B:$N,COLUMN('Suoritepäätös 2023 oikaistu'!H:H),FALSE),0)</f>
        <v>914017</v>
      </c>
      <c r="AA23" s="177">
        <f>IFERROR(VLOOKUP(Vertailu[[#This Row],[Y-tunnus]],'1.2 Ohjaus-laskentataulu'!A:AT,COLUMN('1.2 Ohjaus-laskentataulu'!AO:AO),FALSE),0)</f>
        <v>954950</v>
      </c>
      <c r="AB23" s="177">
        <f>Vertailu[[#This Row],[Perusrahoitus 2024, €]]-Vertailu[[#This Row],[Perusrahoitus 2023, €]]</f>
        <v>40933</v>
      </c>
      <c r="AC23" s="179">
        <f>IFERROR(Vertailu[[#This Row],[Perusrahoituksen muutos, €]]/Vertailu[[#This Row],[Perusrahoitus 2023, €]],0)</f>
        <v>4.4783630939030677E-2</v>
      </c>
      <c r="AD23" s="177">
        <f>IFERROR(VLOOKUP(Vertailu[[#This Row],[Y-tunnus]],'Suoritepäätös 2023 oikaistu'!$O:$Y,COLUMN('Suoritepäätös 2023 oikaistu'!D:D),FALSE),0)</f>
        <v>255187</v>
      </c>
      <c r="AE23" s="177">
        <f>IFERROR(VLOOKUP(Vertailu[[#This Row],[Y-tunnus]],'1.2 Ohjaus-laskentataulu'!A:AT,COLUMN('1.2 Ohjaus-laskentataulu'!O:O),FALSE),0)</f>
        <v>334611</v>
      </c>
      <c r="AF23" s="177">
        <f>Vertailu[[#This Row],[Suoritusrahoitus 2024, €]]-Vertailu[[#This Row],[Suoritusrahoitus 2023, €]]</f>
        <v>79424</v>
      </c>
      <c r="AG23" s="179">
        <f>IFERROR(Vertailu[[#This Row],[Suoritusrahoituksen muutos, €]]/Vertailu[[#This Row],[Suoritusrahoitus 2023, €]],0)</f>
        <v>0.31123842515488642</v>
      </c>
      <c r="AH23" s="177">
        <f>IFERROR(VLOOKUP(Vertailu[[#This Row],[Y-tunnus]],'Suoritepäätös 2023 oikaistu'!$AB:$AL,COLUMN('Suoritepäätös 2023 oikaistu'!I:I),FALSE),0)</f>
        <v>194042</v>
      </c>
      <c r="AI2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190850</v>
      </c>
      <c r="AJ23" s="177">
        <f>Vertailu[[#This Row],[Vaikuttavuusrahoitus 2024, €]]-Vertailu[[#This Row],[Vaikuttavuusrahoitus 2023, €]]</f>
        <v>-3192</v>
      </c>
      <c r="AK23" s="179">
        <f>IFERROR(Vertailu[[#This Row],[Vaikuttavuusrahoituksen muutos, €]]/Vertailu[[#This Row],[Vaikuttavuusrahoitus 2023, €]],0)</f>
        <v>-1.6450046897063524E-2</v>
      </c>
    </row>
    <row r="24" spans="1:37" s="1" customFormat="1" ht="12.75" customHeight="1" x14ac:dyDescent="0.25">
      <c r="A24" s="3" t="s">
        <v>304</v>
      </c>
      <c r="B24" s="151" t="s">
        <v>27</v>
      </c>
      <c r="C24" s="151" t="s">
        <v>187</v>
      </c>
      <c r="D24" s="7" t="s">
        <v>325</v>
      </c>
      <c r="E2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0.67295898018617317</v>
      </c>
      <c r="F2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0.67819682637629464</v>
      </c>
      <c r="G2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0.24391525632053299</v>
      </c>
      <c r="H2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7.7887917303172363E-2</v>
      </c>
      <c r="I2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4.8856672711903096E-2</v>
      </c>
      <c r="J2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2.0819693925415326E-3</v>
      </c>
      <c r="K2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8.834260185972543E-3</v>
      </c>
      <c r="L2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1.5794120819443085E-2</v>
      </c>
      <c r="M2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2.3208941933121124E-3</v>
      </c>
      <c r="N2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3206232</v>
      </c>
      <c r="O24" s="177">
        <f>IFERROR(VLOOKUP(Vertailu[[#This Row],[Y-tunnus]],'1.2 Ohjaus-laskentataulu'!A:AT,COLUMN('1.2 Ohjaus-laskentataulu'!AF:AF),FALSE),0)</f>
        <v>3172583</v>
      </c>
      <c r="P24" s="177">
        <f>IFERROR(Vertailu[[#This Row],[Rahoitus pl. hark. kor. 2024 ilman alv, €]]-Vertailu[[#This Row],[Rahoitus pl. hark. kor. 2023 ilman alv, €]],0)</f>
        <v>-33649</v>
      </c>
      <c r="Q24" s="179">
        <f>IFERROR(Vertailu[[#This Row],[Muutos, € 1]]/Vertailu[[#This Row],[Rahoitus pl. hark. kor. 2023 ilman alv, €]],0)</f>
        <v>-1.0494873733404195E-2</v>
      </c>
      <c r="R24" s="182">
        <f>IFERROR(VLOOKUP(Vertailu[[#This Row],[Y-tunnus]],'Suoritepäätös 2023 oikaistu'!$AB:$AL,COLUMN('Suoritepäätös 2023 oikaistu'!J:J),FALSE),0)</f>
        <v>3211232</v>
      </c>
      <c r="S24" s="183">
        <f>IFERROR(VLOOKUP(Vertailu[[#This Row],[Y-tunnus]],'1.2 Ohjaus-laskentataulu'!A:AT,COLUMN('1.2 Ohjaus-laskentataulu'!AR:AR),FALSE),0)</f>
        <v>3189288</v>
      </c>
      <c r="T24" s="177">
        <f>IFERROR(Vertailu[[#This Row],[Rahoitus ml. hark. kor. 
2024 ilman alv, €]]-Vertailu[[#This Row],[Rahoitus ml. hark. kor. 
2023 ilman alv, €]],0)</f>
        <v>-21944</v>
      </c>
      <c r="U24" s="181">
        <f>IFERROR(Vertailu[[#This Row],[Muutos, € 2]]/Vertailu[[#This Row],[Rahoitus ml. hark. kor. 
2023 ilman alv, €]],0)</f>
        <v>-6.8335143645803231E-3</v>
      </c>
      <c r="V2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3471173</v>
      </c>
      <c r="W24" s="182">
        <f>IFERROR(VLOOKUP(Vertailu[[#This Row],[Y-tunnus]],'1.2 Ohjaus-laskentataulu'!A:AT,COLUMN('1.2 Ohjaus-laskentataulu'!AT:AT),FALSE),0)</f>
        <v>3500977</v>
      </c>
      <c r="X24" s="184">
        <f>IFERROR(Vertailu[[#This Row],[Rahoitus ml. hark. kor. + alv 2024, €]]-Vertailu[[#This Row],[Rahoitus ml. hark. kor. + alv 2023, €]],0)</f>
        <v>29804</v>
      </c>
      <c r="Y24" s="179">
        <f>IFERROR(Vertailu[[#This Row],[Muutos, € 3]]/Vertailu[[#This Row],[Rahoitus ml. hark. kor. + alv 2023, €]],0)</f>
        <v>8.5861465274130674E-3</v>
      </c>
      <c r="Z24" s="177">
        <f>IFERROR(VLOOKUP(Vertailu[[#This Row],[Y-tunnus]],'Suoritepäätös 2023 oikaistu'!$B:$N,COLUMN('Suoritepäätös 2023 oikaistu'!H:H),FALSE),0)</f>
        <v>2476693</v>
      </c>
      <c r="AA24" s="177">
        <f>IFERROR(VLOOKUP(Vertailu[[#This Row],[Y-tunnus]],'1.2 Ohjaus-laskentataulu'!A:AT,COLUMN('1.2 Ohjaus-laskentataulu'!AO:AO),FALSE),0)</f>
        <v>2162965</v>
      </c>
      <c r="AB24" s="177">
        <f>Vertailu[[#This Row],[Perusrahoitus 2024, €]]-Vertailu[[#This Row],[Perusrahoitus 2023, €]]</f>
        <v>-313728</v>
      </c>
      <c r="AC24" s="179">
        <f>IFERROR(Vertailu[[#This Row],[Perusrahoituksen muutos, €]]/Vertailu[[#This Row],[Perusrahoitus 2023, €]],0)</f>
        <v>-0.12667213901763361</v>
      </c>
      <c r="AD24" s="177">
        <f>IFERROR(VLOOKUP(Vertailu[[#This Row],[Y-tunnus]],'Suoritepäätös 2023 oikaistu'!$O:$Y,COLUMN('Suoritepäätös 2023 oikaistu'!D:D),FALSE),0)</f>
        <v>509794</v>
      </c>
      <c r="AE24" s="177">
        <f>IFERROR(VLOOKUP(Vertailu[[#This Row],[Y-tunnus]],'1.2 Ohjaus-laskentataulu'!A:AT,COLUMN('1.2 Ohjaus-laskentataulu'!O:O),FALSE),0)</f>
        <v>777916</v>
      </c>
      <c r="AF24" s="177">
        <f>Vertailu[[#This Row],[Suoritusrahoitus 2024, €]]-Vertailu[[#This Row],[Suoritusrahoitus 2023, €]]</f>
        <v>268122</v>
      </c>
      <c r="AG24" s="179">
        <f>IFERROR(Vertailu[[#This Row],[Suoritusrahoituksen muutos, €]]/Vertailu[[#This Row],[Suoritusrahoitus 2023, €]],0)</f>
        <v>0.52594185102217761</v>
      </c>
      <c r="AH24" s="177">
        <f>IFERROR(VLOOKUP(Vertailu[[#This Row],[Y-tunnus]],'Suoritepäätös 2023 oikaistu'!$AB:$AL,COLUMN('Suoritepäätös 2023 oikaistu'!I:I),FALSE),0)</f>
        <v>224745</v>
      </c>
      <c r="AI2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248407</v>
      </c>
      <c r="AJ24" s="177">
        <f>Vertailu[[#This Row],[Vaikuttavuusrahoitus 2024, €]]-Vertailu[[#This Row],[Vaikuttavuusrahoitus 2023, €]]</f>
        <v>23662</v>
      </c>
      <c r="AK24" s="179">
        <f>IFERROR(Vertailu[[#This Row],[Vaikuttavuusrahoituksen muutos, €]]/Vertailu[[#This Row],[Vaikuttavuusrahoitus 2023, €]],0)</f>
        <v>0.10528376604596321</v>
      </c>
    </row>
    <row r="25" spans="1:37" s="1" customFormat="1" ht="12.75" customHeight="1" x14ac:dyDescent="0.25">
      <c r="A25" s="3" t="s">
        <v>303</v>
      </c>
      <c r="B25" s="151" t="s">
        <v>143</v>
      </c>
      <c r="C25" s="151" t="s">
        <v>173</v>
      </c>
      <c r="D25" s="7" t="s">
        <v>325</v>
      </c>
      <c r="E2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0.61011979215794032</v>
      </c>
      <c r="F2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0.61011979215794032</v>
      </c>
      <c r="G2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0.2264198918138608</v>
      </c>
      <c r="H2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0.16346031602819894</v>
      </c>
      <c r="I2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8.2689807618961692E-2</v>
      </c>
      <c r="J2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9.2438043135019427E-3</v>
      </c>
      <c r="K2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2.9913180418226781E-2</v>
      </c>
      <c r="L2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2.0911339039284119E-2</v>
      </c>
      <c r="M2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2.0702184638224402E-2</v>
      </c>
      <c r="N2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203170</v>
      </c>
      <c r="O25" s="177">
        <f>IFERROR(VLOOKUP(Vertailu[[#This Row],[Y-tunnus]],'1.2 Ohjaus-laskentataulu'!A:AT,COLUMN('1.2 Ohjaus-laskentataulu'!AF:AF),FALSE),0)</f>
        <v>243839</v>
      </c>
      <c r="P25" s="177">
        <f>IFERROR(Vertailu[[#This Row],[Rahoitus pl. hark. kor. 2024 ilman alv, €]]-Vertailu[[#This Row],[Rahoitus pl. hark. kor. 2023 ilman alv, €]],0)</f>
        <v>40669</v>
      </c>
      <c r="Q25" s="179">
        <f>IFERROR(Vertailu[[#This Row],[Muutos, € 1]]/Vertailu[[#This Row],[Rahoitus pl. hark. kor. 2023 ilman alv, €]],0)</f>
        <v>0.20017226952798151</v>
      </c>
      <c r="R25" s="182">
        <f>IFERROR(VLOOKUP(Vertailu[[#This Row],[Y-tunnus]],'Suoritepäätös 2023 oikaistu'!$AB:$AL,COLUMN('Suoritepäätös 2023 oikaistu'!J:J),FALSE),0)</f>
        <v>203170</v>
      </c>
      <c r="S25" s="183">
        <f>IFERROR(VLOOKUP(Vertailu[[#This Row],[Y-tunnus]],'1.2 Ohjaus-laskentataulu'!A:AT,COLUMN('1.2 Ohjaus-laskentataulu'!AR:AR),FALSE),0)</f>
        <v>243839</v>
      </c>
      <c r="T25" s="177">
        <f>IFERROR(Vertailu[[#This Row],[Rahoitus ml. hark. kor. 
2024 ilman alv, €]]-Vertailu[[#This Row],[Rahoitus ml. hark. kor. 
2023 ilman alv, €]],0)</f>
        <v>40669</v>
      </c>
      <c r="U25" s="181">
        <f>IFERROR(Vertailu[[#This Row],[Muutos, € 2]]/Vertailu[[#This Row],[Rahoitus ml. hark. kor. 
2023 ilman alv, €]],0)</f>
        <v>0.20017226952798151</v>
      </c>
      <c r="V2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216163</v>
      </c>
      <c r="W25" s="182">
        <f>IFERROR(VLOOKUP(Vertailu[[#This Row],[Y-tunnus]],'1.2 Ohjaus-laskentataulu'!A:AT,COLUMN('1.2 Ohjaus-laskentataulu'!AT:AT),FALSE),0)</f>
        <v>248289</v>
      </c>
      <c r="X25" s="184">
        <f>IFERROR(Vertailu[[#This Row],[Rahoitus ml. hark. kor. + alv 2024, €]]-Vertailu[[#This Row],[Rahoitus ml. hark. kor. + alv 2023, €]],0)</f>
        <v>32126</v>
      </c>
      <c r="Y25" s="179">
        <f>IFERROR(Vertailu[[#This Row],[Muutos, € 3]]/Vertailu[[#This Row],[Rahoitus ml. hark. kor. + alv 2023, €]],0)</f>
        <v>0.14861932893233348</v>
      </c>
      <c r="Z25" s="177">
        <f>IFERROR(VLOOKUP(Vertailu[[#This Row],[Y-tunnus]],'Suoritepäätös 2023 oikaistu'!$B:$N,COLUMN('Suoritepäätös 2023 oikaistu'!H:H),FALSE),0)</f>
        <v>131902</v>
      </c>
      <c r="AA25" s="177">
        <f>IFERROR(VLOOKUP(Vertailu[[#This Row],[Y-tunnus]],'1.2 Ohjaus-laskentataulu'!A:AT,COLUMN('1.2 Ohjaus-laskentataulu'!AO:AO),FALSE),0)</f>
        <v>148771</v>
      </c>
      <c r="AB25" s="177">
        <f>Vertailu[[#This Row],[Perusrahoitus 2024, €]]-Vertailu[[#This Row],[Perusrahoitus 2023, €]]</f>
        <v>16869</v>
      </c>
      <c r="AC25" s="179">
        <f>IFERROR(Vertailu[[#This Row],[Perusrahoituksen muutos, €]]/Vertailu[[#This Row],[Perusrahoitus 2023, €]],0)</f>
        <v>0.12789040348137254</v>
      </c>
      <c r="AD25" s="177">
        <f>IFERROR(VLOOKUP(Vertailu[[#This Row],[Y-tunnus]],'Suoritepäätös 2023 oikaistu'!$O:$Y,COLUMN('Suoritepäätös 2023 oikaistu'!D:D),FALSE),0)</f>
        <v>45654</v>
      </c>
      <c r="AE25" s="177">
        <f>IFERROR(VLOOKUP(Vertailu[[#This Row],[Y-tunnus]],'1.2 Ohjaus-laskentataulu'!A:AT,COLUMN('1.2 Ohjaus-laskentataulu'!O:O),FALSE),0)</f>
        <v>55210</v>
      </c>
      <c r="AF25" s="177">
        <f>Vertailu[[#This Row],[Suoritusrahoitus 2024, €]]-Vertailu[[#This Row],[Suoritusrahoitus 2023, €]]</f>
        <v>9556</v>
      </c>
      <c r="AG25" s="179">
        <f>IFERROR(Vertailu[[#This Row],[Suoritusrahoituksen muutos, €]]/Vertailu[[#This Row],[Suoritusrahoitus 2023, €]],0)</f>
        <v>0.20931353222061594</v>
      </c>
      <c r="AH25" s="177">
        <f>IFERROR(VLOOKUP(Vertailu[[#This Row],[Y-tunnus]],'Suoritepäätös 2023 oikaistu'!$AB:$AL,COLUMN('Suoritepäätös 2023 oikaistu'!I:I),FALSE),0)</f>
        <v>25614</v>
      </c>
      <c r="AI2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39858</v>
      </c>
      <c r="AJ25" s="177">
        <f>Vertailu[[#This Row],[Vaikuttavuusrahoitus 2024, €]]-Vertailu[[#This Row],[Vaikuttavuusrahoitus 2023, €]]</f>
        <v>14244</v>
      </c>
      <c r="AK25" s="179">
        <f>IFERROR(Vertailu[[#This Row],[Vaikuttavuusrahoituksen muutos, €]]/Vertailu[[#This Row],[Vaikuttavuusrahoitus 2023, €]],0)</f>
        <v>0.5561021316467557</v>
      </c>
    </row>
    <row r="26" spans="1:37" s="1" customFormat="1" ht="12.75" customHeight="1" x14ac:dyDescent="0.25">
      <c r="A26" s="3" t="s">
        <v>302</v>
      </c>
      <c r="B26" s="151" t="s">
        <v>28</v>
      </c>
      <c r="C26" s="151" t="s">
        <v>173</v>
      </c>
      <c r="D26" s="7" t="s">
        <v>326</v>
      </c>
      <c r="E2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0.73189354084353808</v>
      </c>
      <c r="F2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0.73412909059031339</v>
      </c>
      <c r="G2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0.17623726800861528</v>
      </c>
      <c r="H2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8.9633641401071384E-2</v>
      </c>
      <c r="I2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7.0014314419719878E-2</v>
      </c>
      <c r="J2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2.7344803223183938E-3</v>
      </c>
      <c r="K2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7.4909049144363717E-3</v>
      </c>
      <c r="L2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7.804493855159347E-3</v>
      </c>
      <c r="M2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1.5894478894373986E-3</v>
      </c>
      <c r="N2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98840800</v>
      </c>
      <c r="O26" s="177">
        <f>IFERROR(VLOOKUP(Vertailu[[#This Row],[Y-tunnus]],'1.2 Ohjaus-laskentataulu'!A:AT,COLUMN('1.2 Ohjaus-laskentataulu'!AF:AF),FALSE),0)</f>
        <v>102128102</v>
      </c>
      <c r="P26" s="177">
        <f>IFERROR(Vertailu[[#This Row],[Rahoitus pl. hark. kor. 2024 ilman alv, €]]-Vertailu[[#This Row],[Rahoitus pl. hark. kor. 2023 ilman alv, €]],0)</f>
        <v>3287302</v>
      </c>
      <c r="Q26" s="179">
        <f>IFERROR(Vertailu[[#This Row],[Muutos, € 1]]/Vertailu[[#This Row],[Rahoitus pl. hark. kor. 2023 ilman alv, €]],0)</f>
        <v>3.3258553148092687E-2</v>
      </c>
      <c r="R26" s="182">
        <f>IFERROR(VLOOKUP(Vertailu[[#This Row],[Y-tunnus]],'Suoritepäätös 2023 oikaistu'!$AB:$AL,COLUMN('Suoritepäätös 2023 oikaistu'!J:J),FALSE),0)</f>
        <v>99012800</v>
      </c>
      <c r="S26" s="183">
        <f>IFERROR(VLOOKUP(Vertailu[[#This Row],[Y-tunnus]],'1.2 Ohjaus-laskentataulu'!A:AT,COLUMN('1.2 Ohjaus-laskentataulu'!AR:AR),FALSE),0)</f>
        <v>102356926</v>
      </c>
      <c r="T26" s="177">
        <f>IFERROR(Vertailu[[#This Row],[Rahoitus ml. hark. kor. 
2024 ilman alv, €]]-Vertailu[[#This Row],[Rahoitus ml. hark. kor. 
2023 ilman alv, €]],0)</f>
        <v>3344126</v>
      </c>
      <c r="U26" s="181">
        <f>IFERROR(Vertailu[[#This Row],[Muutos, € 2]]/Vertailu[[#This Row],[Rahoitus ml. hark. kor. 
2023 ilman alv, €]],0)</f>
        <v>3.3774683677261927E-2</v>
      </c>
      <c r="V2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99012800</v>
      </c>
      <c r="W26" s="182">
        <f>IFERROR(VLOOKUP(Vertailu[[#This Row],[Y-tunnus]],'1.2 Ohjaus-laskentataulu'!A:AT,COLUMN('1.2 Ohjaus-laskentataulu'!AT:AT),FALSE),0)</f>
        <v>102356926</v>
      </c>
      <c r="X26" s="184">
        <f>IFERROR(Vertailu[[#This Row],[Rahoitus ml. hark. kor. + alv 2024, €]]-Vertailu[[#This Row],[Rahoitus ml. hark. kor. + alv 2023, €]],0)</f>
        <v>3344126</v>
      </c>
      <c r="Y26" s="179">
        <f>IFERROR(Vertailu[[#This Row],[Muutos, € 3]]/Vertailu[[#This Row],[Rahoitus ml. hark. kor. + alv 2023, €]],0)</f>
        <v>3.3774683677261927E-2</v>
      </c>
      <c r="Z26" s="177">
        <f>IFERROR(VLOOKUP(Vertailu[[#This Row],[Y-tunnus]],'Suoritepäätös 2023 oikaistu'!$B:$N,COLUMN('Suoritepäätös 2023 oikaistu'!H:H),FALSE),0)</f>
        <v>71085042</v>
      </c>
      <c r="AA26" s="177">
        <f>IFERROR(VLOOKUP(Vertailu[[#This Row],[Y-tunnus]],'1.2 Ohjaus-laskentataulu'!A:AT,COLUMN('1.2 Ohjaus-laskentataulu'!AO:AO),FALSE),0)</f>
        <v>75143197</v>
      </c>
      <c r="AB26" s="177">
        <f>Vertailu[[#This Row],[Perusrahoitus 2024, €]]-Vertailu[[#This Row],[Perusrahoitus 2023, €]]</f>
        <v>4058155</v>
      </c>
      <c r="AC26" s="179">
        <f>IFERROR(Vertailu[[#This Row],[Perusrahoituksen muutos, €]]/Vertailu[[#This Row],[Perusrahoitus 2023, €]],0)</f>
        <v>5.7088733238703018E-2</v>
      </c>
      <c r="AD26" s="177">
        <f>IFERROR(VLOOKUP(Vertailu[[#This Row],[Y-tunnus]],'Suoritepäätös 2023 oikaistu'!$O:$Y,COLUMN('Suoritepäätös 2023 oikaistu'!D:D),FALSE),0)</f>
        <v>18320713</v>
      </c>
      <c r="AE26" s="177">
        <f>IFERROR(VLOOKUP(Vertailu[[#This Row],[Y-tunnus]],'1.2 Ohjaus-laskentataulu'!A:AT,COLUMN('1.2 Ohjaus-laskentataulu'!O:O),FALSE),0)</f>
        <v>18039105</v>
      </c>
      <c r="AF26" s="177">
        <f>Vertailu[[#This Row],[Suoritusrahoitus 2024, €]]-Vertailu[[#This Row],[Suoritusrahoitus 2023, €]]</f>
        <v>-281608</v>
      </c>
      <c r="AG26" s="179">
        <f>IFERROR(Vertailu[[#This Row],[Suoritusrahoituksen muutos, €]]/Vertailu[[#This Row],[Suoritusrahoitus 2023, €]],0)</f>
        <v>-1.5371017492605228E-2</v>
      </c>
      <c r="AH26" s="177">
        <f>IFERROR(VLOOKUP(Vertailu[[#This Row],[Y-tunnus]],'Suoritepäätös 2023 oikaistu'!$AB:$AL,COLUMN('Suoritepäätös 2023 oikaistu'!I:I),FALSE),0)</f>
        <v>9607045</v>
      </c>
      <c r="AI2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9174624</v>
      </c>
      <c r="AJ26" s="177">
        <f>Vertailu[[#This Row],[Vaikuttavuusrahoitus 2024, €]]-Vertailu[[#This Row],[Vaikuttavuusrahoitus 2023, €]]</f>
        <v>-432421</v>
      </c>
      <c r="AK26" s="179">
        <f>IFERROR(Vertailu[[#This Row],[Vaikuttavuusrahoituksen muutos, €]]/Vertailu[[#This Row],[Vaikuttavuusrahoitus 2023, €]],0)</f>
        <v>-4.5010822786819463E-2</v>
      </c>
    </row>
    <row r="27" spans="1:37" s="1" customFormat="1" ht="12.75" customHeight="1" x14ac:dyDescent="0.25">
      <c r="A27" s="3" t="s">
        <v>299</v>
      </c>
      <c r="B27" s="151" t="s">
        <v>29</v>
      </c>
      <c r="C27" s="151" t="s">
        <v>173</v>
      </c>
      <c r="D27" s="7" t="s">
        <v>325</v>
      </c>
      <c r="E2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0.54619482421831622</v>
      </c>
      <c r="F2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0.65279108997346647</v>
      </c>
      <c r="G2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0.25012902589667446</v>
      </c>
      <c r="H2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9.7079884129859129E-2</v>
      </c>
      <c r="I2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8.0021816702391224E-2</v>
      </c>
      <c r="J2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3.7139915593523568E-3</v>
      </c>
      <c r="K2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7.515036735738086E-3</v>
      </c>
      <c r="L2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2.9527165614176591E-3</v>
      </c>
      <c r="M2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2.8763225709598017E-3</v>
      </c>
      <c r="N2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949565</v>
      </c>
      <c r="O27" s="177">
        <f>IFERROR(VLOOKUP(Vertailu[[#This Row],[Y-tunnus]],'1.2 Ohjaus-laskentataulu'!A:AT,COLUMN('1.2 Ohjaus-laskentataulu'!AF:AF),FALSE),0)</f>
        <v>1005743</v>
      </c>
      <c r="P27" s="177">
        <f>IFERROR(Vertailu[[#This Row],[Rahoitus pl. hark. kor. 2024 ilman alv, €]]-Vertailu[[#This Row],[Rahoitus pl. hark. kor. 2023 ilman alv, €]],0)</f>
        <v>56178</v>
      </c>
      <c r="Q27" s="179">
        <f>IFERROR(Vertailu[[#This Row],[Muutos, € 1]]/Vertailu[[#This Row],[Rahoitus pl. hark. kor. 2023 ilman alv, €]],0)</f>
        <v>5.9161826731187438E-2</v>
      </c>
      <c r="R27" s="182">
        <f>IFERROR(VLOOKUP(Vertailu[[#This Row],[Y-tunnus]],'Suoritepäätös 2023 oikaistu'!$AB:$AL,COLUMN('Suoritepäätös 2023 oikaistu'!J:J),FALSE),0)</f>
        <v>949565</v>
      </c>
      <c r="S27" s="183">
        <f>IFERROR(VLOOKUP(Vertailu[[#This Row],[Y-tunnus]],'1.2 Ohjaus-laskentataulu'!A:AT,COLUMN('1.2 Ohjaus-laskentataulu'!AR:AR),FALSE),0)</f>
        <v>1125743</v>
      </c>
      <c r="T27" s="177">
        <f>IFERROR(Vertailu[[#This Row],[Rahoitus ml. hark. kor. 
2024 ilman alv, €]]-Vertailu[[#This Row],[Rahoitus ml. hark. kor. 
2023 ilman alv, €]],0)</f>
        <v>176178</v>
      </c>
      <c r="U27" s="181">
        <f>IFERROR(Vertailu[[#This Row],[Muutos, € 2]]/Vertailu[[#This Row],[Rahoitus ml. hark. kor. 
2023 ilman alv, €]],0)</f>
        <v>0.18553548203651146</v>
      </c>
      <c r="V2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977659</v>
      </c>
      <c r="W27" s="182">
        <f>IFERROR(VLOOKUP(Vertailu[[#This Row],[Y-tunnus]],'1.2 Ohjaus-laskentataulu'!A:AT,COLUMN('1.2 Ohjaus-laskentataulu'!AT:AT),FALSE),0)</f>
        <v>1153307</v>
      </c>
      <c r="X27" s="184">
        <f>IFERROR(Vertailu[[#This Row],[Rahoitus ml. hark. kor. + alv 2024, €]]-Vertailu[[#This Row],[Rahoitus ml. hark. kor. + alv 2023, €]],0)</f>
        <v>175648</v>
      </c>
      <c r="Y27" s="179">
        <f>IFERROR(Vertailu[[#This Row],[Muutos, € 3]]/Vertailu[[#This Row],[Rahoitus ml. hark. kor. + alv 2023, €]],0)</f>
        <v>0.17966182482849338</v>
      </c>
      <c r="Z27" s="177">
        <f>IFERROR(VLOOKUP(Vertailu[[#This Row],[Y-tunnus]],'Suoritepäätös 2023 oikaistu'!$B:$N,COLUMN('Suoritepäätös 2023 oikaistu'!H:H),FALSE),0)</f>
        <v>580237</v>
      </c>
      <c r="AA27" s="177">
        <f>IFERROR(VLOOKUP(Vertailu[[#This Row],[Y-tunnus]],'1.2 Ohjaus-laskentataulu'!A:AT,COLUMN('1.2 Ohjaus-laskentataulu'!AO:AO),FALSE),0)</f>
        <v>734875</v>
      </c>
      <c r="AB27" s="177">
        <f>Vertailu[[#This Row],[Perusrahoitus 2024, €]]-Vertailu[[#This Row],[Perusrahoitus 2023, €]]</f>
        <v>154638</v>
      </c>
      <c r="AC27" s="179">
        <f>IFERROR(Vertailu[[#This Row],[Perusrahoituksen muutos, €]]/Vertailu[[#This Row],[Perusrahoitus 2023, €]],0)</f>
        <v>0.26650834055739292</v>
      </c>
      <c r="AD27" s="177">
        <f>IFERROR(VLOOKUP(Vertailu[[#This Row],[Y-tunnus]],'Suoritepäätös 2023 oikaistu'!$O:$Y,COLUMN('Suoritepäätös 2023 oikaistu'!D:D),FALSE),0)</f>
        <v>270443</v>
      </c>
      <c r="AE27" s="177">
        <f>IFERROR(VLOOKUP(Vertailu[[#This Row],[Y-tunnus]],'1.2 Ohjaus-laskentataulu'!A:AT,COLUMN('1.2 Ohjaus-laskentataulu'!O:O),FALSE),0)</f>
        <v>281581</v>
      </c>
      <c r="AF27" s="177">
        <f>Vertailu[[#This Row],[Suoritusrahoitus 2024, €]]-Vertailu[[#This Row],[Suoritusrahoitus 2023, €]]</f>
        <v>11138</v>
      </c>
      <c r="AG27" s="179">
        <f>IFERROR(Vertailu[[#This Row],[Suoritusrahoituksen muutos, €]]/Vertailu[[#This Row],[Suoritusrahoitus 2023, €]],0)</f>
        <v>4.1184279127209802E-2</v>
      </c>
      <c r="AH27" s="177">
        <f>IFERROR(VLOOKUP(Vertailu[[#This Row],[Y-tunnus]],'Suoritepäätös 2023 oikaistu'!$AB:$AL,COLUMN('Suoritepäätös 2023 oikaistu'!I:I),FALSE),0)</f>
        <v>98885</v>
      </c>
      <c r="AI2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109287</v>
      </c>
      <c r="AJ27" s="177">
        <f>Vertailu[[#This Row],[Vaikuttavuusrahoitus 2024, €]]-Vertailu[[#This Row],[Vaikuttavuusrahoitus 2023, €]]</f>
        <v>10402</v>
      </c>
      <c r="AK27" s="179">
        <f>IFERROR(Vertailu[[#This Row],[Vaikuttavuusrahoituksen muutos, €]]/Vertailu[[#This Row],[Vaikuttavuusrahoitus 2023, €]],0)</f>
        <v>0.10519290084441522</v>
      </c>
    </row>
    <row r="28" spans="1:37" s="1" customFormat="1" ht="12.75" customHeight="1" x14ac:dyDescent="0.25">
      <c r="A28" s="3" t="s">
        <v>301</v>
      </c>
      <c r="B28" s="151" t="s">
        <v>30</v>
      </c>
      <c r="C28" s="151" t="s">
        <v>173</v>
      </c>
      <c r="D28" s="7" t="s">
        <v>325</v>
      </c>
      <c r="E2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0.6859049658365346</v>
      </c>
      <c r="F2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0.6859049658365346</v>
      </c>
      <c r="G2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0.20352686780777815</v>
      </c>
      <c r="H2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0.11056816635568728</v>
      </c>
      <c r="I2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8.0342297613337263E-2</v>
      </c>
      <c r="J2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4.4856181649486123E-3</v>
      </c>
      <c r="K2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1.1500914809564779E-2</v>
      </c>
      <c r="L2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1.1936317576095619E-2</v>
      </c>
      <c r="M2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2.3030181917410072E-3</v>
      </c>
      <c r="N2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18077437</v>
      </c>
      <c r="O28" s="177">
        <f>IFERROR(VLOOKUP(Vertailu[[#This Row],[Y-tunnus]],'1.2 Ohjaus-laskentataulu'!A:AT,COLUMN('1.2 Ohjaus-laskentataulu'!AF:AF),FALSE),0)</f>
        <v>18975534</v>
      </c>
      <c r="P28" s="177">
        <f>IFERROR(Vertailu[[#This Row],[Rahoitus pl. hark. kor. 2024 ilman alv, €]]-Vertailu[[#This Row],[Rahoitus pl. hark. kor. 2023 ilman alv, €]],0)</f>
        <v>898097</v>
      </c>
      <c r="Q28" s="179">
        <f>IFERROR(Vertailu[[#This Row],[Muutos, € 1]]/Vertailu[[#This Row],[Rahoitus pl. hark. kor. 2023 ilman alv, €]],0)</f>
        <v>4.9680549294681541E-2</v>
      </c>
      <c r="R28" s="182">
        <f>IFERROR(VLOOKUP(Vertailu[[#This Row],[Y-tunnus]],'Suoritepäätös 2023 oikaistu'!$AB:$AL,COLUMN('Suoritepäätös 2023 oikaistu'!J:J),FALSE),0)</f>
        <v>18077437</v>
      </c>
      <c r="S28" s="183">
        <f>IFERROR(VLOOKUP(Vertailu[[#This Row],[Y-tunnus]],'1.2 Ohjaus-laskentataulu'!A:AT,COLUMN('1.2 Ohjaus-laskentataulu'!AR:AR),FALSE),0)</f>
        <v>18975534</v>
      </c>
      <c r="T28" s="177">
        <f>IFERROR(Vertailu[[#This Row],[Rahoitus ml. hark. kor. 
2024 ilman alv, €]]-Vertailu[[#This Row],[Rahoitus ml. hark. kor. 
2023 ilman alv, €]],0)</f>
        <v>898097</v>
      </c>
      <c r="U28" s="181">
        <f>IFERROR(Vertailu[[#This Row],[Muutos, € 2]]/Vertailu[[#This Row],[Rahoitus ml. hark. kor. 
2023 ilman alv, €]],0)</f>
        <v>4.9680549294681541E-2</v>
      </c>
      <c r="V2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19399828</v>
      </c>
      <c r="W28" s="182">
        <f>IFERROR(VLOOKUP(Vertailu[[#This Row],[Y-tunnus]],'1.2 Ohjaus-laskentataulu'!A:AT,COLUMN('1.2 Ohjaus-laskentataulu'!AT:AT),FALSE),0)</f>
        <v>20380715</v>
      </c>
      <c r="X28" s="184">
        <f>IFERROR(Vertailu[[#This Row],[Rahoitus ml. hark. kor. + alv 2024, €]]-Vertailu[[#This Row],[Rahoitus ml. hark. kor. + alv 2023, €]],0)</f>
        <v>980887</v>
      </c>
      <c r="Y28" s="179">
        <f>IFERROR(Vertailu[[#This Row],[Muutos, € 3]]/Vertailu[[#This Row],[Rahoitus ml. hark. kor. + alv 2023, €]],0)</f>
        <v>5.0561633845413477E-2</v>
      </c>
      <c r="Z28" s="177">
        <f>IFERROR(VLOOKUP(Vertailu[[#This Row],[Y-tunnus]],'Suoritepäätös 2023 oikaistu'!$B:$N,COLUMN('Suoritepäätös 2023 oikaistu'!H:H),FALSE),0)</f>
        <v>11998499</v>
      </c>
      <c r="AA28" s="177">
        <f>IFERROR(VLOOKUP(Vertailu[[#This Row],[Y-tunnus]],'1.2 Ohjaus-laskentataulu'!A:AT,COLUMN('1.2 Ohjaus-laskentataulu'!AO:AO),FALSE),0)</f>
        <v>13015413</v>
      </c>
      <c r="AB28" s="177">
        <f>Vertailu[[#This Row],[Perusrahoitus 2024, €]]-Vertailu[[#This Row],[Perusrahoitus 2023, €]]</f>
        <v>1016914</v>
      </c>
      <c r="AC28" s="179">
        <f>IFERROR(Vertailu[[#This Row],[Perusrahoituksen muutos, €]]/Vertailu[[#This Row],[Perusrahoitus 2023, €]],0)</f>
        <v>8.4753434575441475E-2</v>
      </c>
      <c r="AD28" s="177">
        <f>IFERROR(VLOOKUP(Vertailu[[#This Row],[Y-tunnus]],'Suoritepäätös 2023 oikaistu'!$O:$Y,COLUMN('Suoritepäätös 2023 oikaistu'!D:D),FALSE),0)</f>
        <v>4031595</v>
      </c>
      <c r="AE28" s="177">
        <f>IFERROR(VLOOKUP(Vertailu[[#This Row],[Y-tunnus]],'1.2 Ohjaus-laskentataulu'!A:AT,COLUMN('1.2 Ohjaus-laskentataulu'!O:O),FALSE),0)</f>
        <v>3862031</v>
      </c>
      <c r="AF28" s="177">
        <f>Vertailu[[#This Row],[Suoritusrahoitus 2024, €]]-Vertailu[[#This Row],[Suoritusrahoitus 2023, €]]</f>
        <v>-169564</v>
      </c>
      <c r="AG28" s="179">
        <f>IFERROR(Vertailu[[#This Row],[Suoritusrahoituksen muutos, €]]/Vertailu[[#This Row],[Suoritusrahoitus 2023, €]],0)</f>
        <v>-4.2058788147122911E-2</v>
      </c>
      <c r="AH28" s="177">
        <f>IFERROR(VLOOKUP(Vertailu[[#This Row],[Y-tunnus]],'Suoritepäätös 2023 oikaistu'!$AB:$AL,COLUMN('Suoritepäätös 2023 oikaistu'!I:I),FALSE),0)</f>
        <v>2047343</v>
      </c>
      <c r="AI2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2098090</v>
      </c>
      <c r="AJ28" s="177">
        <f>Vertailu[[#This Row],[Vaikuttavuusrahoitus 2024, €]]-Vertailu[[#This Row],[Vaikuttavuusrahoitus 2023, €]]</f>
        <v>50747</v>
      </c>
      <c r="AK28" s="179">
        <f>IFERROR(Vertailu[[#This Row],[Vaikuttavuusrahoituksen muutos, €]]/Vertailu[[#This Row],[Vaikuttavuusrahoitus 2023, €]],0)</f>
        <v>2.4786760205788672E-2</v>
      </c>
    </row>
    <row r="29" spans="1:37" s="1" customFormat="1" ht="12.75" customHeight="1" x14ac:dyDescent="0.25">
      <c r="A29" s="3" t="s">
        <v>300</v>
      </c>
      <c r="B29" s="151" t="s">
        <v>31</v>
      </c>
      <c r="C29" s="151" t="s">
        <v>255</v>
      </c>
      <c r="D29" s="7" t="s">
        <v>325</v>
      </c>
      <c r="E2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0.68727266630223771</v>
      </c>
      <c r="F2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0.68988894518454003</v>
      </c>
      <c r="G2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0.20829199830525488</v>
      </c>
      <c r="H2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0.10181905651020512</v>
      </c>
      <c r="I2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7.5709147861781539E-2</v>
      </c>
      <c r="J2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2.0451300046194915E-3</v>
      </c>
      <c r="K2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5.9157008332066862E-3</v>
      </c>
      <c r="L2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1.6294832338677311E-2</v>
      </c>
      <c r="M2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1.8542454719200898E-3</v>
      </c>
      <c r="N2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4485656</v>
      </c>
      <c r="O29" s="177">
        <f>IFERROR(VLOOKUP(Vertailu[[#This Row],[Y-tunnus]],'1.2 Ohjaus-laskentataulu'!A:AT,COLUMN('1.2 Ohjaus-laskentataulu'!AF:AF),FALSE),0)</f>
        <v>4639856</v>
      </c>
      <c r="P29" s="177">
        <f>IFERROR(Vertailu[[#This Row],[Rahoitus pl. hark. kor. 2024 ilman alv, €]]-Vertailu[[#This Row],[Rahoitus pl. hark. kor. 2023 ilman alv, €]],0)</f>
        <v>154200</v>
      </c>
      <c r="Q29" s="179">
        <f>IFERROR(Vertailu[[#This Row],[Muutos, € 1]]/Vertailu[[#This Row],[Rahoitus pl. hark. kor. 2023 ilman alv, €]],0)</f>
        <v>3.4376242850544046E-2</v>
      </c>
      <c r="R29" s="182">
        <f>IFERROR(VLOOKUP(Vertailu[[#This Row],[Y-tunnus]],'Suoritepäätös 2023 oikaistu'!$AB:$AL,COLUMN('Suoritepäätös 2023 oikaistu'!J:J),FALSE),0)</f>
        <v>4492656</v>
      </c>
      <c r="S29" s="183">
        <f>IFERROR(VLOOKUP(Vertailu[[#This Row],[Y-tunnus]],'1.2 Ohjaus-laskentataulu'!A:AT,COLUMN('1.2 Ohjaus-laskentataulu'!AR:AR),FALSE),0)</f>
        <v>4652027</v>
      </c>
      <c r="T29" s="177">
        <f>IFERROR(Vertailu[[#This Row],[Rahoitus ml. hark. kor. 
2024 ilman alv, €]]-Vertailu[[#This Row],[Rahoitus ml. hark. kor. 
2023 ilman alv, €]],0)</f>
        <v>159371</v>
      </c>
      <c r="U29" s="181">
        <f>IFERROR(Vertailu[[#This Row],[Muutos, € 2]]/Vertailu[[#This Row],[Rahoitus ml. hark. kor. 
2023 ilman alv, €]],0)</f>
        <v>3.5473670808537312E-2</v>
      </c>
      <c r="V2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4820920</v>
      </c>
      <c r="W29" s="182">
        <f>IFERROR(VLOOKUP(Vertailu[[#This Row],[Y-tunnus]],'1.2 Ohjaus-laskentataulu'!A:AT,COLUMN('1.2 Ohjaus-laskentataulu'!AT:AT),FALSE),0)</f>
        <v>5021364</v>
      </c>
      <c r="X29" s="184">
        <f>IFERROR(Vertailu[[#This Row],[Rahoitus ml. hark. kor. + alv 2024, €]]-Vertailu[[#This Row],[Rahoitus ml. hark. kor. + alv 2023, €]],0)</f>
        <v>200444</v>
      </c>
      <c r="Y29" s="179">
        <f>IFERROR(Vertailu[[#This Row],[Muutos, € 3]]/Vertailu[[#This Row],[Rahoitus ml. hark. kor. + alv 2023, €]],0)</f>
        <v>4.157795607477411E-2</v>
      </c>
      <c r="Z29" s="177">
        <f>IFERROR(VLOOKUP(Vertailu[[#This Row],[Y-tunnus]],'Suoritepäätös 2023 oikaistu'!$B:$N,COLUMN('Suoritepäätös 2023 oikaistu'!H:H),FALSE),0)</f>
        <v>3184335</v>
      </c>
      <c r="AA29" s="177">
        <f>IFERROR(VLOOKUP(Vertailu[[#This Row],[Y-tunnus]],'1.2 Ohjaus-laskentataulu'!A:AT,COLUMN('1.2 Ohjaus-laskentataulu'!AO:AO),FALSE),0)</f>
        <v>3209382</v>
      </c>
      <c r="AB29" s="177">
        <f>Vertailu[[#This Row],[Perusrahoitus 2024, €]]-Vertailu[[#This Row],[Perusrahoitus 2023, €]]</f>
        <v>25047</v>
      </c>
      <c r="AC29" s="179">
        <f>IFERROR(Vertailu[[#This Row],[Perusrahoituksen muutos, €]]/Vertailu[[#This Row],[Perusrahoitus 2023, €]],0)</f>
        <v>7.8656925229286488E-3</v>
      </c>
      <c r="AD29" s="177">
        <f>IFERROR(VLOOKUP(Vertailu[[#This Row],[Y-tunnus]],'Suoritepäätös 2023 oikaistu'!$O:$Y,COLUMN('Suoritepäätös 2023 oikaistu'!D:D),FALSE),0)</f>
        <v>880674</v>
      </c>
      <c r="AE29" s="177">
        <f>IFERROR(VLOOKUP(Vertailu[[#This Row],[Y-tunnus]],'1.2 Ohjaus-laskentataulu'!A:AT,COLUMN('1.2 Ohjaus-laskentataulu'!O:O),FALSE),0)</f>
        <v>968980</v>
      </c>
      <c r="AF29" s="177">
        <f>Vertailu[[#This Row],[Suoritusrahoitus 2024, €]]-Vertailu[[#This Row],[Suoritusrahoitus 2023, €]]</f>
        <v>88306</v>
      </c>
      <c r="AG29" s="179">
        <f>IFERROR(Vertailu[[#This Row],[Suoritusrahoituksen muutos, €]]/Vertailu[[#This Row],[Suoritusrahoitus 2023, €]],0)</f>
        <v>0.10027092885676198</v>
      </c>
      <c r="AH29" s="177">
        <f>IFERROR(VLOOKUP(Vertailu[[#This Row],[Y-tunnus]],'Suoritepäätös 2023 oikaistu'!$AB:$AL,COLUMN('Suoritepäätös 2023 oikaistu'!I:I),FALSE),0)</f>
        <v>427647</v>
      </c>
      <c r="AI2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473665</v>
      </c>
      <c r="AJ29" s="177">
        <f>Vertailu[[#This Row],[Vaikuttavuusrahoitus 2024, €]]-Vertailu[[#This Row],[Vaikuttavuusrahoitus 2023, €]]</f>
        <v>46018</v>
      </c>
      <c r="AK29" s="179">
        <f>IFERROR(Vertailu[[#This Row],[Vaikuttavuusrahoituksen muutos, €]]/Vertailu[[#This Row],[Vaikuttavuusrahoitus 2023, €]],0)</f>
        <v>0.10760744258699348</v>
      </c>
    </row>
    <row r="30" spans="1:37" s="1" customFormat="1" ht="12.75" customHeight="1" x14ac:dyDescent="0.25">
      <c r="A30" s="3" t="s">
        <v>297</v>
      </c>
      <c r="B30" s="151" t="s">
        <v>32</v>
      </c>
      <c r="C30" s="151" t="s">
        <v>173</v>
      </c>
      <c r="D30" s="7" t="s">
        <v>325</v>
      </c>
      <c r="E3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0.70071109824592714</v>
      </c>
      <c r="F3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0.70561778144454512</v>
      </c>
      <c r="G3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0.19775313773367023</v>
      </c>
      <c r="H3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9.6629080821784674E-2</v>
      </c>
      <c r="I3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7.5491582484559158E-2</v>
      </c>
      <c r="J3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3.1676466470336342E-3</v>
      </c>
      <c r="K3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1.0601721926906884E-2</v>
      </c>
      <c r="L3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5.6909925285287873E-3</v>
      </c>
      <c r="M3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1.6771372347562125E-3</v>
      </c>
      <c r="N3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37935258</v>
      </c>
      <c r="O30" s="177">
        <f>IFERROR(VLOOKUP(Vertailu[[#This Row],[Y-tunnus]],'1.2 Ohjaus-laskentataulu'!A:AT,COLUMN('1.2 Ohjaus-laskentataulu'!AF:AF),FALSE),0)</f>
        <v>39595184</v>
      </c>
      <c r="P30" s="177">
        <f>IFERROR(Vertailu[[#This Row],[Rahoitus pl. hark. kor. 2024 ilman alv, €]]-Vertailu[[#This Row],[Rahoitus pl. hark. kor. 2023 ilman alv, €]],0)</f>
        <v>1659926</v>
      </c>
      <c r="Q30" s="179">
        <f>IFERROR(Vertailu[[#This Row],[Muutos, € 1]]/Vertailu[[#This Row],[Rahoitus pl. hark. kor. 2023 ilman alv, €]],0)</f>
        <v>4.3756813252726526E-2</v>
      </c>
      <c r="R30" s="182">
        <f>IFERROR(VLOOKUP(Vertailu[[#This Row],[Y-tunnus]],'Suoritepäätös 2023 oikaistu'!$AB:$AL,COLUMN('Suoritepäätös 2023 oikaistu'!J:J),FALSE),0)</f>
        <v>37997258</v>
      </c>
      <c r="S30" s="183">
        <f>IFERROR(VLOOKUP(Vertailu[[#This Row],[Y-tunnus]],'1.2 Ohjaus-laskentataulu'!A:AT,COLUMN('1.2 Ohjaus-laskentataulu'!AR:AR),FALSE),0)</f>
        <v>39790423</v>
      </c>
      <c r="T30" s="177">
        <f>IFERROR(Vertailu[[#This Row],[Rahoitus ml. hark. kor. 
2024 ilman alv, €]]-Vertailu[[#This Row],[Rahoitus ml. hark. kor. 
2023 ilman alv, €]],0)</f>
        <v>1793165</v>
      </c>
      <c r="U30" s="181">
        <f>IFERROR(Vertailu[[#This Row],[Muutos, € 2]]/Vertailu[[#This Row],[Rahoitus ml. hark. kor. 
2023 ilman alv, €]],0)</f>
        <v>4.7191957903909801E-2</v>
      </c>
      <c r="V3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42746108</v>
      </c>
      <c r="W30" s="182">
        <f>IFERROR(VLOOKUP(Vertailu[[#This Row],[Y-tunnus]],'1.2 Ohjaus-laskentataulu'!A:AT,COLUMN('1.2 Ohjaus-laskentataulu'!AT:AT),FALSE),0)</f>
        <v>43590588</v>
      </c>
      <c r="X30" s="184">
        <f>IFERROR(Vertailu[[#This Row],[Rahoitus ml. hark. kor. + alv 2024, €]]-Vertailu[[#This Row],[Rahoitus ml. hark. kor. + alv 2023, €]],0)</f>
        <v>844480</v>
      </c>
      <c r="Y30" s="179">
        <f>IFERROR(Vertailu[[#This Row],[Muutos, € 3]]/Vertailu[[#This Row],[Rahoitus ml. hark. kor. + alv 2023, €]],0)</f>
        <v>1.9755716707588911E-2</v>
      </c>
      <c r="Z30" s="177">
        <f>IFERROR(VLOOKUP(Vertailu[[#This Row],[Y-tunnus]],'Suoritepäätös 2023 oikaistu'!$B:$N,COLUMN('Suoritepäätös 2023 oikaistu'!H:H),FALSE),0)</f>
        <v>26865320</v>
      </c>
      <c r="AA30" s="177">
        <f>IFERROR(VLOOKUP(Vertailu[[#This Row],[Y-tunnus]],'1.2 Ohjaus-laskentataulu'!A:AT,COLUMN('1.2 Ohjaus-laskentataulu'!AO:AO),FALSE),0)</f>
        <v>28076830</v>
      </c>
      <c r="AB30" s="177">
        <f>Vertailu[[#This Row],[Perusrahoitus 2024, €]]-Vertailu[[#This Row],[Perusrahoitus 2023, €]]</f>
        <v>1211510</v>
      </c>
      <c r="AC30" s="179">
        <f>IFERROR(Vertailu[[#This Row],[Perusrahoituksen muutos, €]]/Vertailu[[#This Row],[Perusrahoitus 2023, €]],0)</f>
        <v>4.509568469685081E-2</v>
      </c>
      <c r="AD30" s="177">
        <f>IFERROR(VLOOKUP(Vertailu[[#This Row],[Y-tunnus]],'Suoritepäätös 2023 oikaistu'!$O:$Y,COLUMN('Suoritepäätös 2023 oikaistu'!D:D),FALSE),0)</f>
        <v>7345334</v>
      </c>
      <c r="AE30" s="177">
        <f>IFERROR(VLOOKUP(Vertailu[[#This Row],[Y-tunnus]],'1.2 Ohjaus-laskentataulu'!A:AT,COLUMN('1.2 Ohjaus-laskentataulu'!O:O),FALSE),0)</f>
        <v>7868681</v>
      </c>
      <c r="AF30" s="177">
        <f>Vertailu[[#This Row],[Suoritusrahoitus 2024, €]]-Vertailu[[#This Row],[Suoritusrahoitus 2023, €]]</f>
        <v>523347</v>
      </c>
      <c r="AG30" s="179">
        <f>IFERROR(Vertailu[[#This Row],[Suoritusrahoituksen muutos, €]]/Vertailu[[#This Row],[Suoritusrahoitus 2023, €]],0)</f>
        <v>7.1248904406525287E-2</v>
      </c>
      <c r="AH30" s="177">
        <f>IFERROR(VLOOKUP(Vertailu[[#This Row],[Y-tunnus]],'Suoritepäätös 2023 oikaistu'!$AB:$AL,COLUMN('Suoritepäätös 2023 oikaistu'!I:I),FALSE),0)</f>
        <v>3786604</v>
      </c>
      <c r="AI3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3844912</v>
      </c>
      <c r="AJ30" s="177">
        <f>Vertailu[[#This Row],[Vaikuttavuusrahoitus 2024, €]]-Vertailu[[#This Row],[Vaikuttavuusrahoitus 2023, €]]</f>
        <v>58308</v>
      </c>
      <c r="AK30" s="179">
        <f>IFERROR(Vertailu[[#This Row],[Vaikuttavuusrahoituksen muutos, €]]/Vertailu[[#This Row],[Vaikuttavuusrahoitus 2023, €]],0)</f>
        <v>1.539849427085589E-2</v>
      </c>
    </row>
    <row r="31" spans="1:37" s="1" customFormat="1" ht="12.75" customHeight="1" x14ac:dyDescent="0.25">
      <c r="A31" s="3" t="s">
        <v>296</v>
      </c>
      <c r="B31" s="151" t="s">
        <v>33</v>
      </c>
      <c r="C31" s="151" t="s">
        <v>255</v>
      </c>
      <c r="D31" s="7" t="s">
        <v>325</v>
      </c>
      <c r="E3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0.70990705437248924</v>
      </c>
      <c r="F3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0.71086552021372507</v>
      </c>
      <c r="G3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0.19303102681723527</v>
      </c>
      <c r="H3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9.6103452969039632E-2</v>
      </c>
      <c r="I3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6.2926956596193864E-2</v>
      </c>
      <c r="J3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2.9253974917587914E-3</v>
      </c>
      <c r="K3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1.0081463206732776E-2</v>
      </c>
      <c r="L3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1.4146636328027906E-2</v>
      </c>
      <c r="M3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6.022999346326296E-3</v>
      </c>
      <c r="N3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5855775</v>
      </c>
      <c r="O31" s="177">
        <f>IFERROR(VLOOKUP(Vertailu[[#This Row],[Y-tunnus]],'1.2 Ohjaus-laskentataulu'!A:AT,COLUMN('1.2 Ohjaus-laskentataulu'!AF:AF),FALSE),0)</f>
        <v>6254004</v>
      </c>
      <c r="P31" s="177">
        <f>IFERROR(Vertailu[[#This Row],[Rahoitus pl. hark. kor. 2024 ilman alv, €]]-Vertailu[[#This Row],[Rahoitus pl. hark. kor. 2023 ilman alv, €]],0)</f>
        <v>398229</v>
      </c>
      <c r="Q31" s="179">
        <f>IFERROR(Vertailu[[#This Row],[Muutos, € 1]]/Vertailu[[#This Row],[Rahoitus pl. hark. kor. 2023 ilman alv, €]],0)</f>
        <v>6.8006199008670928E-2</v>
      </c>
      <c r="R31" s="182">
        <f>IFERROR(VLOOKUP(Vertailu[[#This Row],[Y-tunnus]],'Suoritepäätös 2023 oikaistu'!$AB:$AL,COLUMN('Suoritepäätös 2023 oikaistu'!J:J),FALSE),0)</f>
        <v>5863775</v>
      </c>
      <c r="S31" s="183">
        <f>IFERROR(VLOOKUP(Vertailu[[#This Row],[Y-tunnus]],'1.2 Ohjaus-laskentataulu'!A:AT,COLUMN('1.2 Ohjaus-laskentataulu'!AR:AR),FALSE),0)</f>
        <v>6260004</v>
      </c>
      <c r="T31" s="177">
        <f>IFERROR(Vertailu[[#This Row],[Rahoitus ml. hark. kor. 
2024 ilman alv, €]]-Vertailu[[#This Row],[Rahoitus ml. hark. kor. 
2023 ilman alv, €]],0)</f>
        <v>396229</v>
      </c>
      <c r="U31" s="181">
        <f>IFERROR(Vertailu[[#This Row],[Muutos, € 2]]/Vertailu[[#This Row],[Rahoitus ml. hark. kor. 
2023 ilman alv, €]],0)</f>
        <v>6.7572340343891091E-2</v>
      </c>
      <c r="V3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6408210</v>
      </c>
      <c r="W31" s="182">
        <f>IFERROR(VLOOKUP(Vertailu[[#This Row],[Y-tunnus]],'1.2 Ohjaus-laskentataulu'!A:AT,COLUMN('1.2 Ohjaus-laskentataulu'!AT:AT),FALSE),0)</f>
        <v>6816364</v>
      </c>
      <c r="X31" s="184">
        <f>IFERROR(Vertailu[[#This Row],[Rahoitus ml. hark. kor. + alv 2024, €]]-Vertailu[[#This Row],[Rahoitus ml. hark. kor. + alv 2023, €]],0)</f>
        <v>408154</v>
      </c>
      <c r="Y31" s="179">
        <f>IFERROR(Vertailu[[#This Row],[Muutos, € 3]]/Vertailu[[#This Row],[Rahoitus ml. hark. kor. + alv 2023, €]],0)</f>
        <v>6.3692357148095957E-2</v>
      </c>
      <c r="Z31" s="177">
        <f>IFERROR(VLOOKUP(Vertailu[[#This Row],[Y-tunnus]],'Suoritepäätös 2023 oikaistu'!$B:$N,COLUMN('Suoritepäätös 2023 oikaistu'!H:H),FALSE),0)</f>
        <v>4050817</v>
      </c>
      <c r="AA31" s="177">
        <f>IFERROR(VLOOKUP(Vertailu[[#This Row],[Y-tunnus]],'1.2 Ohjaus-laskentataulu'!A:AT,COLUMN('1.2 Ohjaus-laskentataulu'!AO:AO),FALSE),0)</f>
        <v>4450021</v>
      </c>
      <c r="AB31" s="177">
        <f>Vertailu[[#This Row],[Perusrahoitus 2024, €]]-Vertailu[[#This Row],[Perusrahoitus 2023, €]]</f>
        <v>399204</v>
      </c>
      <c r="AC31" s="179">
        <f>IFERROR(Vertailu[[#This Row],[Perusrahoituksen muutos, €]]/Vertailu[[#This Row],[Perusrahoitus 2023, €]],0)</f>
        <v>9.8549008755517711E-2</v>
      </c>
      <c r="AD31" s="177">
        <f>IFERROR(VLOOKUP(Vertailu[[#This Row],[Y-tunnus]],'Suoritepäätös 2023 oikaistu'!$O:$Y,COLUMN('Suoritepäätös 2023 oikaistu'!D:D),FALSE),0)</f>
        <v>1213630</v>
      </c>
      <c r="AE31" s="177">
        <f>IFERROR(VLOOKUP(Vertailu[[#This Row],[Y-tunnus]],'1.2 Ohjaus-laskentataulu'!A:AT,COLUMN('1.2 Ohjaus-laskentataulu'!O:O),FALSE),0)</f>
        <v>1208375</v>
      </c>
      <c r="AF31" s="177">
        <f>Vertailu[[#This Row],[Suoritusrahoitus 2024, €]]-Vertailu[[#This Row],[Suoritusrahoitus 2023, €]]</f>
        <v>-5255</v>
      </c>
      <c r="AG31" s="179">
        <f>IFERROR(Vertailu[[#This Row],[Suoritusrahoituksen muutos, €]]/Vertailu[[#This Row],[Suoritusrahoitus 2023, €]],0)</f>
        <v>-4.329985250858993E-3</v>
      </c>
      <c r="AH31" s="177">
        <f>IFERROR(VLOOKUP(Vertailu[[#This Row],[Y-tunnus]],'Suoritepäätös 2023 oikaistu'!$AB:$AL,COLUMN('Suoritepäätös 2023 oikaistu'!I:I),FALSE),0)</f>
        <v>599328</v>
      </c>
      <c r="AI3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601608</v>
      </c>
      <c r="AJ31" s="177">
        <f>Vertailu[[#This Row],[Vaikuttavuusrahoitus 2024, €]]-Vertailu[[#This Row],[Vaikuttavuusrahoitus 2023, €]]</f>
        <v>2280</v>
      </c>
      <c r="AK31" s="179">
        <f>IFERROR(Vertailu[[#This Row],[Vaikuttavuusrahoituksen muutos, €]]/Vertailu[[#This Row],[Vaikuttavuusrahoitus 2023, €]],0)</f>
        <v>3.8042607720647124E-3</v>
      </c>
    </row>
    <row r="32" spans="1:37" s="1" customFormat="1" ht="12.75" customHeight="1" x14ac:dyDescent="0.25">
      <c r="A32" s="3" t="s">
        <v>294</v>
      </c>
      <c r="B32" s="151" t="s">
        <v>34</v>
      </c>
      <c r="C32" s="151" t="s">
        <v>200</v>
      </c>
      <c r="D32" s="7" t="s">
        <v>325</v>
      </c>
      <c r="E3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0.63725585665794893</v>
      </c>
      <c r="F3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0.63725585665794893</v>
      </c>
      <c r="G3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0.270640893662011</v>
      </c>
      <c r="H3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9.2103249680040064E-2</v>
      </c>
      <c r="I3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7.3387332368816421E-2</v>
      </c>
      <c r="J3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2.4988175393689835E-3</v>
      </c>
      <c r="K3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8.8110706137666233E-3</v>
      </c>
      <c r="L3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4.3351093428301152E-3</v>
      </c>
      <c r="M3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3.0709198152579155E-3</v>
      </c>
      <c r="N3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618207</v>
      </c>
      <c r="O32" s="177">
        <f>IFERROR(VLOOKUP(Vertailu[[#This Row],[Y-tunnus]],'1.2 Ohjaus-laskentataulu'!A:AT,COLUMN('1.2 Ohjaus-laskentataulu'!AF:AF),FALSE),0)</f>
        <v>575072</v>
      </c>
      <c r="P32" s="177">
        <f>IFERROR(Vertailu[[#This Row],[Rahoitus pl. hark. kor. 2024 ilman alv, €]]-Vertailu[[#This Row],[Rahoitus pl. hark. kor. 2023 ilman alv, €]],0)</f>
        <v>-43135</v>
      </c>
      <c r="Q32" s="179">
        <f>IFERROR(Vertailu[[#This Row],[Muutos, € 1]]/Vertailu[[#This Row],[Rahoitus pl. hark. kor. 2023 ilman alv, €]],0)</f>
        <v>-6.9774363603129691E-2</v>
      </c>
      <c r="R32" s="182">
        <f>IFERROR(VLOOKUP(Vertailu[[#This Row],[Y-tunnus]],'Suoritepäätös 2023 oikaistu'!$AB:$AL,COLUMN('Suoritepäätös 2023 oikaistu'!J:J),FALSE),0)</f>
        <v>618207</v>
      </c>
      <c r="S32" s="183">
        <f>IFERROR(VLOOKUP(Vertailu[[#This Row],[Y-tunnus]],'1.2 Ohjaus-laskentataulu'!A:AT,COLUMN('1.2 Ohjaus-laskentataulu'!AR:AR),FALSE),0)</f>
        <v>575072</v>
      </c>
      <c r="T32" s="177">
        <f>IFERROR(Vertailu[[#This Row],[Rahoitus ml. hark. kor. 
2024 ilman alv, €]]-Vertailu[[#This Row],[Rahoitus ml. hark. kor. 
2023 ilman alv, €]],0)</f>
        <v>-43135</v>
      </c>
      <c r="U32" s="181">
        <f>IFERROR(Vertailu[[#This Row],[Muutos, € 2]]/Vertailu[[#This Row],[Rahoitus ml. hark. kor. 
2023 ilman alv, €]],0)</f>
        <v>-6.9774363603129691E-2</v>
      </c>
      <c r="V3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655723</v>
      </c>
      <c r="W32" s="182">
        <f>IFERROR(VLOOKUP(Vertailu[[#This Row],[Y-tunnus]],'1.2 Ohjaus-laskentataulu'!A:AT,COLUMN('1.2 Ohjaus-laskentataulu'!AT:AT),FALSE),0)</f>
        <v>634447</v>
      </c>
      <c r="X32" s="184">
        <f>IFERROR(Vertailu[[#This Row],[Rahoitus ml. hark. kor. + alv 2024, €]]-Vertailu[[#This Row],[Rahoitus ml. hark. kor. + alv 2023, €]],0)</f>
        <v>-21276</v>
      </c>
      <c r="Y32" s="179">
        <f>IFERROR(Vertailu[[#This Row],[Muutos, € 3]]/Vertailu[[#This Row],[Rahoitus ml. hark. kor. + alv 2023, €]],0)</f>
        <v>-3.2446627615624279E-2</v>
      </c>
      <c r="Z32" s="177">
        <f>IFERROR(VLOOKUP(Vertailu[[#This Row],[Y-tunnus]],'Suoritepäätös 2023 oikaistu'!$B:$N,COLUMN('Suoritepäätös 2023 oikaistu'!H:H),FALSE),0)</f>
        <v>404152</v>
      </c>
      <c r="AA32" s="177">
        <f>IFERROR(VLOOKUP(Vertailu[[#This Row],[Y-tunnus]],'1.2 Ohjaus-laskentataulu'!A:AT,COLUMN('1.2 Ohjaus-laskentataulu'!AO:AO),FALSE),0)</f>
        <v>366468</v>
      </c>
      <c r="AB32" s="177">
        <f>Vertailu[[#This Row],[Perusrahoitus 2024, €]]-Vertailu[[#This Row],[Perusrahoitus 2023, €]]</f>
        <v>-37684</v>
      </c>
      <c r="AC32" s="179">
        <f>IFERROR(Vertailu[[#This Row],[Perusrahoituksen muutos, €]]/Vertailu[[#This Row],[Perusrahoitus 2023, €]],0)</f>
        <v>-9.3242146519131416E-2</v>
      </c>
      <c r="AD32" s="177">
        <f>IFERROR(VLOOKUP(Vertailu[[#This Row],[Y-tunnus]],'Suoritepäätös 2023 oikaistu'!$O:$Y,COLUMN('Suoritepäätös 2023 oikaistu'!D:D),FALSE),0)</f>
        <v>168295</v>
      </c>
      <c r="AE32" s="177">
        <f>IFERROR(VLOOKUP(Vertailu[[#This Row],[Y-tunnus]],'1.2 Ohjaus-laskentataulu'!A:AT,COLUMN('1.2 Ohjaus-laskentataulu'!O:O),FALSE),0)</f>
        <v>155638</v>
      </c>
      <c r="AF32" s="177">
        <f>Vertailu[[#This Row],[Suoritusrahoitus 2024, €]]-Vertailu[[#This Row],[Suoritusrahoitus 2023, €]]</f>
        <v>-12657</v>
      </c>
      <c r="AG32" s="179">
        <f>IFERROR(Vertailu[[#This Row],[Suoritusrahoituksen muutos, €]]/Vertailu[[#This Row],[Suoritusrahoitus 2023, €]],0)</f>
        <v>-7.5207225407766129E-2</v>
      </c>
      <c r="AH32" s="177">
        <f>IFERROR(VLOOKUP(Vertailu[[#This Row],[Y-tunnus]],'Suoritepäätös 2023 oikaistu'!$AB:$AL,COLUMN('Suoritepäätös 2023 oikaistu'!I:I),FALSE),0)</f>
        <v>45760</v>
      </c>
      <c r="AI3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52966</v>
      </c>
      <c r="AJ32" s="177">
        <f>Vertailu[[#This Row],[Vaikuttavuusrahoitus 2024, €]]-Vertailu[[#This Row],[Vaikuttavuusrahoitus 2023, €]]</f>
        <v>7206</v>
      </c>
      <c r="AK32" s="179">
        <f>IFERROR(Vertailu[[#This Row],[Vaikuttavuusrahoituksen muutos, €]]/Vertailu[[#This Row],[Vaikuttavuusrahoitus 2023, €]],0)</f>
        <v>0.15747377622377623</v>
      </c>
    </row>
    <row r="33" spans="1:37" s="1" customFormat="1" ht="12.75" customHeight="1" x14ac:dyDescent="0.25">
      <c r="A33" s="3" t="s">
        <v>293</v>
      </c>
      <c r="B33" s="151" t="s">
        <v>35</v>
      </c>
      <c r="C33" s="151" t="s">
        <v>200</v>
      </c>
      <c r="D33" s="7" t="s">
        <v>324</v>
      </c>
      <c r="E3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0.61230347912406258</v>
      </c>
      <c r="F3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0.61680004536766153</v>
      </c>
      <c r="G3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0.24327221156663908</v>
      </c>
      <c r="H3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0.13992774306569938</v>
      </c>
      <c r="I3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9.8380995292087395E-2</v>
      </c>
      <c r="J3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5.8439699598685042E-3</v>
      </c>
      <c r="K3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1.7396270522661583E-2</v>
      </c>
      <c r="L3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1.2232872025708493E-2</v>
      </c>
      <c r="M3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6.0736352653733977E-3</v>
      </c>
      <c r="N3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17120570</v>
      </c>
      <c r="O33" s="177">
        <f>IFERROR(VLOOKUP(Vertailu[[#This Row],[Y-tunnus]],'1.2 Ohjaus-laskentataulu'!A:AT,COLUMN('1.2 Ohjaus-laskentataulu'!AF:AF),FALSE),0)</f>
        <v>17607078</v>
      </c>
      <c r="P33" s="177">
        <f>IFERROR(Vertailu[[#This Row],[Rahoitus pl. hark. kor. 2024 ilman alv, €]]-Vertailu[[#This Row],[Rahoitus pl. hark. kor. 2023 ilman alv, €]],0)</f>
        <v>486508</v>
      </c>
      <c r="Q33" s="179">
        <f>IFERROR(Vertailu[[#This Row],[Muutos, € 1]]/Vertailu[[#This Row],[Rahoitus pl. hark. kor. 2023 ilman alv, €]],0)</f>
        <v>2.8416577251808788E-2</v>
      </c>
      <c r="R33" s="182">
        <f>IFERROR(VLOOKUP(Vertailu[[#This Row],[Y-tunnus]],'Suoritepäätös 2023 oikaistu'!$AB:$AL,COLUMN('Suoritepäätös 2023 oikaistu'!J:J),FALSE),0)</f>
        <v>17150570</v>
      </c>
      <c r="S33" s="183">
        <f>IFERROR(VLOOKUP(Vertailu[[#This Row],[Y-tunnus]],'1.2 Ohjaus-laskentataulu'!A:AT,COLUMN('1.2 Ohjaus-laskentataulu'!AR:AR),FALSE),0)</f>
        <v>17686607</v>
      </c>
      <c r="T33" s="177">
        <f>IFERROR(Vertailu[[#This Row],[Rahoitus ml. hark. kor. 
2024 ilman alv, €]]-Vertailu[[#This Row],[Rahoitus ml. hark. kor. 
2023 ilman alv, €]],0)</f>
        <v>536037</v>
      </c>
      <c r="U33" s="181">
        <f>IFERROR(Vertailu[[#This Row],[Muutos, € 2]]/Vertailu[[#This Row],[Rahoitus ml. hark. kor. 
2023 ilman alv, €]],0)</f>
        <v>3.1254762961231024E-2</v>
      </c>
      <c r="V3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17150570</v>
      </c>
      <c r="W33" s="182">
        <f>IFERROR(VLOOKUP(Vertailu[[#This Row],[Y-tunnus]],'1.2 Ohjaus-laskentataulu'!A:AT,COLUMN('1.2 Ohjaus-laskentataulu'!AT:AT),FALSE),0)</f>
        <v>17686607</v>
      </c>
      <c r="X33" s="184">
        <f>IFERROR(Vertailu[[#This Row],[Rahoitus ml. hark. kor. + alv 2024, €]]-Vertailu[[#This Row],[Rahoitus ml. hark. kor. + alv 2023, €]],0)</f>
        <v>536037</v>
      </c>
      <c r="Y33" s="179">
        <f>IFERROR(Vertailu[[#This Row],[Muutos, € 3]]/Vertailu[[#This Row],[Rahoitus ml. hark. kor. + alv 2023, €]],0)</f>
        <v>3.1254762961231024E-2</v>
      </c>
      <c r="Z33" s="177">
        <f>IFERROR(VLOOKUP(Vertailu[[#This Row],[Y-tunnus]],'Suoritepäätös 2023 oikaistu'!$B:$N,COLUMN('Suoritepäätös 2023 oikaistu'!H:H),FALSE),0)</f>
        <v>10710133</v>
      </c>
      <c r="AA33" s="177">
        <f>IFERROR(VLOOKUP(Vertailu[[#This Row],[Y-tunnus]],'1.2 Ohjaus-laskentataulu'!A:AT,COLUMN('1.2 Ohjaus-laskentataulu'!AO:AO),FALSE),0)</f>
        <v>10909100</v>
      </c>
      <c r="AB33" s="177">
        <f>Vertailu[[#This Row],[Perusrahoitus 2024, €]]-Vertailu[[#This Row],[Perusrahoitus 2023, €]]</f>
        <v>198967</v>
      </c>
      <c r="AC33" s="179">
        <f>IFERROR(Vertailu[[#This Row],[Perusrahoituksen muutos, €]]/Vertailu[[#This Row],[Perusrahoitus 2023, €]],0)</f>
        <v>1.8577453706690665E-2</v>
      </c>
      <c r="AD33" s="177">
        <f>IFERROR(VLOOKUP(Vertailu[[#This Row],[Y-tunnus]],'Suoritepäätös 2023 oikaistu'!$O:$Y,COLUMN('Suoritepäätös 2023 oikaistu'!D:D),FALSE),0)</f>
        <v>4104618</v>
      </c>
      <c r="AE33" s="177">
        <f>IFERROR(VLOOKUP(Vertailu[[#This Row],[Y-tunnus]],'1.2 Ohjaus-laskentataulu'!A:AT,COLUMN('1.2 Ohjaus-laskentataulu'!O:O),FALSE),0)</f>
        <v>4302660</v>
      </c>
      <c r="AF33" s="177">
        <f>Vertailu[[#This Row],[Suoritusrahoitus 2024, €]]-Vertailu[[#This Row],[Suoritusrahoitus 2023, €]]</f>
        <v>198042</v>
      </c>
      <c r="AG33" s="179">
        <f>IFERROR(Vertailu[[#This Row],[Suoritusrahoituksen muutos, €]]/Vertailu[[#This Row],[Suoritusrahoitus 2023, €]],0)</f>
        <v>4.8248582450303536E-2</v>
      </c>
      <c r="AH33" s="177">
        <f>IFERROR(VLOOKUP(Vertailu[[#This Row],[Y-tunnus]],'Suoritepäätös 2023 oikaistu'!$AB:$AL,COLUMN('Suoritepäätös 2023 oikaistu'!I:I),FALSE),0)</f>
        <v>2335819</v>
      </c>
      <c r="AI3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2474847</v>
      </c>
      <c r="AJ33" s="177">
        <f>Vertailu[[#This Row],[Vaikuttavuusrahoitus 2024, €]]-Vertailu[[#This Row],[Vaikuttavuusrahoitus 2023, €]]</f>
        <v>139028</v>
      </c>
      <c r="AK33" s="179">
        <f>IFERROR(Vertailu[[#This Row],[Vaikuttavuusrahoituksen muutos, €]]/Vertailu[[#This Row],[Vaikuttavuusrahoitus 2023, €]],0)</f>
        <v>5.9520022741488106E-2</v>
      </c>
    </row>
    <row r="34" spans="1:37" s="1" customFormat="1" ht="12.75" customHeight="1" x14ac:dyDescent="0.25">
      <c r="A34" s="3" t="s">
        <v>292</v>
      </c>
      <c r="B34" s="151" t="s">
        <v>36</v>
      </c>
      <c r="C34" s="151" t="s">
        <v>241</v>
      </c>
      <c r="D34" s="7" t="s">
        <v>325</v>
      </c>
      <c r="E3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0.56847035495859899</v>
      </c>
      <c r="F3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0.56847035495859899</v>
      </c>
      <c r="G3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0.22021793484440616</v>
      </c>
      <c r="H3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0.2113117101969948</v>
      </c>
      <c r="I3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0.16691984653339484</v>
      </c>
      <c r="J3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1.3606554654272138E-3</v>
      </c>
      <c r="K3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2.8148320389006925E-2</v>
      </c>
      <c r="L3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8.5753234591055966E-3</v>
      </c>
      <c r="M3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6.3075643500602394E-3</v>
      </c>
      <c r="N3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727267</v>
      </c>
      <c r="O34" s="177">
        <f>IFERROR(VLOOKUP(Vertailu[[#This Row],[Y-tunnus]],'1.2 Ohjaus-laskentataulu'!A:AT,COLUMN('1.2 Ohjaus-laskentataulu'!AF:AF),FALSE),0)</f>
        <v>782711</v>
      </c>
      <c r="P34" s="177">
        <f>IFERROR(Vertailu[[#This Row],[Rahoitus pl. hark. kor. 2024 ilman alv, €]]-Vertailu[[#This Row],[Rahoitus pl. hark. kor. 2023 ilman alv, €]],0)</f>
        <v>55444</v>
      </c>
      <c r="Q34" s="179">
        <f>IFERROR(Vertailu[[#This Row],[Muutos, € 1]]/Vertailu[[#This Row],[Rahoitus pl. hark. kor. 2023 ilman alv, €]],0)</f>
        <v>7.6236100359290335E-2</v>
      </c>
      <c r="R34" s="182">
        <f>IFERROR(VLOOKUP(Vertailu[[#This Row],[Y-tunnus]],'Suoritepäätös 2023 oikaistu'!$AB:$AL,COLUMN('Suoritepäätös 2023 oikaistu'!J:J),FALSE),0)</f>
        <v>727267</v>
      </c>
      <c r="S34" s="183">
        <f>IFERROR(VLOOKUP(Vertailu[[#This Row],[Y-tunnus]],'1.2 Ohjaus-laskentataulu'!A:AT,COLUMN('1.2 Ohjaus-laskentataulu'!AR:AR),FALSE),0)</f>
        <v>782711</v>
      </c>
      <c r="T34" s="177">
        <f>IFERROR(Vertailu[[#This Row],[Rahoitus ml. hark. kor. 
2024 ilman alv, €]]-Vertailu[[#This Row],[Rahoitus ml. hark. kor. 
2023 ilman alv, €]],0)</f>
        <v>55444</v>
      </c>
      <c r="U34" s="181">
        <f>IFERROR(Vertailu[[#This Row],[Muutos, € 2]]/Vertailu[[#This Row],[Rahoitus ml. hark. kor. 
2023 ilman alv, €]],0)</f>
        <v>7.6236100359290335E-2</v>
      </c>
      <c r="V3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750298</v>
      </c>
      <c r="W34" s="182">
        <f>IFERROR(VLOOKUP(Vertailu[[#This Row],[Y-tunnus]],'1.2 Ohjaus-laskentataulu'!A:AT,COLUMN('1.2 Ohjaus-laskentataulu'!AT:AT),FALSE),0)</f>
        <v>818342</v>
      </c>
      <c r="X34" s="184">
        <f>IFERROR(Vertailu[[#This Row],[Rahoitus ml. hark. kor. + alv 2024, €]]-Vertailu[[#This Row],[Rahoitus ml. hark. kor. + alv 2023, €]],0)</f>
        <v>68044</v>
      </c>
      <c r="Y34" s="179">
        <f>IFERROR(Vertailu[[#This Row],[Muutos, € 3]]/Vertailu[[#This Row],[Rahoitus ml. hark. kor. + alv 2023, €]],0)</f>
        <v>9.0689299451684524E-2</v>
      </c>
      <c r="Z34" s="177">
        <f>IFERROR(VLOOKUP(Vertailu[[#This Row],[Y-tunnus]],'Suoritepäätös 2023 oikaistu'!$B:$N,COLUMN('Suoritepäätös 2023 oikaistu'!H:H),FALSE),0)</f>
        <v>418447</v>
      </c>
      <c r="AA34" s="177">
        <f>IFERROR(VLOOKUP(Vertailu[[#This Row],[Y-tunnus]],'1.2 Ohjaus-laskentataulu'!A:AT,COLUMN('1.2 Ohjaus-laskentataulu'!AO:AO),FALSE),0)</f>
        <v>444948</v>
      </c>
      <c r="AB34" s="177">
        <f>Vertailu[[#This Row],[Perusrahoitus 2024, €]]-Vertailu[[#This Row],[Perusrahoitus 2023, €]]</f>
        <v>26501</v>
      </c>
      <c r="AC34" s="179">
        <f>IFERROR(Vertailu[[#This Row],[Perusrahoituksen muutos, €]]/Vertailu[[#This Row],[Perusrahoitus 2023, €]],0)</f>
        <v>6.333179590246793E-2</v>
      </c>
      <c r="AD34" s="177">
        <f>IFERROR(VLOOKUP(Vertailu[[#This Row],[Y-tunnus]],'Suoritepäätös 2023 oikaistu'!$O:$Y,COLUMN('Suoritepäätös 2023 oikaistu'!D:D),FALSE),0)</f>
        <v>169535</v>
      </c>
      <c r="AE34" s="177">
        <f>IFERROR(VLOOKUP(Vertailu[[#This Row],[Y-tunnus]],'1.2 Ohjaus-laskentataulu'!A:AT,COLUMN('1.2 Ohjaus-laskentataulu'!O:O),FALSE),0)</f>
        <v>172367</v>
      </c>
      <c r="AF34" s="177">
        <f>Vertailu[[#This Row],[Suoritusrahoitus 2024, €]]-Vertailu[[#This Row],[Suoritusrahoitus 2023, €]]</f>
        <v>2832</v>
      </c>
      <c r="AG34" s="179">
        <f>IFERROR(Vertailu[[#This Row],[Suoritusrahoituksen muutos, €]]/Vertailu[[#This Row],[Suoritusrahoitus 2023, €]],0)</f>
        <v>1.6704515291827645E-2</v>
      </c>
      <c r="AH34" s="177">
        <f>IFERROR(VLOOKUP(Vertailu[[#This Row],[Y-tunnus]],'Suoritepäätös 2023 oikaistu'!$AB:$AL,COLUMN('Suoritepäätös 2023 oikaistu'!I:I),FALSE),0)</f>
        <v>139285</v>
      </c>
      <c r="AI3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165396</v>
      </c>
      <c r="AJ34" s="177">
        <f>Vertailu[[#This Row],[Vaikuttavuusrahoitus 2024, €]]-Vertailu[[#This Row],[Vaikuttavuusrahoitus 2023, €]]</f>
        <v>26111</v>
      </c>
      <c r="AK34" s="179">
        <f>IFERROR(Vertailu[[#This Row],[Vaikuttavuusrahoituksen muutos, €]]/Vertailu[[#This Row],[Vaikuttavuusrahoitus 2023, €]],0)</f>
        <v>0.18746455110026206</v>
      </c>
    </row>
    <row r="35" spans="1:37" s="1" customFormat="1" ht="12.75" customHeight="1" x14ac:dyDescent="0.25">
      <c r="A35" s="3" t="s">
        <v>289</v>
      </c>
      <c r="B35" s="151" t="s">
        <v>37</v>
      </c>
      <c r="C35" s="151" t="s">
        <v>241</v>
      </c>
      <c r="D35" s="7" t="s">
        <v>326</v>
      </c>
      <c r="E3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0.67571034123749241</v>
      </c>
      <c r="F3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0.67571034123749241</v>
      </c>
      <c r="G3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0.24657139100498293</v>
      </c>
      <c r="H3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7.7718267757524689E-2</v>
      </c>
      <c r="I3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6.4046764858200086E-2</v>
      </c>
      <c r="J3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1.6945150306032367E-3</v>
      </c>
      <c r="K3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7.6112302205955358E-3</v>
      </c>
      <c r="L3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3.5500291139953792E-3</v>
      </c>
      <c r="M3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8.1572853413045758E-4</v>
      </c>
      <c r="N3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739646</v>
      </c>
      <c r="O35" s="177">
        <f>IFERROR(VLOOKUP(Vertailu[[#This Row],[Y-tunnus]],'1.2 Ohjaus-laskentataulu'!A:AT,COLUMN('1.2 Ohjaus-laskentataulu'!AF:AF),FALSE),0)</f>
        <v>745346</v>
      </c>
      <c r="P35" s="177">
        <f>IFERROR(Vertailu[[#This Row],[Rahoitus pl. hark. kor. 2024 ilman alv, €]]-Vertailu[[#This Row],[Rahoitus pl. hark. kor. 2023 ilman alv, €]],0)</f>
        <v>5700</v>
      </c>
      <c r="Q35" s="179">
        <f>IFERROR(Vertailu[[#This Row],[Muutos, € 1]]/Vertailu[[#This Row],[Rahoitus pl. hark. kor. 2023 ilman alv, €]],0)</f>
        <v>7.7063892727061321E-3</v>
      </c>
      <c r="R35" s="182">
        <f>IFERROR(VLOOKUP(Vertailu[[#This Row],[Y-tunnus]],'Suoritepäätös 2023 oikaistu'!$AB:$AL,COLUMN('Suoritepäätös 2023 oikaistu'!J:J),FALSE),0)</f>
        <v>739646</v>
      </c>
      <c r="S35" s="183">
        <f>IFERROR(VLOOKUP(Vertailu[[#This Row],[Y-tunnus]],'1.2 Ohjaus-laskentataulu'!A:AT,COLUMN('1.2 Ohjaus-laskentataulu'!AR:AR),FALSE),0)</f>
        <v>745346</v>
      </c>
      <c r="T35" s="177">
        <f>IFERROR(Vertailu[[#This Row],[Rahoitus ml. hark. kor. 
2024 ilman alv, €]]-Vertailu[[#This Row],[Rahoitus ml. hark. kor. 
2023 ilman alv, €]],0)</f>
        <v>5700</v>
      </c>
      <c r="U35" s="181">
        <f>IFERROR(Vertailu[[#This Row],[Muutos, € 2]]/Vertailu[[#This Row],[Rahoitus ml. hark. kor. 
2023 ilman alv, €]],0)</f>
        <v>7.7063892727061321E-3</v>
      </c>
      <c r="V3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739646</v>
      </c>
      <c r="W35" s="182">
        <f>IFERROR(VLOOKUP(Vertailu[[#This Row],[Y-tunnus]],'1.2 Ohjaus-laskentataulu'!A:AT,COLUMN('1.2 Ohjaus-laskentataulu'!AT:AT),FALSE),0)</f>
        <v>745346</v>
      </c>
      <c r="X35" s="184">
        <f>IFERROR(Vertailu[[#This Row],[Rahoitus ml. hark. kor. + alv 2024, €]]-Vertailu[[#This Row],[Rahoitus ml. hark. kor. + alv 2023, €]],0)</f>
        <v>5700</v>
      </c>
      <c r="Y35" s="179">
        <f>IFERROR(Vertailu[[#This Row],[Muutos, € 3]]/Vertailu[[#This Row],[Rahoitus ml. hark. kor. + alv 2023, €]],0)</f>
        <v>7.7063892727061321E-3</v>
      </c>
      <c r="Z35" s="177">
        <f>IFERROR(VLOOKUP(Vertailu[[#This Row],[Y-tunnus]],'Suoritepäätös 2023 oikaistu'!$B:$N,COLUMN('Suoritepäätös 2023 oikaistu'!H:H),FALSE),0)</f>
        <v>545800</v>
      </c>
      <c r="AA35" s="177">
        <f>IFERROR(VLOOKUP(Vertailu[[#This Row],[Y-tunnus]],'1.2 Ohjaus-laskentataulu'!A:AT,COLUMN('1.2 Ohjaus-laskentataulu'!AO:AO),FALSE),0)</f>
        <v>503638</v>
      </c>
      <c r="AB35" s="177">
        <f>Vertailu[[#This Row],[Perusrahoitus 2024, €]]-Vertailu[[#This Row],[Perusrahoitus 2023, €]]</f>
        <v>-42162</v>
      </c>
      <c r="AC35" s="179">
        <f>IFERROR(Vertailu[[#This Row],[Perusrahoituksen muutos, €]]/Vertailu[[#This Row],[Perusrahoitus 2023, €]],0)</f>
        <v>-7.7248076218395023E-2</v>
      </c>
      <c r="AD35" s="177">
        <f>IFERROR(VLOOKUP(Vertailu[[#This Row],[Y-tunnus]],'Suoritepäätös 2023 oikaistu'!$O:$Y,COLUMN('Suoritepäätös 2023 oikaistu'!D:D),FALSE),0)</f>
        <v>128966</v>
      </c>
      <c r="AE35" s="177">
        <f>IFERROR(VLOOKUP(Vertailu[[#This Row],[Y-tunnus]],'1.2 Ohjaus-laskentataulu'!A:AT,COLUMN('1.2 Ohjaus-laskentataulu'!O:O),FALSE),0)</f>
        <v>183781</v>
      </c>
      <c r="AF35" s="177">
        <f>Vertailu[[#This Row],[Suoritusrahoitus 2024, €]]-Vertailu[[#This Row],[Suoritusrahoitus 2023, €]]</f>
        <v>54815</v>
      </c>
      <c r="AG35" s="179">
        <f>IFERROR(Vertailu[[#This Row],[Suoritusrahoituksen muutos, €]]/Vertailu[[#This Row],[Suoritusrahoitus 2023, €]],0)</f>
        <v>0.42503450521842967</v>
      </c>
      <c r="AH35" s="177">
        <f>IFERROR(VLOOKUP(Vertailu[[#This Row],[Y-tunnus]],'Suoritepäätös 2023 oikaistu'!$AB:$AL,COLUMN('Suoritepäätös 2023 oikaistu'!I:I),FALSE),0)</f>
        <v>64880</v>
      </c>
      <c r="AI3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57927</v>
      </c>
      <c r="AJ35" s="177">
        <f>Vertailu[[#This Row],[Vaikuttavuusrahoitus 2024, €]]-Vertailu[[#This Row],[Vaikuttavuusrahoitus 2023, €]]</f>
        <v>-6953</v>
      </c>
      <c r="AK35" s="179">
        <f>IFERROR(Vertailu[[#This Row],[Vaikuttavuusrahoituksen muutos, €]]/Vertailu[[#This Row],[Vaikuttavuusrahoitus 2023, €]],0)</f>
        <v>-0.10716707768187422</v>
      </c>
    </row>
    <row r="36" spans="1:37" s="1" customFormat="1" ht="12.75" customHeight="1" x14ac:dyDescent="0.25">
      <c r="A36" s="3" t="s">
        <v>288</v>
      </c>
      <c r="B36" s="151" t="s">
        <v>38</v>
      </c>
      <c r="C36" s="151" t="s">
        <v>180</v>
      </c>
      <c r="D36" s="7" t="s">
        <v>324</v>
      </c>
      <c r="E3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0.6916186158266362</v>
      </c>
      <c r="F3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0.69888175987853518</v>
      </c>
      <c r="G3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0.18918045930874558</v>
      </c>
      <c r="H3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0.11193778081271925</v>
      </c>
      <c r="I3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8.1893921321113103E-2</v>
      </c>
      <c r="J3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4.0435813626625607E-3</v>
      </c>
      <c r="K3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1.1081155533633912E-2</v>
      </c>
      <c r="L3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1.0918356725759646E-2</v>
      </c>
      <c r="M3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4.0007658695500308E-3</v>
      </c>
      <c r="N3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30310815</v>
      </c>
      <c r="O36" s="177">
        <f>IFERROR(VLOOKUP(Vertailu[[#This Row],[Y-tunnus]],'1.2 Ohjaus-laskentataulu'!A:AT,COLUMN('1.2 Ohjaus-laskentataulu'!AF:AF),FALSE),0)</f>
        <v>31788545</v>
      </c>
      <c r="P36" s="177">
        <f>IFERROR(Vertailu[[#This Row],[Rahoitus pl. hark. kor. 2024 ilman alv, €]]-Vertailu[[#This Row],[Rahoitus pl. hark. kor. 2023 ilman alv, €]],0)</f>
        <v>1477730</v>
      </c>
      <c r="Q36" s="179">
        <f>IFERROR(Vertailu[[#This Row],[Muutos, € 1]]/Vertailu[[#This Row],[Rahoitus pl. hark. kor. 2023 ilman alv, €]],0)</f>
        <v>4.8752565709632024E-2</v>
      </c>
      <c r="R36" s="182">
        <f>IFERROR(VLOOKUP(Vertailu[[#This Row],[Y-tunnus]],'Suoritepäätös 2023 oikaistu'!$AB:$AL,COLUMN('Suoritepäätös 2023 oikaistu'!J:J),FALSE),0)</f>
        <v>30356815</v>
      </c>
      <c r="S36" s="183">
        <f>IFERROR(VLOOKUP(Vertailu[[#This Row],[Y-tunnus]],'1.2 Ohjaus-laskentataulu'!A:AT,COLUMN('1.2 Ohjaus-laskentataulu'!AR:AR),FALSE),0)</f>
        <v>32021119</v>
      </c>
      <c r="T36" s="177">
        <f>IFERROR(Vertailu[[#This Row],[Rahoitus ml. hark. kor. 
2024 ilman alv, €]]-Vertailu[[#This Row],[Rahoitus ml. hark. kor. 
2023 ilman alv, €]],0)</f>
        <v>1664304</v>
      </c>
      <c r="U36" s="181">
        <f>IFERROR(Vertailu[[#This Row],[Muutos, € 2]]/Vertailu[[#This Row],[Rahoitus ml. hark. kor. 
2023 ilman alv, €]],0)</f>
        <v>5.4824723871723699E-2</v>
      </c>
      <c r="V3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30356815</v>
      </c>
      <c r="W36" s="182">
        <f>IFERROR(VLOOKUP(Vertailu[[#This Row],[Y-tunnus]],'1.2 Ohjaus-laskentataulu'!A:AT,COLUMN('1.2 Ohjaus-laskentataulu'!AT:AT),FALSE),0)</f>
        <v>32021119</v>
      </c>
      <c r="X36" s="184">
        <f>IFERROR(Vertailu[[#This Row],[Rahoitus ml. hark. kor. + alv 2024, €]]-Vertailu[[#This Row],[Rahoitus ml. hark. kor. + alv 2023, €]],0)</f>
        <v>1664304</v>
      </c>
      <c r="Y36" s="179">
        <f>IFERROR(Vertailu[[#This Row],[Muutos, € 3]]/Vertailu[[#This Row],[Rahoitus ml. hark. kor. + alv 2023, €]],0)</f>
        <v>5.4824723871723699E-2</v>
      </c>
      <c r="Z36" s="177">
        <f>IFERROR(VLOOKUP(Vertailu[[#This Row],[Y-tunnus]],'Suoritepäätös 2023 oikaistu'!$B:$N,COLUMN('Suoritepäätös 2023 oikaistu'!H:H),FALSE),0)</f>
        <v>20629151</v>
      </c>
      <c r="AA36" s="177">
        <f>IFERROR(VLOOKUP(Vertailu[[#This Row],[Y-tunnus]],'1.2 Ohjaus-laskentataulu'!A:AT,COLUMN('1.2 Ohjaus-laskentataulu'!AO:AO),FALSE),0)</f>
        <v>22378976</v>
      </c>
      <c r="AB36" s="177">
        <f>Vertailu[[#This Row],[Perusrahoitus 2024, €]]-Vertailu[[#This Row],[Perusrahoitus 2023, €]]</f>
        <v>1749825</v>
      </c>
      <c r="AC36" s="179">
        <f>IFERROR(Vertailu[[#This Row],[Perusrahoituksen muutos, €]]/Vertailu[[#This Row],[Perusrahoitus 2023, €]],0)</f>
        <v>8.4822928486005075E-2</v>
      </c>
      <c r="AD36" s="177">
        <f>IFERROR(VLOOKUP(Vertailu[[#This Row],[Y-tunnus]],'Suoritepäätös 2023 oikaistu'!$O:$Y,COLUMN('Suoritepäätös 2023 oikaistu'!D:D),FALSE),0)</f>
        <v>6178281</v>
      </c>
      <c r="AE36" s="177">
        <f>IFERROR(VLOOKUP(Vertailu[[#This Row],[Y-tunnus]],'1.2 Ohjaus-laskentataulu'!A:AT,COLUMN('1.2 Ohjaus-laskentataulu'!O:O),FALSE),0)</f>
        <v>6057770</v>
      </c>
      <c r="AF36" s="177">
        <f>Vertailu[[#This Row],[Suoritusrahoitus 2024, €]]-Vertailu[[#This Row],[Suoritusrahoitus 2023, €]]</f>
        <v>-120511</v>
      </c>
      <c r="AG36" s="179">
        <f>IFERROR(Vertailu[[#This Row],[Suoritusrahoituksen muutos, €]]/Vertailu[[#This Row],[Suoritusrahoitus 2023, €]],0)</f>
        <v>-1.9505587395587866E-2</v>
      </c>
      <c r="AH36" s="177">
        <f>IFERROR(VLOOKUP(Vertailu[[#This Row],[Y-tunnus]],'Suoritepäätös 2023 oikaistu'!$AB:$AL,COLUMN('Suoritepäätös 2023 oikaistu'!I:I),FALSE),0)</f>
        <v>3549383</v>
      </c>
      <c r="AI3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3584373</v>
      </c>
      <c r="AJ36" s="177">
        <f>Vertailu[[#This Row],[Vaikuttavuusrahoitus 2024, €]]-Vertailu[[#This Row],[Vaikuttavuusrahoitus 2023, €]]</f>
        <v>34990</v>
      </c>
      <c r="AK36" s="179">
        <f>IFERROR(Vertailu[[#This Row],[Vaikuttavuusrahoituksen muutos, €]]/Vertailu[[#This Row],[Vaikuttavuusrahoitus 2023, €]],0)</f>
        <v>9.8580513852689327E-3</v>
      </c>
    </row>
    <row r="37" spans="1:37" s="1" customFormat="1" ht="12.75" customHeight="1" x14ac:dyDescent="0.25">
      <c r="A37" s="3" t="s">
        <v>287</v>
      </c>
      <c r="B37" s="151" t="s">
        <v>39</v>
      </c>
      <c r="C37" s="151" t="s">
        <v>173</v>
      </c>
      <c r="D37" s="7" t="s">
        <v>325</v>
      </c>
      <c r="E3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0.51320322167268406</v>
      </c>
      <c r="F3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0.51928012949890578</v>
      </c>
      <c r="G3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0.23029353743641084</v>
      </c>
      <c r="H3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0.25042633306468337</v>
      </c>
      <c r="I3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0.1204443131157142</v>
      </c>
      <c r="J3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1.5960238792093032E-2</v>
      </c>
      <c r="K3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5.8876881087827272E-2</v>
      </c>
      <c r="L3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4.4875685456212462E-2</v>
      </c>
      <c r="M3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1.0269214612836404E-2</v>
      </c>
      <c r="N3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1318466</v>
      </c>
      <c r="O37" s="177">
        <f>IFERROR(VLOOKUP(Vertailu[[#This Row],[Y-tunnus]],'1.2 Ohjaus-laskentataulu'!A:AT,COLUMN('1.2 Ohjaus-laskentataulu'!AF:AF),FALSE),0)</f>
        <v>1308459</v>
      </c>
      <c r="P37" s="177">
        <f>IFERROR(Vertailu[[#This Row],[Rahoitus pl. hark. kor. 2024 ilman alv, €]]-Vertailu[[#This Row],[Rahoitus pl. hark. kor. 2023 ilman alv, €]],0)</f>
        <v>-10007</v>
      </c>
      <c r="Q37" s="179">
        <f>IFERROR(Vertailu[[#This Row],[Muutos, € 1]]/Vertailu[[#This Row],[Rahoitus pl. hark. kor. 2023 ilman alv, €]],0)</f>
        <v>-7.5898809677306805E-3</v>
      </c>
      <c r="R37" s="182">
        <f>IFERROR(VLOOKUP(Vertailu[[#This Row],[Y-tunnus]],'Suoritepäätös 2023 oikaistu'!$AB:$AL,COLUMN('Suoritepäätös 2023 oikaistu'!J:J),FALSE),0)</f>
        <v>1318466</v>
      </c>
      <c r="S37" s="183">
        <f>IFERROR(VLOOKUP(Vertailu[[#This Row],[Y-tunnus]],'1.2 Ohjaus-laskentataulu'!A:AT,COLUMN('1.2 Ohjaus-laskentataulu'!AR:AR),FALSE),0)</f>
        <v>1316459</v>
      </c>
      <c r="T37" s="177">
        <f>IFERROR(Vertailu[[#This Row],[Rahoitus ml. hark. kor. 
2024 ilman alv, €]]-Vertailu[[#This Row],[Rahoitus ml. hark. kor. 
2023 ilman alv, €]],0)</f>
        <v>-2007</v>
      </c>
      <c r="U37" s="181">
        <f>IFERROR(Vertailu[[#This Row],[Muutos, € 2]]/Vertailu[[#This Row],[Rahoitus ml. hark. kor. 
2023 ilman alv, €]],0)</f>
        <v>-1.5222235537359326E-3</v>
      </c>
      <c r="V3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1357089</v>
      </c>
      <c r="W37" s="182">
        <f>IFERROR(VLOOKUP(Vertailu[[#This Row],[Y-tunnus]],'1.2 Ohjaus-laskentataulu'!A:AT,COLUMN('1.2 Ohjaus-laskentataulu'!AT:AT),FALSE),0)</f>
        <v>1375364</v>
      </c>
      <c r="X37" s="184">
        <f>IFERROR(Vertailu[[#This Row],[Rahoitus ml. hark. kor. + alv 2024, €]]-Vertailu[[#This Row],[Rahoitus ml. hark. kor. + alv 2023, €]],0)</f>
        <v>18275</v>
      </c>
      <c r="Y37" s="179">
        <f>IFERROR(Vertailu[[#This Row],[Muutos, € 3]]/Vertailu[[#This Row],[Rahoitus ml. hark. kor. + alv 2023, €]],0)</f>
        <v>1.3466323874115846E-2</v>
      </c>
      <c r="Z37" s="177">
        <f>IFERROR(VLOOKUP(Vertailu[[#This Row],[Y-tunnus]],'Suoritepäätös 2023 oikaistu'!$B:$N,COLUMN('Suoritepäätös 2023 oikaistu'!H:H),FALSE),0)</f>
        <v>641315</v>
      </c>
      <c r="AA37" s="177">
        <f>IFERROR(VLOOKUP(Vertailu[[#This Row],[Y-tunnus]],'1.2 Ohjaus-laskentataulu'!A:AT,COLUMN('1.2 Ohjaus-laskentataulu'!AO:AO),FALSE),0)</f>
        <v>683611</v>
      </c>
      <c r="AB37" s="177">
        <f>Vertailu[[#This Row],[Perusrahoitus 2024, €]]-Vertailu[[#This Row],[Perusrahoitus 2023, €]]</f>
        <v>42296</v>
      </c>
      <c r="AC37" s="179">
        <f>IFERROR(Vertailu[[#This Row],[Perusrahoituksen muutos, €]]/Vertailu[[#This Row],[Perusrahoitus 2023, €]],0)</f>
        <v>6.5951989272042599E-2</v>
      </c>
      <c r="AD37" s="177">
        <f>IFERROR(VLOOKUP(Vertailu[[#This Row],[Y-tunnus]],'Suoritepäätös 2023 oikaistu'!$O:$Y,COLUMN('Suoritepäätös 2023 oikaistu'!D:D),FALSE),0)</f>
        <v>293980</v>
      </c>
      <c r="AE37" s="177">
        <f>IFERROR(VLOOKUP(Vertailu[[#This Row],[Y-tunnus]],'1.2 Ohjaus-laskentataulu'!A:AT,COLUMN('1.2 Ohjaus-laskentataulu'!O:O),FALSE),0)</f>
        <v>303172</v>
      </c>
      <c r="AF37" s="177">
        <f>Vertailu[[#This Row],[Suoritusrahoitus 2024, €]]-Vertailu[[#This Row],[Suoritusrahoitus 2023, €]]</f>
        <v>9192</v>
      </c>
      <c r="AG37" s="179">
        <f>IFERROR(Vertailu[[#This Row],[Suoritusrahoituksen muutos, €]]/Vertailu[[#This Row],[Suoritusrahoitus 2023, €]],0)</f>
        <v>3.1267433158718279E-2</v>
      </c>
      <c r="AH37" s="177">
        <f>IFERROR(VLOOKUP(Vertailu[[#This Row],[Y-tunnus]],'Suoritepäätös 2023 oikaistu'!$AB:$AL,COLUMN('Suoritepäätös 2023 oikaistu'!I:I),FALSE),0)</f>
        <v>383171</v>
      </c>
      <c r="AI3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329676</v>
      </c>
      <c r="AJ37" s="177">
        <f>Vertailu[[#This Row],[Vaikuttavuusrahoitus 2024, €]]-Vertailu[[#This Row],[Vaikuttavuusrahoitus 2023, €]]</f>
        <v>-53495</v>
      </c>
      <c r="AK37" s="179">
        <f>IFERROR(Vertailu[[#This Row],[Vaikuttavuusrahoituksen muutos, €]]/Vertailu[[#This Row],[Vaikuttavuusrahoitus 2023, €]],0)</f>
        <v>-0.13961129626198224</v>
      </c>
    </row>
    <row r="38" spans="1:37" s="1" customFormat="1" ht="12.75" customHeight="1" x14ac:dyDescent="0.25">
      <c r="A38" s="3" t="s">
        <v>286</v>
      </c>
      <c r="B38" s="151" t="s">
        <v>441</v>
      </c>
      <c r="C38" s="151" t="s">
        <v>175</v>
      </c>
      <c r="D38" s="7" t="s">
        <v>324</v>
      </c>
      <c r="E3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0.67000116018289224</v>
      </c>
      <c r="F3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0.67274294164050752</v>
      </c>
      <c r="G38" s="179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0.21617773957168532</v>
      </c>
      <c r="H3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0.11107931878780714</v>
      </c>
      <c r="I3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8.1156359238147124E-2</v>
      </c>
      <c r="J3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4.2249084863449776E-3</v>
      </c>
      <c r="K3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1.1406703441118118E-2</v>
      </c>
      <c r="L3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1.1183153618701041E-2</v>
      </c>
      <c r="M3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3.1081940034958723E-3</v>
      </c>
      <c r="N3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67524904</v>
      </c>
      <c r="O38" s="177">
        <f>IFERROR(VLOOKUP(Vertailu[[#This Row],[Y-tunnus]],'1.2 Ohjaus-laskentataulu'!A:AT,COLUMN('1.2 Ohjaus-laskentataulu'!AF:AF),FALSE),0)</f>
        <v>71327105</v>
      </c>
      <c r="P38" s="177">
        <f>IFERROR(Vertailu[[#This Row],[Rahoitus pl. hark. kor. 2024 ilman alv, €]]-Vertailu[[#This Row],[Rahoitus pl. hark. kor. 2023 ilman alv, €]],0)</f>
        <v>3802201</v>
      </c>
      <c r="Q38" s="179">
        <f>IFERROR(Vertailu[[#This Row],[Muutos, € 1]]/Vertailu[[#This Row],[Rahoitus pl. hark. kor. 2023 ilman alv, €]],0)</f>
        <v>5.6308128923811575E-2</v>
      </c>
      <c r="R38" s="182">
        <f>IFERROR(VLOOKUP(Vertailu[[#This Row],[Y-tunnus]],'Suoritepäätös 2023 oikaistu'!$AB:$AL,COLUMN('Suoritepäätös 2023 oikaistu'!J:J),FALSE),0)</f>
        <v>67621904</v>
      </c>
      <c r="S38" s="183">
        <f>IFERROR(VLOOKUP(Vertailu[[#This Row],[Y-tunnus]],'1.2 Ohjaus-laskentataulu'!A:AT,COLUMN('1.2 Ohjaus-laskentataulu'!AR:AR),FALSE),0)</f>
        <v>71523206</v>
      </c>
      <c r="T38" s="177">
        <f>IFERROR(Vertailu[[#This Row],[Rahoitus ml. hark. kor. 
2024 ilman alv, €]]-Vertailu[[#This Row],[Rahoitus ml. hark. kor. 
2023 ilman alv, €]],0)</f>
        <v>3901302</v>
      </c>
      <c r="U38" s="181">
        <f>IFERROR(Vertailu[[#This Row],[Muutos, € 2]]/Vertailu[[#This Row],[Rahoitus ml. hark. kor. 
2023 ilman alv, €]],0)</f>
        <v>5.769287419058771E-2</v>
      </c>
      <c r="V3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67621904</v>
      </c>
      <c r="W38" s="182">
        <f>IFERROR(VLOOKUP(Vertailu[[#This Row],[Y-tunnus]],'1.2 Ohjaus-laskentataulu'!A:AT,COLUMN('1.2 Ohjaus-laskentataulu'!AT:AT),FALSE),0)</f>
        <v>71523206</v>
      </c>
      <c r="X38" s="184">
        <f>IFERROR(Vertailu[[#This Row],[Rahoitus ml. hark. kor. + alv 2024, €]]-Vertailu[[#This Row],[Rahoitus ml. hark. kor. + alv 2023, €]],0)</f>
        <v>3901302</v>
      </c>
      <c r="Y38" s="179">
        <f>IFERROR(Vertailu[[#This Row],[Muutos, € 3]]/Vertailu[[#This Row],[Rahoitus ml. hark. kor. + alv 2023, €]],0)</f>
        <v>5.769287419058771E-2</v>
      </c>
      <c r="Z38" s="177">
        <f>IFERROR(VLOOKUP(Vertailu[[#This Row],[Y-tunnus]],'Suoritepäätös 2023 oikaistu'!$B:$N,COLUMN('Suoritepäätös 2023 oikaistu'!H:H),FALSE),0)</f>
        <v>45444518</v>
      </c>
      <c r="AA38" s="177">
        <f>IFERROR(VLOOKUP(Vertailu[[#This Row],[Y-tunnus]],'1.2 Ohjaus-laskentataulu'!A:AT,COLUMN('1.2 Ohjaus-laskentataulu'!AO:AO),FALSE),0)</f>
        <v>48116732</v>
      </c>
      <c r="AB38" s="177">
        <f>Vertailu[[#This Row],[Perusrahoitus 2024, €]]-Vertailu[[#This Row],[Perusrahoitus 2023, €]]</f>
        <v>2672214</v>
      </c>
      <c r="AC38" s="179">
        <f>IFERROR(Vertailu[[#This Row],[Perusrahoituksen muutos, €]]/Vertailu[[#This Row],[Perusrahoitus 2023, €]],0)</f>
        <v>5.8801679885789528E-2</v>
      </c>
      <c r="AD38" s="177">
        <f>IFERROR(VLOOKUP(Vertailu[[#This Row],[Y-tunnus]],'Suoritepäätös 2023 oikaistu'!$O:$Y,COLUMN('Suoritepäätös 2023 oikaistu'!D:D),FALSE),0)</f>
        <v>14503204</v>
      </c>
      <c r="AE38" s="177">
        <f>IFERROR(VLOOKUP(Vertailu[[#This Row],[Y-tunnus]],'1.2 Ohjaus-laskentataulu'!A:AT,COLUMN('1.2 Ohjaus-laskentataulu'!O:O),FALSE),0)</f>
        <v>15461725</v>
      </c>
      <c r="AF38" s="177">
        <f>Vertailu[[#This Row],[Suoritusrahoitus 2024, €]]-Vertailu[[#This Row],[Suoritusrahoitus 2023, €]]</f>
        <v>958521</v>
      </c>
      <c r="AG38" s="179">
        <f>IFERROR(Vertailu[[#This Row],[Suoritusrahoituksen muutos, €]]/Vertailu[[#This Row],[Suoritusrahoitus 2023, €]],0)</f>
        <v>6.6090292875974163E-2</v>
      </c>
      <c r="AH38" s="177">
        <f>IFERROR(VLOOKUP(Vertailu[[#This Row],[Y-tunnus]],'Suoritepäätös 2023 oikaistu'!$AB:$AL,COLUMN('Suoritepäätös 2023 oikaistu'!I:I),FALSE),0)</f>
        <v>7674182</v>
      </c>
      <c r="AI3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7944749</v>
      </c>
      <c r="AJ38" s="177">
        <f>Vertailu[[#This Row],[Vaikuttavuusrahoitus 2024, €]]-Vertailu[[#This Row],[Vaikuttavuusrahoitus 2023, €]]</f>
        <v>270567</v>
      </c>
      <c r="AK38" s="179">
        <f>IFERROR(Vertailu[[#This Row],[Vaikuttavuusrahoituksen muutos, €]]/Vertailu[[#This Row],[Vaikuttavuusrahoitus 2023, €]],0)</f>
        <v>3.5256786977426388E-2</v>
      </c>
    </row>
    <row r="39" spans="1:37" s="1" customFormat="1" ht="12.75" customHeight="1" x14ac:dyDescent="0.25">
      <c r="A39" s="3" t="s">
        <v>291</v>
      </c>
      <c r="B39" s="151" t="s">
        <v>40</v>
      </c>
      <c r="C39" s="151" t="s">
        <v>175</v>
      </c>
      <c r="D39" s="7" t="s">
        <v>325</v>
      </c>
      <c r="E3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0.59063433173880442</v>
      </c>
      <c r="F3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0.59291071260281847</v>
      </c>
      <c r="G3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0.23610349155849683</v>
      </c>
      <c r="H3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0.17098579583868473</v>
      </c>
      <c r="I3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0.10325527016315732</v>
      </c>
      <c r="J3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5.8726073529833563E-3</v>
      </c>
      <c r="K3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2.2492919317322484E-2</v>
      </c>
      <c r="L3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3.1969037578040024E-2</v>
      </c>
      <c r="M3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7.3959614271815353E-3</v>
      </c>
      <c r="N3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2082719</v>
      </c>
      <c r="O39" s="177">
        <f>IFERROR(VLOOKUP(Vertailu[[#This Row],[Y-tunnus]],'1.2 Ohjaus-laskentataulu'!A:AT,COLUMN('1.2 Ohjaus-laskentataulu'!AF:AF),FALSE),0)</f>
        <v>2191469</v>
      </c>
      <c r="P39" s="177">
        <f>IFERROR(Vertailu[[#This Row],[Rahoitus pl. hark. kor. 2024 ilman alv, €]]-Vertailu[[#This Row],[Rahoitus pl. hark. kor. 2023 ilman alv, €]],0)</f>
        <v>108750</v>
      </c>
      <c r="Q39" s="179">
        <f>IFERROR(Vertailu[[#This Row],[Muutos, € 1]]/Vertailu[[#This Row],[Rahoitus pl. hark. kor. 2023 ilman alv, €]],0)</f>
        <v>5.221539727634885E-2</v>
      </c>
      <c r="R39" s="182">
        <f>IFERROR(VLOOKUP(Vertailu[[#This Row],[Y-tunnus]],'Suoritepäätös 2023 oikaistu'!$AB:$AL,COLUMN('Suoritepäätös 2023 oikaistu'!J:J),FALSE),0)</f>
        <v>2090719</v>
      </c>
      <c r="S39" s="183">
        <f>IFERROR(VLOOKUP(Vertailu[[#This Row],[Y-tunnus]],'1.2 Ohjaus-laskentataulu'!A:AT,COLUMN('1.2 Ohjaus-laskentataulu'!AR:AR),FALSE),0)</f>
        <v>2196469</v>
      </c>
      <c r="T39" s="177">
        <f>IFERROR(Vertailu[[#This Row],[Rahoitus ml. hark. kor. 
2024 ilman alv, €]]-Vertailu[[#This Row],[Rahoitus ml. hark. kor. 
2023 ilman alv, €]],0)</f>
        <v>105750</v>
      </c>
      <c r="U39" s="181">
        <f>IFERROR(Vertailu[[#This Row],[Muutos, € 2]]/Vertailu[[#This Row],[Rahoitus ml. hark. kor. 
2023 ilman alv, €]],0)</f>
        <v>5.0580685400572721E-2</v>
      </c>
      <c r="V3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2189836</v>
      </c>
      <c r="W39" s="182">
        <f>IFERROR(VLOOKUP(Vertailu[[#This Row],[Y-tunnus]],'1.2 Ohjaus-laskentataulu'!A:AT,COLUMN('1.2 Ohjaus-laskentataulu'!AT:AT),FALSE),0)</f>
        <v>2267884</v>
      </c>
      <c r="X39" s="184">
        <f>IFERROR(Vertailu[[#This Row],[Rahoitus ml. hark. kor. + alv 2024, €]]-Vertailu[[#This Row],[Rahoitus ml. hark. kor. + alv 2023, €]],0)</f>
        <v>78048</v>
      </c>
      <c r="Y39" s="179">
        <f>IFERROR(Vertailu[[#This Row],[Muutos, € 3]]/Vertailu[[#This Row],[Rahoitus ml. hark. kor. + alv 2023, €]],0)</f>
        <v>3.5641025172661329E-2</v>
      </c>
      <c r="Z39" s="177">
        <f>IFERROR(VLOOKUP(Vertailu[[#This Row],[Y-tunnus]],'Suoritepäätös 2023 oikaistu'!$B:$N,COLUMN('Suoritepäätös 2023 oikaistu'!H:H),FALSE),0)</f>
        <v>1191866</v>
      </c>
      <c r="AA39" s="177">
        <f>IFERROR(VLOOKUP(Vertailu[[#This Row],[Y-tunnus]],'1.2 Ohjaus-laskentataulu'!A:AT,COLUMN('1.2 Ohjaus-laskentataulu'!AO:AO),FALSE),0)</f>
        <v>1302310</v>
      </c>
      <c r="AB39" s="177">
        <f>Vertailu[[#This Row],[Perusrahoitus 2024, €]]-Vertailu[[#This Row],[Perusrahoitus 2023, €]]</f>
        <v>110444</v>
      </c>
      <c r="AC39" s="179">
        <f>IFERROR(Vertailu[[#This Row],[Perusrahoituksen muutos, €]]/Vertailu[[#This Row],[Perusrahoitus 2023, €]],0)</f>
        <v>9.2664779429902353E-2</v>
      </c>
      <c r="AD39" s="177">
        <f>IFERROR(VLOOKUP(Vertailu[[#This Row],[Y-tunnus]],'Suoritepäätös 2023 oikaistu'!$O:$Y,COLUMN('Suoritepäätös 2023 oikaistu'!D:D),FALSE),0)</f>
        <v>523915</v>
      </c>
      <c r="AE39" s="177">
        <f>IFERROR(VLOOKUP(Vertailu[[#This Row],[Y-tunnus]],'1.2 Ohjaus-laskentataulu'!A:AT,COLUMN('1.2 Ohjaus-laskentataulu'!O:O),FALSE),0)</f>
        <v>518594</v>
      </c>
      <c r="AF39" s="177">
        <f>Vertailu[[#This Row],[Suoritusrahoitus 2024, €]]-Vertailu[[#This Row],[Suoritusrahoitus 2023, €]]</f>
        <v>-5321</v>
      </c>
      <c r="AG39" s="179">
        <f>IFERROR(Vertailu[[#This Row],[Suoritusrahoituksen muutos, €]]/Vertailu[[#This Row],[Suoritusrahoitus 2023, €]],0)</f>
        <v>-1.0156227632344941E-2</v>
      </c>
      <c r="AH39" s="177">
        <f>IFERROR(VLOOKUP(Vertailu[[#This Row],[Y-tunnus]],'Suoritepäätös 2023 oikaistu'!$AB:$AL,COLUMN('Suoritepäätös 2023 oikaistu'!I:I),FALSE),0)</f>
        <v>374938</v>
      </c>
      <c r="AI3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375565</v>
      </c>
      <c r="AJ39" s="177">
        <f>Vertailu[[#This Row],[Vaikuttavuusrahoitus 2024, €]]-Vertailu[[#This Row],[Vaikuttavuusrahoitus 2023, €]]</f>
        <v>627</v>
      </c>
      <c r="AK39" s="179">
        <f>IFERROR(Vertailu[[#This Row],[Vaikuttavuusrahoituksen muutos, €]]/Vertailu[[#This Row],[Vaikuttavuusrahoitus 2023, €]],0)</f>
        <v>1.6722764830451968E-3</v>
      </c>
    </row>
    <row r="40" spans="1:37" s="1" customFormat="1" ht="12.75" customHeight="1" x14ac:dyDescent="0.25">
      <c r="A40" s="3" t="s">
        <v>290</v>
      </c>
      <c r="B40" s="151" t="s">
        <v>41</v>
      </c>
      <c r="C40" s="151" t="s">
        <v>175</v>
      </c>
      <c r="D40" s="7" t="s">
        <v>325</v>
      </c>
      <c r="E4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0.64290729050269291</v>
      </c>
      <c r="F4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0.64316311022165051</v>
      </c>
      <c r="G4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0.22484181933810241</v>
      </c>
      <c r="H4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0.13199507044024705</v>
      </c>
      <c r="I4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8.0605487907847412E-2</v>
      </c>
      <c r="J4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6.0060146377743685E-3</v>
      </c>
      <c r="K4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1.8323446667696652E-2</v>
      </c>
      <c r="L4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2.0262933806647721E-2</v>
      </c>
      <c r="M4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6.7971874202808983E-3</v>
      </c>
      <c r="N4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1361258</v>
      </c>
      <c r="O40" s="177">
        <f>IFERROR(VLOOKUP(Vertailu[[#This Row],[Y-tunnus]],'1.2 Ohjaus-laskentataulu'!A:AT,COLUMN('1.2 Ohjaus-laskentataulu'!AF:AF),FALSE),0)</f>
        <v>1391249</v>
      </c>
      <c r="P40" s="177">
        <f>IFERROR(Vertailu[[#This Row],[Rahoitus pl. hark. kor. 2024 ilman alv, €]]-Vertailu[[#This Row],[Rahoitus pl. hark. kor. 2023 ilman alv, €]],0)</f>
        <v>29991</v>
      </c>
      <c r="Q40" s="179">
        <f>IFERROR(Vertailu[[#This Row],[Muutos, € 1]]/Vertailu[[#This Row],[Rahoitus pl. hark. kor. 2023 ilman alv, €]],0)</f>
        <v>2.2031826442893265E-2</v>
      </c>
      <c r="R40" s="182">
        <f>IFERROR(VLOOKUP(Vertailu[[#This Row],[Y-tunnus]],'Suoritepäätös 2023 oikaistu'!$AB:$AL,COLUMN('Suoritepäätös 2023 oikaistu'!J:J),FALSE),0)</f>
        <v>1361258</v>
      </c>
      <c r="S40" s="183">
        <f>IFERROR(VLOOKUP(Vertailu[[#This Row],[Y-tunnus]],'1.2 Ohjaus-laskentataulu'!A:AT,COLUMN('1.2 Ohjaus-laskentataulu'!AR:AR),FALSE),0)</f>
        <v>1391605</v>
      </c>
      <c r="T40" s="177">
        <f>IFERROR(Vertailu[[#This Row],[Rahoitus ml. hark. kor. 
2024 ilman alv, €]]-Vertailu[[#This Row],[Rahoitus ml. hark. kor. 
2023 ilman alv, €]],0)</f>
        <v>30347</v>
      </c>
      <c r="U40" s="181">
        <f>IFERROR(Vertailu[[#This Row],[Muutos, € 2]]/Vertailu[[#This Row],[Rahoitus ml. hark. kor. 
2023 ilman alv, €]],0)</f>
        <v>2.229334924018812E-2</v>
      </c>
      <c r="V4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1420153</v>
      </c>
      <c r="W40" s="182">
        <f>IFERROR(VLOOKUP(Vertailu[[#This Row],[Y-tunnus]],'1.2 Ohjaus-laskentataulu'!A:AT,COLUMN('1.2 Ohjaus-laskentataulu'!AT:AT),FALSE),0)</f>
        <v>1469362</v>
      </c>
      <c r="X40" s="184">
        <f>IFERROR(Vertailu[[#This Row],[Rahoitus ml. hark. kor. + alv 2024, €]]-Vertailu[[#This Row],[Rahoitus ml. hark. kor. + alv 2023, €]],0)</f>
        <v>49209</v>
      </c>
      <c r="Y40" s="179">
        <f>IFERROR(Vertailu[[#This Row],[Muutos, € 3]]/Vertailu[[#This Row],[Rahoitus ml. hark. kor. + alv 2023, €]],0)</f>
        <v>3.4650491883620987E-2</v>
      </c>
      <c r="Z40" s="177">
        <f>IFERROR(VLOOKUP(Vertailu[[#This Row],[Y-tunnus]],'Suoritepäätös 2023 oikaistu'!$B:$N,COLUMN('Suoritepäätös 2023 oikaistu'!H:H),FALSE),0)</f>
        <v>875229</v>
      </c>
      <c r="AA40" s="177">
        <f>IFERROR(VLOOKUP(Vertailu[[#This Row],[Y-tunnus]],'1.2 Ohjaus-laskentataulu'!A:AT,COLUMN('1.2 Ohjaus-laskentataulu'!AO:AO),FALSE),0)</f>
        <v>895029</v>
      </c>
      <c r="AB40" s="177">
        <f>Vertailu[[#This Row],[Perusrahoitus 2024, €]]-Vertailu[[#This Row],[Perusrahoitus 2023, €]]</f>
        <v>19800</v>
      </c>
      <c r="AC40" s="179">
        <f>IFERROR(Vertailu[[#This Row],[Perusrahoituksen muutos, €]]/Vertailu[[#This Row],[Perusrahoitus 2023, €]],0)</f>
        <v>2.2622650757687417E-2</v>
      </c>
      <c r="AD40" s="177">
        <f>IFERROR(VLOOKUP(Vertailu[[#This Row],[Y-tunnus]],'Suoritepäätös 2023 oikaistu'!$O:$Y,COLUMN('Suoritepäätös 2023 oikaistu'!D:D),FALSE),0)</f>
        <v>340895</v>
      </c>
      <c r="AE40" s="177">
        <f>IFERROR(VLOOKUP(Vertailu[[#This Row],[Y-tunnus]],'1.2 Ohjaus-laskentataulu'!A:AT,COLUMN('1.2 Ohjaus-laskentataulu'!O:O),FALSE),0)</f>
        <v>312891</v>
      </c>
      <c r="AF40" s="177">
        <f>Vertailu[[#This Row],[Suoritusrahoitus 2024, €]]-Vertailu[[#This Row],[Suoritusrahoitus 2023, €]]</f>
        <v>-28004</v>
      </c>
      <c r="AG40" s="179">
        <f>IFERROR(Vertailu[[#This Row],[Suoritusrahoituksen muutos, €]]/Vertailu[[#This Row],[Suoritusrahoitus 2023, €]],0)</f>
        <v>-8.2148462136434966E-2</v>
      </c>
      <c r="AH40" s="177">
        <f>IFERROR(VLOOKUP(Vertailu[[#This Row],[Y-tunnus]],'Suoritepäätös 2023 oikaistu'!$AB:$AL,COLUMN('Suoritepäätös 2023 oikaistu'!I:I),FALSE),0)</f>
        <v>145134</v>
      </c>
      <c r="AI4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183685</v>
      </c>
      <c r="AJ40" s="177">
        <f>Vertailu[[#This Row],[Vaikuttavuusrahoitus 2024, €]]-Vertailu[[#This Row],[Vaikuttavuusrahoitus 2023, €]]</f>
        <v>38551</v>
      </c>
      <c r="AK40" s="179">
        <f>IFERROR(Vertailu[[#This Row],[Vaikuttavuusrahoituksen muutos, €]]/Vertailu[[#This Row],[Vaikuttavuusrahoitus 2023, €]],0)</f>
        <v>0.26562349277219671</v>
      </c>
    </row>
    <row r="41" spans="1:37" s="1" customFormat="1" ht="12.75" customHeight="1" x14ac:dyDescent="0.25">
      <c r="A41" s="3" t="s">
        <v>285</v>
      </c>
      <c r="B41" s="151" t="s">
        <v>42</v>
      </c>
      <c r="C41" s="151" t="s">
        <v>199</v>
      </c>
      <c r="D41" s="7" t="s">
        <v>324</v>
      </c>
      <c r="E4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0.72491324710944482</v>
      </c>
      <c r="F4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0.72491324710944482</v>
      </c>
      <c r="G4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0.18874695725199736</v>
      </c>
      <c r="H4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8.6339795638557773E-2</v>
      </c>
      <c r="I4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6.3814216440438165E-2</v>
      </c>
      <c r="J4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3.2803552290894549E-3</v>
      </c>
      <c r="K4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7.2991934221918794E-3</v>
      </c>
      <c r="L4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9.6555945002320606E-3</v>
      </c>
      <c r="M4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2.2904360466062174E-3</v>
      </c>
      <c r="N4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6639791</v>
      </c>
      <c r="O41" s="177">
        <f>IFERROR(VLOOKUP(Vertailu[[#This Row],[Y-tunnus]],'1.2 Ohjaus-laskentataulu'!A:AT,COLUMN('1.2 Ohjaus-laskentataulu'!AF:AF),FALSE),0)</f>
        <v>6761158</v>
      </c>
      <c r="P41" s="177">
        <f>IFERROR(Vertailu[[#This Row],[Rahoitus pl. hark. kor. 2024 ilman alv, €]]-Vertailu[[#This Row],[Rahoitus pl. hark. kor. 2023 ilman alv, €]],0)</f>
        <v>121367</v>
      </c>
      <c r="Q41" s="179">
        <f>IFERROR(Vertailu[[#This Row],[Muutos, € 1]]/Vertailu[[#This Row],[Rahoitus pl. hark. kor. 2023 ilman alv, €]],0)</f>
        <v>1.827873799039759E-2</v>
      </c>
      <c r="R41" s="182">
        <f>IFERROR(VLOOKUP(Vertailu[[#This Row],[Y-tunnus]],'Suoritepäätös 2023 oikaistu'!$AB:$AL,COLUMN('Suoritepäätös 2023 oikaistu'!J:J),FALSE),0)</f>
        <v>6644791</v>
      </c>
      <c r="S41" s="183">
        <f>IFERROR(VLOOKUP(Vertailu[[#This Row],[Y-tunnus]],'1.2 Ohjaus-laskentataulu'!A:AT,COLUMN('1.2 Ohjaus-laskentataulu'!AR:AR),FALSE),0)</f>
        <v>6761158</v>
      </c>
      <c r="T41" s="177">
        <f>IFERROR(Vertailu[[#This Row],[Rahoitus ml. hark. kor. 
2024 ilman alv, €]]-Vertailu[[#This Row],[Rahoitus ml. hark. kor. 
2023 ilman alv, €]],0)</f>
        <v>116367</v>
      </c>
      <c r="U41" s="181">
        <f>IFERROR(Vertailu[[#This Row],[Muutos, € 2]]/Vertailu[[#This Row],[Rahoitus ml. hark. kor. 
2023 ilman alv, €]],0)</f>
        <v>1.751251469007829E-2</v>
      </c>
      <c r="V4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6644791</v>
      </c>
      <c r="W41" s="182">
        <f>IFERROR(VLOOKUP(Vertailu[[#This Row],[Y-tunnus]],'1.2 Ohjaus-laskentataulu'!A:AT,COLUMN('1.2 Ohjaus-laskentataulu'!AT:AT),FALSE),0)</f>
        <v>6761158</v>
      </c>
      <c r="X41" s="184">
        <f>IFERROR(Vertailu[[#This Row],[Rahoitus ml. hark. kor. + alv 2024, €]]-Vertailu[[#This Row],[Rahoitus ml. hark. kor. + alv 2023, €]],0)</f>
        <v>116367</v>
      </c>
      <c r="Y41" s="179">
        <f>IFERROR(Vertailu[[#This Row],[Muutos, € 3]]/Vertailu[[#This Row],[Rahoitus ml. hark. kor. + alv 2023, €]],0)</f>
        <v>1.751251469007829E-2</v>
      </c>
      <c r="Z41" s="177">
        <f>IFERROR(VLOOKUP(Vertailu[[#This Row],[Y-tunnus]],'Suoritepäätös 2023 oikaistu'!$B:$N,COLUMN('Suoritepäätös 2023 oikaistu'!H:H),FALSE),0)</f>
        <v>4726818</v>
      </c>
      <c r="AA41" s="177">
        <f>IFERROR(VLOOKUP(Vertailu[[#This Row],[Y-tunnus]],'1.2 Ohjaus-laskentataulu'!A:AT,COLUMN('1.2 Ohjaus-laskentataulu'!AO:AO),FALSE),0)</f>
        <v>4901253</v>
      </c>
      <c r="AB41" s="177">
        <f>Vertailu[[#This Row],[Perusrahoitus 2024, €]]-Vertailu[[#This Row],[Perusrahoitus 2023, €]]</f>
        <v>174435</v>
      </c>
      <c r="AC41" s="179">
        <f>IFERROR(Vertailu[[#This Row],[Perusrahoituksen muutos, €]]/Vertailu[[#This Row],[Perusrahoitus 2023, €]],0)</f>
        <v>3.6903261348332009E-2</v>
      </c>
      <c r="AD41" s="177">
        <f>IFERROR(VLOOKUP(Vertailu[[#This Row],[Y-tunnus]],'Suoritepäätös 2023 oikaistu'!$O:$Y,COLUMN('Suoritepäätös 2023 oikaistu'!D:D),FALSE),0)</f>
        <v>1237901</v>
      </c>
      <c r="AE41" s="177">
        <f>IFERROR(VLOOKUP(Vertailu[[#This Row],[Y-tunnus]],'1.2 Ohjaus-laskentataulu'!A:AT,COLUMN('1.2 Ohjaus-laskentataulu'!O:O),FALSE),0)</f>
        <v>1276148</v>
      </c>
      <c r="AF41" s="177">
        <f>Vertailu[[#This Row],[Suoritusrahoitus 2024, €]]-Vertailu[[#This Row],[Suoritusrahoitus 2023, €]]</f>
        <v>38247</v>
      </c>
      <c r="AG41" s="179">
        <f>IFERROR(Vertailu[[#This Row],[Suoritusrahoituksen muutos, €]]/Vertailu[[#This Row],[Suoritusrahoitus 2023, €]],0)</f>
        <v>3.0896654902128683E-2</v>
      </c>
      <c r="AH41" s="177">
        <f>IFERROR(VLOOKUP(Vertailu[[#This Row],[Y-tunnus]],'Suoritepäätös 2023 oikaistu'!$AB:$AL,COLUMN('Suoritepäätös 2023 oikaistu'!I:I),FALSE),0)</f>
        <v>680072</v>
      </c>
      <c r="AI4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583757</v>
      </c>
      <c r="AJ41" s="177">
        <f>Vertailu[[#This Row],[Vaikuttavuusrahoitus 2024, €]]-Vertailu[[#This Row],[Vaikuttavuusrahoitus 2023, €]]</f>
        <v>-96315</v>
      </c>
      <c r="AK41" s="179">
        <f>IFERROR(Vertailu[[#This Row],[Vaikuttavuusrahoituksen muutos, €]]/Vertailu[[#This Row],[Vaikuttavuusrahoitus 2023, €]],0)</f>
        <v>-0.14162471032478913</v>
      </c>
    </row>
    <row r="42" spans="1:37" s="1" customFormat="1" ht="12.75" customHeight="1" x14ac:dyDescent="0.25">
      <c r="A42" s="3" t="s">
        <v>284</v>
      </c>
      <c r="B42" s="151" t="s">
        <v>43</v>
      </c>
      <c r="C42" s="151" t="s">
        <v>181</v>
      </c>
      <c r="D42" s="7" t="s">
        <v>326</v>
      </c>
      <c r="E4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0.68328503520496608</v>
      </c>
      <c r="F4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0.68864746370248697</v>
      </c>
      <c r="G4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0.1940052145311448</v>
      </c>
      <c r="H4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0.11734732176636822</v>
      </c>
      <c r="I4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7.729031998096747E-2</v>
      </c>
      <c r="J4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4.0082673087557434E-3</v>
      </c>
      <c r="K4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1.2225414850956857E-2</v>
      </c>
      <c r="L4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1.8189043532940798E-2</v>
      </c>
      <c r="M4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5.6342760927473494E-3</v>
      </c>
      <c r="N4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29485847</v>
      </c>
      <c r="O42" s="177">
        <f>IFERROR(VLOOKUP(Vertailu[[#This Row],[Y-tunnus]],'1.2 Ohjaus-laskentataulu'!A:AT,COLUMN('1.2 Ohjaus-laskentataulu'!AF:AF),FALSE),0)</f>
        <v>31151073</v>
      </c>
      <c r="P42" s="177">
        <f>IFERROR(Vertailu[[#This Row],[Rahoitus pl. hark. kor. 2024 ilman alv, €]]-Vertailu[[#This Row],[Rahoitus pl. hark. kor. 2023 ilman alv, €]],0)</f>
        <v>1665226</v>
      </c>
      <c r="Q42" s="179">
        <f>IFERROR(Vertailu[[#This Row],[Muutos, € 1]]/Vertailu[[#This Row],[Rahoitus pl. hark. kor. 2023 ilman alv, €]],0)</f>
        <v>5.6475433790319808E-2</v>
      </c>
      <c r="R42" s="182">
        <f>IFERROR(VLOOKUP(Vertailu[[#This Row],[Y-tunnus]],'Suoritepäätös 2023 oikaistu'!$AB:$AL,COLUMN('Suoritepäätös 2023 oikaistu'!J:J),FALSE),0)</f>
        <v>29553847</v>
      </c>
      <c r="S42" s="183">
        <f>IFERROR(VLOOKUP(Vertailu[[#This Row],[Y-tunnus]],'1.2 Ohjaus-laskentataulu'!A:AT,COLUMN('1.2 Ohjaus-laskentataulu'!AR:AR),FALSE),0)</f>
        <v>31319019</v>
      </c>
      <c r="T42" s="177">
        <f>IFERROR(Vertailu[[#This Row],[Rahoitus ml. hark. kor. 
2024 ilman alv, €]]-Vertailu[[#This Row],[Rahoitus ml. hark. kor. 
2023 ilman alv, €]],0)</f>
        <v>1765172</v>
      </c>
      <c r="U42" s="181">
        <f>IFERROR(Vertailu[[#This Row],[Muutos, € 2]]/Vertailu[[#This Row],[Rahoitus ml. hark. kor. 
2023 ilman alv, €]],0)</f>
        <v>5.9727317394584874E-2</v>
      </c>
      <c r="V4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29553847</v>
      </c>
      <c r="W42" s="182">
        <f>IFERROR(VLOOKUP(Vertailu[[#This Row],[Y-tunnus]],'1.2 Ohjaus-laskentataulu'!A:AT,COLUMN('1.2 Ohjaus-laskentataulu'!AT:AT),FALSE),0)</f>
        <v>31319019</v>
      </c>
      <c r="X42" s="184">
        <f>IFERROR(Vertailu[[#This Row],[Rahoitus ml. hark. kor. + alv 2024, €]]-Vertailu[[#This Row],[Rahoitus ml. hark. kor. + alv 2023, €]],0)</f>
        <v>1765172</v>
      </c>
      <c r="Y42" s="179">
        <f>IFERROR(Vertailu[[#This Row],[Muutos, € 3]]/Vertailu[[#This Row],[Rahoitus ml. hark. kor. + alv 2023, €]],0)</f>
        <v>5.9727317394584874E-2</v>
      </c>
      <c r="Z42" s="177">
        <f>IFERROR(VLOOKUP(Vertailu[[#This Row],[Y-tunnus]],'Suoritepäätös 2023 oikaistu'!$B:$N,COLUMN('Suoritepäätös 2023 oikaistu'!H:H),FALSE),0)</f>
        <v>20024781</v>
      </c>
      <c r="AA42" s="177">
        <f>IFERROR(VLOOKUP(Vertailu[[#This Row],[Y-tunnus]],'1.2 Ohjaus-laskentataulu'!A:AT,COLUMN('1.2 Ohjaus-laskentataulu'!AO:AO),FALSE),0)</f>
        <v>21567763</v>
      </c>
      <c r="AB42" s="177">
        <f>Vertailu[[#This Row],[Perusrahoitus 2024, €]]-Vertailu[[#This Row],[Perusrahoitus 2023, €]]</f>
        <v>1542982</v>
      </c>
      <c r="AC42" s="179">
        <f>IFERROR(Vertailu[[#This Row],[Perusrahoituksen muutos, €]]/Vertailu[[#This Row],[Perusrahoitus 2023, €]],0)</f>
        <v>7.7053626703832617E-2</v>
      </c>
      <c r="AD42" s="177">
        <f>IFERROR(VLOOKUP(Vertailu[[#This Row],[Y-tunnus]],'Suoritepäätös 2023 oikaistu'!$O:$Y,COLUMN('Suoritepäätös 2023 oikaistu'!D:D),FALSE),0)</f>
        <v>5758186</v>
      </c>
      <c r="AE42" s="177">
        <f>IFERROR(VLOOKUP(Vertailu[[#This Row],[Y-tunnus]],'1.2 Ohjaus-laskentataulu'!A:AT,COLUMN('1.2 Ohjaus-laskentataulu'!O:O),FALSE),0)</f>
        <v>6076053</v>
      </c>
      <c r="AF42" s="177">
        <f>Vertailu[[#This Row],[Suoritusrahoitus 2024, €]]-Vertailu[[#This Row],[Suoritusrahoitus 2023, €]]</f>
        <v>317867</v>
      </c>
      <c r="AG42" s="179">
        <f>IFERROR(Vertailu[[#This Row],[Suoritusrahoituksen muutos, €]]/Vertailu[[#This Row],[Suoritusrahoitus 2023, €]],0)</f>
        <v>5.5202628049875427E-2</v>
      </c>
      <c r="AH42" s="177">
        <f>IFERROR(VLOOKUP(Vertailu[[#This Row],[Y-tunnus]],'Suoritepäätös 2023 oikaistu'!$AB:$AL,COLUMN('Suoritepäätös 2023 oikaistu'!I:I),FALSE),0)</f>
        <v>3770880</v>
      </c>
      <c r="AI4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3675203</v>
      </c>
      <c r="AJ42" s="177">
        <f>Vertailu[[#This Row],[Vaikuttavuusrahoitus 2024, €]]-Vertailu[[#This Row],[Vaikuttavuusrahoitus 2023, €]]</f>
        <v>-95677</v>
      </c>
      <c r="AK42" s="179">
        <f>IFERROR(Vertailu[[#This Row],[Vaikuttavuusrahoituksen muutos, €]]/Vertailu[[#This Row],[Vaikuttavuusrahoitus 2023, €]],0)</f>
        <v>-2.5372592073998643E-2</v>
      </c>
    </row>
    <row r="43" spans="1:37" s="1" customFormat="1" ht="12.75" customHeight="1" x14ac:dyDescent="0.25">
      <c r="A43" s="3" t="s">
        <v>283</v>
      </c>
      <c r="B43" s="151" t="s">
        <v>149</v>
      </c>
      <c r="C43" s="151" t="s">
        <v>180</v>
      </c>
      <c r="D43" s="7" t="s">
        <v>325</v>
      </c>
      <c r="E4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0.63803437594310852</v>
      </c>
      <c r="F4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0.64251204268470152</v>
      </c>
      <c r="G4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0.20070335189176941</v>
      </c>
      <c r="H4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0.15678460542352907</v>
      </c>
      <c r="I4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9.5712813201594402E-2</v>
      </c>
      <c r="J4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6.2490317045671307E-3</v>
      </c>
      <c r="K4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1.6174227803982078E-2</v>
      </c>
      <c r="L4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3.15603862614438E-2</v>
      </c>
      <c r="M4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7.0881464519416508E-3</v>
      </c>
      <c r="N4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1061483</v>
      </c>
      <c r="O43" s="177">
        <f>IFERROR(VLOOKUP(Vertailu[[#This Row],[Y-tunnus]],'1.2 Ohjaus-laskentataulu'!A:AT,COLUMN('1.2 Ohjaus-laskentataulu'!AF:AF),FALSE),0)</f>
        <v>1111653</v>
      </c>
      <c r="P43" s="177">
        <f>IFERROR(Vertailu[[#This Row],[Rahoitus pl. hark. kor. 2024 ilman alv, €]]-Vertailu[[#This Row],[Rahoitus pl. hark. kor. 2023 ilman alv, €]],0)</f>
        <v>50170</v>
      </c>
      <c r="Q43" s="179">
        <f>IFERROR(Vertailu[[#This Row],[Muutos, € 1]]/Vertailu[[#This Row],[Rahoitus pl. hark. kor. 2023 ilman alv, €]],0)</f>
        <v>4.7264063578973947E-2</v>
      </c>
      <c r="R43" s="182">
        <f>IFERROR(VLOOKUP(Vertailu[[#This Row],[Y-tunnus]],'Suoritepäätös 2023 oikaistu'!$AB:$AL,COLUMN('Suoritepäätös 2023 oikaistu'!J:J),FALSE),0)</f>
        <v>1066483</v>
      </c>
      <c r="S43" s="183">
        <f>IFERROR(VLOOKUP(Vertailu[[#This Row],[Y-tunnus]],'1.2 Ohjaus-laskentataulu'!A:AT,COLUMN('1.2 Ohjaus-laskentataulu'!AR:AR),FALSE),0)</f>
        <v>1116653</v>
      </c>
      <c r="T43" s="177">
        <f>IFERROR(Vertailu[[#This Row],[Rahoitus ml. hark. kor. 
2024 ilman alv, €]]-Vertailu[[#This Row],[Rahoitus ml. hark. kor. 
2023 ilman alv, €]],0)</f>
        <v>50170</v>
      </c>
      <c r="U43" s="181">
        <f>IFERROR(Vertailu[[#This Row],[Muutos, € 2]]/Vertailu[[#This Row],[Rahoitus ml. hark. kor. 
2023 ilman alv, €]],0)</f>
        <v>4.7042475126185791E-2</v>
      </c>
      <c r="V4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1114915</v>
      </c>
      <c r="W43" s="182">
        <f>IFERROR(VLOOKUP(Vertailu[[#This Row],[Y-tunnus]],'1.2 Ohjaus-laskentataulu'!A:AT,COLUMN('1.2 Ohjaus-laskentataulu'!AT:AT),FALSE),0)</f>
        <v>1164248</v>
      </c>
      <c r="X43" s="184">
        <f>IFERROR(Vertailu[[#This Row],[Rahoitus ml. hark. kor. + alv 2024, €]]-Vertailu[[#This Row],[Rahoitus ml. hark. kor. + alv 2023, €]],0)</f>
        <v>49333</v>
      </c>
      <c r="Y43" s="179">
        <f>IFERROR(Vertailu[[#This Row],[Muutos, € 3]]/Vertailu[[#This Row],[Rahoitus ml. hark. kor. + alv 2023, €]],0)</f>
        <v>4.4248216231730669E-2</v>
      </c>
      <c r="Z43" s="177">
        <f>IFERROR(VLOOKUP(Vertailu[[#This Row],[Y-tunnus]],'Suoritepäätös 2023 oikaistu'!$B:$N,COLUMN('Suoritepäätös 2023 oikaistu'!H:H),FALSE),0)</f>
        <v>661259</v>
      </c>
      <c r="AA43" s="177">
        <f>IFERROR(VLOOKUP(Vertailu[[#This Row],[Y-tunnus]],'1.2 Ohjaus-laskentataulu'!A:AT,COLUMN('1.2 Ohjaus-laskentataulu'!AO:AO),FALSE),0)</f>
        <v>717463</v>
      </c>
      <c r="AB43" s="177">
        <f>Vertailu[[#This Row],[Perusrahoitus 2024, €]]-Vertailu[[#This Row],[Perusrahoitus 2023, €]]</f>
        <v>56204</v>
      </c>
      <c r="AC43" s="179">
        <f>IFERROR(Vertailu[[#This Row],[Perusrahoituksen muutos, €]]/Vertailu[[#This Row],[Perusrahoitus 2023, €]],0)</f>
        <v>8.4995440515743453E-2</v>
      </c>
      <c r="AD43" s="177">
        <f>IFERROR(VLOOKUP(Vertailu[[#This Row],[Y-tunnus]],'Suoritepäätös 2023 oikaistu'!$O:$Y,COLUMN('Suoritepäätös 2023 oikaistu'!D:D),FALSE),0)</f>
        <v>226981</v>
      </c>
      <c r="AE43" s="177">
        <f>IFERROR(VLOOKUP(Vertailu[[#This Row],[Y-tunnus]],'1.2 Ohjaus-laskentataulu'!A:AT,COLUMN('1.2 Ohjaus-laskentataulu'!O:O),FALSE),0)</f>
        <v>224116</v>
      </c>
      <c r="AF43" s="177">
        <f>Vertailu[[#This Row],[Suoritusrahoitus 2024, €]]-Vertailu[[#This Row],[Suoritusrahoitus 2023, €]]</f>
        <v>-2865</v>
      </c>
      <c r="AG43" s="179">
        <f>IFERROR(Vertailu[[#This Row],[Suoritusrahoituksen muutos, €]]/Vertailu[[#This Row],[Suoritusrahoitus 2023, €]],0)</f>
        <v>-1.262220185830532E-2</v>
      </c>
      <c r="AH43" s="177">
        <f>IFERROR(VLOOKUP(Vertailu[[#This Row],[Y-tunnus]],'Suoritepäätös 2023 oikaistu'!$AB:$AL,COLUMN('Suoritepäätös 2023 oikaistu'!I:I),FALSE),0)</f>
        <v>178243</v>
      </c>
      <c r="AI4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175074</v>
      </c>
      <c r="AJ43" s="177">
        <f>Vertailu[[#This Row],[Vaikuttavuusrahoitus 2024, €]]-Vertailu[[#This Row],[Vaikuttavuusrahoitus 2023, €]]</f>
        <v>-3169</v>
      </c>
      <c r="AK43" s="179">
        <f>IFERROR(Vertailu[[#This Row],[Vaikuttavuusrahoituksen muutos, €]]/Vertailu[[#This Row],[Vaikuttavuusrahoitus 2023, €]],0)</f>
        <v>-1.7779099319468365E-2</v>
      </c>
    </row>
    <row r="44" spans="1:37" s="1" customFormat="1" ht="12.75" customHeight="1" x14ac:dyDescent="0.25">
      <c r="A44" s="3" t="s">
        <v>282</v>
      </c>
      <c r="B44" s="151" t="s">
        <v>45</v>
      </c>
      <c r="C44" s="151" t="s">
        <v>173</v>
      </c>
      <c r="D44" s="7" t="s">
        <v>325</v>
      </c>
      <c r="E4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0.63658939569252115</v>
      </c>
      <c r="F4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0.63658939569252115</v>
      </c>
      <c r="G4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0.22253890502405826</v>
      </c>
      <c r="H4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0.14087169928342064</v>
      </c>
      <c r="I4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9.9404962370413838E-2</v>
      </c>
      <c r="J4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2.1182272580252555E-3</v>
      </c>
      <c r="K4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9.3948922463379086E-3</v>
      </c>
      <c r="L4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2.4094939262480117E-2</v>
      </c>
      <c r="M4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5.8586781461635162E-3</v>
      </c>
      <c r="N4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1070637</v>
      </c>
      <c r="O44" s="177">
        <f>IFERROR(VLOOKUP(Vertailu[[#This Row],[Y-tunnus]],'1.2 Ohjaus-laskentataulu'!A:AT,COLUMN('1.2 Ohjaus-laskentataulu'!AF:AF),FALSE),0)</f>
        <v>1199588</v>
      </c>
      <c r="P44" s="177">
        <f>IFERROR(Vertailu[[#This Row],[Rahoitus pl. hark. kor. 2024 ilman alv, €]]-Vertailu[[#This Row],[Rahoitus pl. hark. kor. 2023 ilman alv, €]],0)</f>
        <v>128951</v>
      </c>
      <c r="Q44" s="179">
        <f>IFERROR(Vertailu[[#This Row],[Muutos, € 1]]/Vertailu[[#This Row],[Rahoitus pl. hark. kor. 2023 ilman alv, €]],0)</f>
        <v>0.12044325013987001</v>
      </c>
      <c r="R44" s="182">
        <f>IFERROR(VLOOKUP(Vertailu[[#This Row],[Y-tunnus]],'Suoritepäätös 2023 oikaistu'!$AB:$AL,COLUMN('Suoritepäätös 2023 oikaistu'!J:J),FALSE),0)</f>
        <v>1070637</v>
      </c>
      <c r="S44" s="183">
        <f>IFERROR(VLOOKUP(Vertailu[[#This Row],[Y-tunnus]],'1.2 Ohjaus-laskentataulu'!A:AT,COLUMN('1.2 Ohjaus-laskentataulu'!AR:AR),FALSE),0)</f>
        <v>1199588</v>
      </c>
      <c r="T44" s="177">
        <f>IFERROR(Vertailu[[#This Row],[Rahoitus ml. hark. kor. 
2024 ilman alv, €]]-Vertailu[[#This Row],[Rahoitus ml. hark. kor. 
2023 ilman alv, €]],0)</f>
        <v>128951</v>
      </c>
      <c r="U44" s="181">
        <f>IFERROR(Vertailu[[#This Row],[Muutos, € 2]]/Vertailu[[#This Row],[Rahoitus ml. hark. kor. 
2023 ilman alv, €]],0)</f>
        <v>0.12044325013987001</v>
      </c>
      <c r="V4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1119250</v>
      </c>
      <c r="W44" s="182">
        <f>IFERROR(VLOOKUP(Vertailu[[#This Row],[Y-tunnus]],'1.2 Ohjaus-laskentataulu'!A:AT,COLUMN('1.2 Ohjaus-laskentataulu'!AT:AT),FALSE),0)</f>
        <v>1253537</v>
      </c>
      <c r="X44" s="184">
        <f>IFERROR(Vertailu[[#This Row],[Rahoitus ml. hark. kor. + alv 2024, €]]-Vertailu[[#This Row],[Rahoitus ml. hark. kor. + alv 2023, €]],0)</f>
        <v>134287</v>
      </c>
      <c r="Y44" s="179">
        <f>IFERROR(Vertailu[[#This Row],[Muutos, € 3]]/Vertailu[[#This Row],[Rahoitus ml. hark. kor. + alv 2023, €]],0)</f>
        <v>0.11997945052490507</v>
      </c>
      <c r="Z44" s="177">
        <f>IFERROR(VLOOKUP(Vertailu[[#This Row],[Y-tunnus]],'Suoritepäätös 2023 oikaistu'!$B:$N,COLUMN('Suoritepäätös 2023 oikaistu'!H:H),FALSE),0)</f>
        <v>744627</v>
      </c>
      <c r="AA44" s="177">
        <f>IFERROR(VLOOKUP(Vertailu[[#This Row],[Y-tunnus]],'1.2 Ohjaus-laskentataulu'!A:AT,COLUMN('1.2 Ohjaus-laskentataulu'!AO:AO),FALSE),0)</f>
        <v>763645</v>
      </c>
      <c r="AB44" s="177">
        <f>Vertailu[[#This Row],[Perusrahoitus 2024, €]]-Vertailu[[#This Row],[Perusrahoitus 2023, €]]</f>
        <v>19018</v>
      </c>
      <c r="AC44" s="179">
        <f>IFERROR(Vertailu[[#This Row],[Perusrahoituksen muutos, €]]/Vertailu[[#This Row],[Perusrahoitus 2023, €]],0)</f>
        <v>2.5540304071703015E-2</v>
      </c>
      <c r="AD44" s="177">
        <f>IFERROR(VLOOKUP(Vertailu[[#This Row],[Y-tunnus]],'Suoritepäätös 2023 oikaistu'!$O:$Y,COLUMN('Suoritepäätös 2023 oikaistu'!D:D),FALSE),0)</f>
        <v>191231</v>
      </c>
      <c r="AE44" s="177">
        <f>IFERROR(VLOOKUP(Vertailu[[#This Row],[Y-tunnus]],'1.2 Ohjaus-laskentataulu'!A:AT,COLUMN('1.2 Ohjaus-laskentataulu'!O:O),FALSE),0)</f>
        <v>266955</v>
      </c>
      <c r="AF44" s="177">
        <f>Vertailu[[#This Row],[Suoritusrahoitus 2024, €]]-Vertailu[[#This Row],[Suoritusrahoitus 2023, €]]</f>
        <v>75724</v>
      </c>
      <c r="AG44" s="179">
        <f>IFERROR(Vertailu[[#This Row],[Suoritusrahoituksen muutos, €]]/Vertailu[[#This Row],[Suoritusrahoitus 2023, €]],0)</f>
        <v>0.39598182303078477</v>
      </c>
      <c r="AH44" s="177">
        <f>IFERROR(VLOOKUP(Vertailu[[#This Row],[Y-tunnus]],'Suoritepäätös 2023 oikaistu'!$AB:$AL,COLUMN('Suoritepäätös 2023 oikaistu'!I:I),FALSE),0)</f>
        <v>134779</v>
      </c>
      <c r="AI4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168988</v>
      </c>
      <c r="AJ44" s="177">
        <f>Vertailu[[#This Row],[Vaikuttavuusrahoitus 2024, €]]-Vertailu[[#This Row],[Vaikuttavuusrahoitus 2023, €]]</f>
        <v>34209</v>
      </c>
      <c r="AK44" s="179">
        <f>IFERROR(Vertailu[[#This Row],[Vaikuttavuusrahoituksen muutos, €]]/Vertailu[[#This Row],[Vaikuttavuusrahoitus 2023, €]],0)</f>
        <v>0.25381550538288605</v>
      </c>
    </row>
    <row r="45" spans="1:37" s="1" customFormat="1" ht="12.75" customHeight="1" x14ac:dyDescent="0.25">
      <c r="A45" s="3" t="s">
        <v>281</v>
      </c>
      <c r="B45" s="151" t="s">
        <v>46</v>
      </c>
      <c r="C45" s="151" t="s">
        <v>173</v>
      </c>
      <c r="D45" s="7" t="s">
        <v>325</v>
      </c>
      <c r="E4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0.85390692573331983</v>
      </c>
      <c r="F4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0.85390692573331983</v>
      </c>
      <c r="G4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7.3485445207316993E-2</v>
      </c>
      <c r="H4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7.2607629059363119E-2</v>
      </c>
      <c r="I4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4.8644750595047741E-2</v>
      </c>
      <c r="J4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4.511416975547777E-3</v>
      </c>
      <c r="K4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9.8362626065344721E-3</v>
      </c>
      <c r="L4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6.0288155491501922E-3</v>
      </c>
      <c r="M4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3.5863833330829374E-3</v>
      </c>
      <c r="N4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449149</v>
      </c>
      <c r="O45" s="177">
        <f>IFERROR(VLOOKUP(Vertailu[[#This Row],[Y-tunnus]],'1.2 Ohjaus-laskentataulu'!A:AT,COLUMN('1.2 Ohjaus-laskentataulu'!AF:AF),FALSE),0)</f>
        <v>465929</v>
      </c>
      <c r="P45" s="177">
        <f>IFERROR(Vertailu[[#This Row],[Rahoitus pl. hark. kor. 2024 ilman alv, €]]-Vertailu[[#This Row],[Rahoitus pl. hark. kor. 2023 ilman alv, €]],0)</f>
        <v>16780</v>
      </c>
      <c r="Q45" s="179">
        <f>IFERROR(Vertailu[[#This Row],[Muutos, € 1]]/Vertailu[[#This Row],[Rahoitus pl. hark. kor. 2023 ilman alv, €]],0)</f>
        <v>3.7359539929956428E-2</v>
      </c>
      <c r="R45" s="182">
        <f>IFERROR(VLOOKUP(Vertailu[[#This Row],[Y-tunnus]],'Suoritepäätös 2023 oikaistu'!$AB:$AL,COLUMN('Suoritepäätös 2023 oikaistu'!J:J),FALSE),0)</f>
        <v>449149</v>
      </c>
      <c r="S45" s="183">
        <f>IFERROR(VLOOKUP(Vertailu[[#This Row],[Y-tunnus]],'1.2 Ohjaus-laskentataulu'!A:AT,COLUMN('1.2 Ohjaus-laskentataulu'!AR:AR),FALSE),0)</f>
        <v>465929</v>
      </c>
      <c r="T45" s="177">
        <f>IFERROR(Vertailu[[#This Row],[Rahoitus ml. hark. kor. 
2024 ilman alv, €]]-Vertailu[[#This Row],[Rahoitus ml. hark. kor. 
2023 ilman alv, €]],0)</f>
        <v>16780</v>
      </c>
      <c r="U45" s="181">
        <f>IFERROR(Vertailu[[#This Row],[Muutos, € 2]]/Vertailu[[#This Row],[Rahoitus ml. hark. kor. 
2023 ilman alv, €]],0)</f>
        <v>3.7359539929956428E-2</v>
      </c>
      <c r="V4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449149</v>
      </c>
      <c r="W45" s="182">
        <f>IFERROR(VLOOKUP(Vertailu[[#This Row],[Y-tunnus]],'1.2 Ohjaus-laskentataulu'!A:AT,COLUMN('1.2 Ohjaus-laskentataulu'!AT:AT),FALSE),0)</f>
        <v>465929</v>
      </c>
      <c r="X45" s="184">
        <f>IFERROR(Vertailu[[#This Row],[Rahoitus ml. hark. kor. + alv 2024, €]]-Vertailu[[#This Row],[Rahoitus ml. hark. kor. + alv 2023, €]],0)</f>
        <v>16780</v>
      </c>
      <c r="Y45" s="179">
        <f>IFERROR(Vertailu[[#This Row],[Muutos, € 3]]/Vertailu[[#This Row],[Rahoitus ml. hark. kor. + alv 2023, €]],0)</f>
        <v>3.7359539929956428E-2</v>
      </c>
      <c r="Z45" s="177">
        <f>IFERROR(VLOOKUP(Vertailu[[#This Row],[Y-tunnus]],'Suoritepäätös 2023 oikaistu'!$B:$N,COLUMN('Suoritepäätös 2023 oikaistu'!H:H),FALSE),0)</f>
        <v>376212</v>
      </c>
      <c r="AA45" s="177">
        <f>IFERROR(VLOOKUP(Vertailu[[#This Row],[Y-tunnus]],'1.2 Ohjaus-laskentataulu'!A:AT,COLUMN('1.2 Ohjaus-laskentataulu'!AO:AO),FALSE),0)</f>
        <v>397860</v>
      </c>
      <c r="AB45" s="177">
        <f>Vertailu[[#This Row],[Perusrahoitus 2024, €]]-Vertailu[[#This Row],[Perusrahoitus 2023, €]]</f>
        <v>21648</v>
      </c>
      <c r="AC45" s="179">
        <f>IFERROR(Vertailu[[#This Row],[Perusrahoituksen muutos, €]]/Vertailu[[#This Row],[Perusrahoitus 2023, €]],0)</f>
        <v>5.7542024177857164E-2</v>
      </c>
      <c r="AD45" s="177">
        <f>IFERROR(VLOOKUP(Vertailu[[#This Row],[Y-tunnus]],'Suoritepäätös 2023 oikaistu'!$O:$Y,COLUMN('Suoritepäätös 2023 oikaistu'!D:D),FALSE),0)</f>
        <v>47629</v>
      </c>
      <c r="AE45" s="177">
        <f>IFERROR(VLOOKUP(Vertailu[[#This Row],[Y-tunnus]],'1.2 Ohjaus-laskentataulu'!A:AT,COLUMN('1.2 Ohjaus-laskentataulu'!O:O),FALSE),0)</f>
        <v>34239</v>
      </c>
      <c r="AF45" s="177">
        <f>Vertailu[[#This Row],[Suoritusrahoitus 2024, €]]-Vertailu[[#This Row],[Suoritusrahoitus 2023, €]]</f>
        <v>-13390</v>
      </c>
      <c r="AG45" s="179">
        <f>IFERROR(Vertailu[[#This Row],[Suoritusrahoituksen muutos, €]]/Vertailu[[#This Row],[Suoritusrahoitus 2023, €]],0)</f>
        <v>-0.28113124357009384</v>
      </c>
      <c r="AH45" s="177">
        <f>IFERROR(VLOOKUP(Vertailu[[#This Row],[Y-tunnus]],'Suoritepäätös 2023 oikaistu'!$AB:$AL,COLUMN('Suoritepäätös 2023 oikaistu'!I:I),FALSE),0)</f>
        <v>25308</v>
      </c>
      <c r="AI4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33830</v>
      </c>
      <c r="AJ45" s="177">
        <f>Vertailu[[#This Row],[Vaikuttavuusrahoitus 2024, €]]-Vertailu[[#This Row],[Vaikuttavuusrahoitus 2023, €]]</f>
        <v>8522</v>
      </c>
      <c r="AK45" s="179">
        <f>IFERROR(Vertailu[[#This Row],[Vaikuttavuusrahoituksen muutos, €]]/Vertailu[[#This Row],[Vaikuttavuusrahoitus 2023, €]],0)</f>
        <v>0.33673146831041567</v>
      </c>
    </row>
    <row r="46" spans="1:37" s="1" customFormat="1" ht="12.75" customHeight="1" x14ac:dyDescent="0.25">
      <c r="A46" s="3" t="s">
        <v>280</v>
      </c>
      <c r="B46" s="151" t="s">
        <v>47</v>
      </c>
      <c r="C46" s="151" t="s">
        <v>175</v>
      </c>
      <c r="D46" s="7" t="s">
        <v>325</v>
      </c>
      <c r="E4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0.75488501593247392</v>
      </c>
      <c r="F4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0.75488501593247392</v>
      </c>
      <c r="G4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0.1120929677139571</v>
      </c>
      <c r="H4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0.13302201635356894</v>
      </c>
      <c r="I4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6.2604880930682741E-2</v>
      </c>
      <c r="J4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6.3227095890238767E-3</v>
      </c>
      <c r="K4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2.578106832423056E-2</v>
      </c>
      <c r="L4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2.0520523666165962E-2</v>
      </c>
      <c r="M4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1.7792833843465802E-2</v>
      </c>
      <c r="N4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151042</v>
      </c>
      <c r="O46" s="177">
        <f>IFERROR(VLOOKUP(Vertailu[[#This Row],[Y-tunnus]],'1.2 Ohjaus-laskentataulu'!A:AT,COLUMN('1.2 Ohjaus-laskentataulu'!AF:AF),FALSE),0)</f>
        <v>159109</v>
      </c>
      <c r="P46" s="177">
        <f>IFERROR(Vertailu[[#This Row],[Rahoitus pl. hark. kor. 2024 ilman alv, €]]-Vertailu[[#This Row],[Rahoitus pl. hark. kor. 2023 ilman alv, €]],0)</f>
        <v>8067</v>
      </c>
      <c r="Q46" s="179">
        <f>IFERROR(Vertailu[[#This Row],[Muutos, € 1]]/Vertailu[[#This Row],[Rahoitus pl. hark. kor. 2023 ilman alv, €]],0)</f>
        <v>5.3408985580169752E-2</v>
      </c>
      <c r="R46" s="182">
        <f>IFERROR(VLOOKUP(Vertailu[[#This Row],[Y-tunnus]],'Suoritepäätös 2023 oikaistu'!$AB:$AL,COLUMN('Suoritepäätös 2023 oikaistu'!J:J),FALSE),0)</f>
        <v>151042</v>
      </c>
      <c r="S46" s="183">
        <f>IFERROR(VLOOKUP(Vertailu[[#This Row],[Y-tunnus]],'1.2 Ohjaus-laskentataulu'!A:AT,COLUMN('1.2 Ohjaus-laskentataulu'!AR:AR),FALSE),0)</f>
        <v>159109</v>
      </c>
      <c r="T46" s="177">
        <f>IFERROR(Vertailu[[#This Row],[Rahoitus ml. hark. kor. 
2024 ilman alv, €]]-Vertailu[[#This Row],[Rahoitus ml. hark. kor. 
2023 ilman alv, €]],0)</f>
        <v>8067</v>
      </c>
      <c r="U46" s="181">
        <f>IFERROR(Vertailu[[#This Row],[Muutos, € 2]]/Vertailu[[#This Row],[Rahoitus ml. hark. kor. 
2023 ilman alv, €]],0)</f>
        <v>5.3408985580169752E-2</v>
      </c>
      <c r="V4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159977</v>
      </c>
      <c r="W46" s="182">
        <f>IFERROR(VLOOKUP(Vertailu[[#This Row],[Y-tunnus]],'1.2 Ohjaus-laskentataulu'!A:AT,COLUMN('1.2 Ohjaus-laskentataulu'!AT:AT),FALSE),0)</f>
        <v>167919</v>
      </c>
      <c r="X46" s="184">
        <f>IFERROR(Vertailu[[#This Row],[Rahoitus ml. hark. kor. + alv 2024, €]]-Vertailu[[#This Row],[Rahoitus ml. hark. kor. + alv 2023, €]],0)</f>
        <v>7942</v>
      </c>
      <c r="Y46" s="179">
        <f>IFERROR(Vertailu[[#This Row],[Muutos, € 3]]/Vertailu[[#This Row],[Rahoitus ml. hark. kor. + alv 2023, €]],0)</f>
        <v>4.9644636416484866E-2</v>
      </c>
      <c r="Z46" s="177">
        <f>IFERROR(VLOOKUP(Vertailu[[#This Row],[Y-tunnus]],'Suoritepäätös 2023 oikaistu'!$B:$N,COLUMN('Suoritepäätös 2023 oikaistu'!H:H),FALSE),0)</f>
        <v>108510</v>
      </c>
      <c r="AA46" s="177">
        <f>IFERROR(VLOOKUP(Vertailu[[#This Row],[Y-tunnus]],'1.2 Ohjaus-laskentataulu'!A:AT,COLUMN('1.2 Ohjaus-laskentataulu'!AO:AO),FALSE),0)</f>
        <v>120109</v>
      </c>
      <c r="AB46" s="177">
        <f>Vertailu[[#This Row],[Perusrahoitus 2024, €]]-Vertailu[[#This Row],[Perusrahoitus 2023, €]]</f>
        <v>11599</v>
      </c>
      <c r="AC46" s="179">
        <f>IFERROR(Vertailu[[#This Row],[Perusrahoituksen muutos, €]]/Vertailu[[#This Row],[Perusrahoitus 2023, €]],0)</f>
        <v>0.10689337388259147</v>
      </c>
      <c r="AD46" s="177">
        <f>IFERROR(VLOOKUP(Vertailu[[#This Row],[Y-tunnus]],'Suoritepäätös 2023 oikaistu'!$O:$Y,COLUMN('Suoritepäätös 2023 oikaistu'!D:D),FALSE),0)</f>
        <v>15219</v>
      </c>
      <c r="AE46" s="177">
        <f>IFERROR(VLOOKUP(Vertailu[[#This Row],[Y-tunnus]],'1.2 Ohjaus-laskentataulu'!A:AT,COLUMN('1.2 Ohjaus-laskentataulu'!O:O),FALSE),0)</f>
        <v>17835</v>
      </c>
      <c r="AF46" s="177">
        <f>Vertailu[[#This Row],[Suoritusrahoitus 2024, €]]-Vertailu[[#This Row],[Suoritusrahoitus 2023, €]]</f>
        <v>2616</v>
      </c>
      <c r="AG46" s="179">
        <f>IFERROR(Vertailu[[#This Row],[Suoritusrahoituksen muutos, €]]/Vertailu[[#This Row],[Suoritusrahoitus 2023, €]],0)</f>
        <v>0.1718904001576976</v>
      </c>
      <c r="AH46" s="177">
        <f>IFERROR(VLOOKUP(Vertailu[[#This Row],[Y-tunnus]],'Suoritepäätös 2023 oikaistu'!$AB:$AL,COLUMN('Suoritepäätös 2023 oikaistu'!I:I),FALSE),0)</f>
        <v>27313</v>
      </c>
      <c r="AI4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21165</v>
      </c>
      <c r="AJ46" s="177">
        <f>Vertailu[[#This Row],[Vaikuttavuusrahoitus 2024, €]]-Vertailu[[#This Row],[Vaikuttavuusrahoitus 2023, €]]</f>
        <v>-6148</v>
      </c>
      <c r="AK46" s="179">
        <f>IFERROR(Vertailu[[#This Row],[Vaikuttavuusrahoituksen muutos, €]]/Vertailu[[#This Row],[Vaikuttavuusrahoitus 2023, €]],0)</f>
        <v>-0.22509427745029839</v>
      </c>
    </row>
    <row r="47" spans="1:37" s="1" customFormat="1" ht="12.75" customHeight="1" x14ac:dyDescent="0.25">
      <c r="A47" s="3" t="s">
        <v>278</v>
      </c>
      <c r="B47" s="151" t="s">
        <v>48</v>
      </c>
      <c r="C47" s="151" t="s">
        <v>173</v>
      </c>
      <c r="D47" s="7" t="s">
        <v>325</v>
      </c>
      <c r="E4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0.75657206551662293</v>
      </c>
      <c r="F4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0.75657206551662293</v>
      </c>
      <c r="G4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0.15093571960792102</v>
      </c>
      <c r="H4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9.2492214875456058E-2</v>
      </c>
      <c r="I4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6.7946954021120651E-2</v>
      </c>
      <c r="J4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3.430630838843408E-3</v>
      </c>
      <c r="K4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1.1989151984168542E-2</v>
      </c>
      <c r="L4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5.77068218997028E-3</v>
      </c>
      <c r="M4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3.3547958413531853E-3</v>
      </c>
      <c r="N4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912264</v>
      </c>
      <c r="O47" s="177">
        <f>IFERROR(VLOOKUP(Vertailu[[#This Row],[Y-tunnus]],'1.2 Ohjaus-laskentataulu'!A:AT,COLUMN('1.2 Ohjaus-laskentataulu'!AF:AF),FALSE),0)</f>
        <v>830751</v>
      </c>
      <c r="P47" s="177">
        <f>IFERROR(Vertailu[[#This Row],[Rahoitus pl. hark. kor. 2024 ilman alv, €]]-Vertailu[[#This Row],[Rahoitus pl. hark. kor. 2023 ilman alv, €]],0)</f>
        <v>-81513</v>
      </c>
      <c r="Q47" s="179">
        <f>IFERROR(Vertailu[[#This Row],[Muutos, € 1]]/Vertailu[[#This Row],[Rahoitus pl. hark. kor. 2023 ilman alv, €]],0)</f>
        <v>-8.9352424298229455E-2</v>
      </c>
      <c r="R47" s="182">
        <f>IFERROR(VLOOKUP(Vertailu[[#This Row],[Y-tunnus]],'Suoritepäätös 2023 oikaistu'!$AB:$AL,COLUMN('Suoritepäätös 2023 oikaistu'!J:J),FALSE),0)</f>
        <v>912264</v>
      </c>
      <c r="S47" s="183">
        <f>IFERROR(VLOOKUP(Vertailu[[#This Row],[Y-tunnus]],'1.2 Ohjaus-laskentataulu'!A:AT,COLUMN('1.2 Ohjaus-laskentataulu'!AR:AR),FALSE),0)</f>
        <v>830751</v>
      </c>
      <c r="T47" s="177">
        <f>IFERROR(Vertailu[[#This Row],[Rahoitus ml. hark. kor. 
2024 ilman alv, €]]-Vertailu[[#This Row],[Rahoitus ml. hark. kor. 
2023 ilman alv, €]],0)</f>
        <v>-81513</v>
      </c>
      <c r="U47" s="181">
        <f>IFERROR(Vertailu[[#This Row],[Muutos, € 2]]/Vertailu[[#This Row],[Rahoitus ml. hark. kor. 
2023 ilman alv, €]],0)</f>
        <v>-8.9352424298229455E-2</v>
      </c>
      <c r="V4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944544</v>
      </c>
      <c r="W47" s="182">
        <f>IFERROR(VLOOKUP(Vertailu[[#This Row],[Y-tunnus]],'1.2 Ohjaus-laskentataulu'!A:AT,COLUMN('1.2 Ohjaus-laskentataulu'!AT:AT),FALSE),0)</f>
        <v>870099</v>
      </c>
      <c r="X47" s="184">
        <f>IFERROR(Vertailu[[#This Row],[Rahoitus ml. hark. kor. + alv 2024, €]]-Vertailu[[#This Row],[Rahoitus ml. hark. kor. + alv 2023, €]],0)</f>
        <v>-74445</v>
      </c>
      <c r="Y47" s="179">
        <f>IFERROR(Vertailu[[#This Row],[Muutos, € 3]]/Vertailu[[#This Row],[Rahoitus ml. hark. kor. + alv 2023, €]],0)</f>
        <v>-7.881580953348917E-2</v>
      </c>
      <c r="Z47" s="177">
        <f>IFERROR(VLOOKUP(Vertailu[[#This Row],[Y-tunnus]],'Suoritepäätös 2023 oikaistu'!$B:$N,COLUMN('Suoritepäätös 2023 oikaistu'!H:H),FALSE),0)</f>
        <v>699144</v>
      </c>
      <c r="AA47" s="177">
        <f>IFERROR(VLOOKUP(Vertailu[[#This Row],[Y-tunnus]],'1.2 Ohjaus-laskentataulu'!A:AT,COLUMN('1.2 Ohjaus-laskentataulu'!AO:AO),FALSE),0)</f>
        <v>628523</v>
      </c>
      <c r="AB47" s="177">
        <f>Vertailu[[#This Row],[Perusrahoitus 2024, €]]-Vertailu[[#This Row],[Perusrahoitus 2023, €]]</f>
        <v>-70621</v>
      </c>
      <c r="AC47" s="179">
        <f>IFERROR(Vertailu[[#This Row],[Perusrahoituksen muutos, €]]/Vertailu[[#This Row],[Perusrahoitus 2023, €]],0)</f>
        <v>-0.10101066446969437</v>
      </c>
      <c r="AD47" s="177">
        <f>IFERROR(VLOOKUP(Vertailu[[#This Row],[Y-tunnus]],'Suoritepäätös 2023 oikaistu'!$O:$Y,COLUMN('Suoritepäätös 2023 oikaistu'!D:D),FALSE),0)</f>
        <v>149982</v>
      </c>
      <c r="AE47" s="177">
        <f>IFERROR(VLOOKUP(Vertailu[[#This Row],[Y-tunnus]],'1.2 Ohjaus-laskentataulu'!A:AT,COLUMN('1.2 Ohjaus-laskentataulu'!O:O),FALSE),0)</f>
        <v>125390</v>
      </c>
      <c r="AF47" s="177">
        <f>Vertailu[[#This Row],[Suoritusrahoitus 2024, €]]-Vertailu[[#This Row],[Suoritusrahoitus 2023, €]]</f>
        <v>-24592</v>
      </c>
      <c r="AG47" s="179">
        <f>IFERROR(Vertailu[[#This Row],[Suoritusrahoituksen muutos, €]]/Vertailu[[#This Row],[Suoritusrahoitus 2023, €]],0)</f>
        <v>-0.16396634262778201</v>
      </c>
      <c r="AH47" s="177">
        <f>IFERROR(VLOOKUP(Vertailu[[#This Row],[Y-tunnus]],'Suoritepäätös 2023 oikaistu'!$AB:$AL,COLUMN('Suoritepäätös 2023 oikaistu'!I:I),FALSE),0)</f>
        <v>63138</v>
      </c>
      <c r="AI4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76838</v>
      </c>
      <c r="AJ47" s="177">
        <f>Vertailu[[#This Row],[Vaikuttavuusrahoitus 2024, €]]-Vertailu[[#This Row],[Vaikuttavuusrahoitus 2023, €]]</f>
        <v>13700</v>
      </c>
      <c r="AK47" s="179">
        <f>IFERROR(Vertailu[[#This Row],[Vaikuttavuusrahoituksen muutos, €]]/Vertailu[[#This Row],[Vaikuttavuusrahoitus 2023, €]],0)</f>
        <v>0.21698501694700498</v>
      </c>
    </row>
    <row r="48" spans="1:37" s="1" customFormat="1" ht="12.75" customHeight="1" x14ac:dyDescent="0.25">
      <c r="A48" s="3" t="s">
        <v>277</v>
      </c>
      <c r="B48" s="151" t="s">
        <v>49</v>
      </c>
      <c r="C48" s="151" t="s">
        <v>222</v>
      </c>
      <c r="D48" s="7" t="s">
        <v>324</v>
      </c>
      <c r="E4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0.71632127755337094</v>
      </c>
      <c r="F4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0.72014420791275591</v>
      </c>
      <c r="G4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0.17564220243575299</v>
      </c>
      <c r="H4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0.10421358965149115</v>
      </c>
      <c r="I4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7.5039419468668919E-2</v>
      </c>
      <c r="J4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4.1430699282231668E-3</v>
      </c>
      <c r="K4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1.0474972482182082E-2</v>
      </c>
      <c r="L4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1.0592541540524487E-2</v>
      </c>
      <c r="M4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3.9635862318925016E-3</v>
      </c>
      <c r="N4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26651900</v>
      </c>
      <c r="O48" s="177">
        <f>IFERROR(VLOOKUP(Vertailu[[#This Row],[Y-tunnus]],'1.2 Ohjaus-laskentataulu'!A:AT,COLUMN('1.2 Ohjaus-laskentataulu'!AF:AF),FALSE),0)</f>
        <v>27529176</v>
      </c>
      <c r="P48" s="177">
        <f>IFERROR(Vertailu[[#This Row],[Rahoitus pl. hark. kor. 2024 ilman alv, €]]-Vertailu[[#This Row],[Rahoitus pl. hark. kor. 2023 ilman alv, €]],0)</f>
        <v>877276</v>
      </c>
      <c r="Q48" s="179">
        <f>IFERROR(Vertailu[[#This Row],[Muutos, € 1]]/Vertailu[[#This Row],[Rahoitus pl. hark. kor. 2023 ilman alv, €]],0)</f>
        <v>3.2916077277792576E-2</v>
      </c>
      <c r="R48" s="182">
        <f>IFERROR(VLOOKUP(Vertailu[[#This Row],[Y-tunnus]],'Suoritepäätös 2023 oikaistu'!$AB:$AL,COLUMN('Suoritepäätös 2023 oikaistu'!J:J),FALSE),0)</f>
        <v>26683900</v>
      </c>
      <c r="S48" s="183">
        <f>IFERROR(VLOOKUP(Vertailu[[#This Row],[Y-tunnus]],'1.2 Ohjaus-laskentataulu'!A:AT,COLUMN('1.2 Ohjaus-laskentataulu'!AR:AR),FALSE),0)</f>
        <v>27634822</v>
      </c>
      <c r="T48" s="177">
        <f>IFERROR(Vertailu[[#This Row],[Rahoitus ml. hark. kor. 
2024 ilman alv, €]]-Vertailu[[#This Row],[Rahoitus ml. hark. kor. 
2023 ilman alv, €]],0)</f>
        <v>950922</v>
      </c>
      <c r="U48" s="181">
        <f>IFERROR(Vertailu[[#This Row],[Muutos, € 2]]/Vertailu[[#This Row],[Rahoitus ml. hark. kor. 
2023 ilman alv, €]],0)</f>
        <v>3.5636544882869443E-2</v>
      </c>
      <c r="V4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26683900</v>
      </c>
      <c r="W48" s="182">
        <f>IFERROR(VLOOKUP(Vertailu[[#This Row],[Y-tunnus]],'1.2 Ohjaus-laskentataulu'!A:AT,COLUMN('1.2 Ohjaus-laskentataulu'!AT:AT),FALSE),0)</f>
        <v>27634822</v>
      </c>
      <c r="X48" s="184">
        <f>IFERROR(Vertailu[[#This Row],[Rahoitus ml. hark. kor. + alv 2024, €]]-Vertailu[[#This Row],[Rahoitus ml. hark. kor. + alv 2023, €]],0)</f>
        <v>950922</v>
      </c>
      <c r="Y48" s="179">
        <f>IFERROR(Vertailu[[#This Row],[Muutos, € 3]]/Vertailu[[#This Row],[Rahoitus ml. hark. kor. + alv 2023, €]],0)</f>
        <v>3.5636544882869443E-2</v>
      </c>
      <c r="Z48" s="177">
        <f>IFERROR(VLOOKUP(Vertailu[[#This Row],[Y-tunnus]],'Suoritepäätös 2023 oikaistu'!$B:$N,COLUMN('Suoritepäätös 2023 oikaistu'!H:H),FALSE),0)</f>
        <v>18560604</v>
      </c>
      <c r="AA48" s="177">
        <f>IFERROR(VLOOKUP(Vertailu[[#This Row],[Y-tunnus]],'1.2 Ohjaus-laskentataulu'!A:AT,COLUMN('1.2 Ohjaus-laskentataulu'!AO:AO),FALSE),0)</f>
        <v>19901057</v>
      </c>
      <c r="AB48" s="177">
        <f>Vertailu[[#This Row],[Perusrahoitus 2024, €]]-Vertailu[[#This Row],[Perusrahoitus 2023, €]]</f>
        <v>1340453</v>
      </c>
      <c r="AC48" s="179">
        <f>IFERROR(Vertailu[[#This Row],[Perusrahoituksen muutos, €]]/Vertailu[[#This Row],[Perusrahoitus 2023, €]],0)</f>
        <v>7.2220332915890015E-2</v>
      </c>
      <c r="AD48" s="177">
        <f>IFERROR(VLOOKUP(Vertailu[[#This Row],[Y-tunnus]],'Suoritepäätös 2023 oikaistu'!$O:$Y,COLUMN('Suoritepäätös 2023 oikaistu'!D:D),FALSE),0)</f>
        <v>5285764</v>
      </c>
      <c r="AE48" s="177">
        <f>IFERROR(VLOOKUP(Vertailu[[#This Row],[Y-tunnus]],'1.2 Ohjaus-laskentataulu'!A:AT,COLUMN('1.2 Ohjaus-laskentataulu'!O:O),FALSE),0)</f>
        <v>4853841</v>
      </c>
      <c r="AF48" s="177">
        <f>Vertailu[[#This Row],[Suoritusrahoitus 2024, €]]-Vertailu[[#This Row],[Suoritusrahoitus 2023, €]]</f>
        <v>-431923</v>
      </c>
      <c r="AG48" s="179">
        <f>IFERROR(Vertailu[[#This Row],[Suoritusrahoituksen muutos, €]]/Vertailu[[#This Row],[Suoritusrahoitus 2023, €]],0)</f>
        <v>-8.1714393605162847E-2</v>
      </c>
      <c r="AH48" s="177">
        <f>IFERROR(VLOOKUP(Vertailu[[#This Row],[Y-tunnus]],'Suoritepäätös 2023 oikaistu'!$AB:$AL,COLUMN('Suoritepäätös 2023 oikaistu'!I:I),FALSE),0)</f>
        <v>2837532</v>
      </c>
      <c r="AI4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2879924</v>
      </c>
      <c r="AJ48" s="177">
        <f>Vertailu[[#This Row],[Vaikuttavuusrahoitus 2024, €]]-Vertailu[[#This Row],[Vaikuttavuusrahoitus 2023, €]]</f>
        <v>42392</v>
      </c>
      <c r="AK48" s="179">
        <f>IFERROR(Vertailu[[#This Row],[Vaikuttavuusrahoituksen muutos, €]]/Vertailu[[#This Row],[Vaikuttavuusrahoitus 2023, €]],0)</f>
        <v>1.4939743410823209E-2</v>
      </c>
    </row>
    <row r="49" spans="1:37" s="1" customFormat="1" ht="12.75" customHeight="1" x14ac:dyDescent="0.25">
      <c r="A49" s="3" t="s">
        <v>267</v>
      </c>
      <c r="B49" s="151" t="s">
        <v>435</v>
      </c>
      <c r="C49" s="151" t="s">
        <v>265</v>
      </c>
      <c r="D49" s="7" t="s">
        <v>325</v>
      </c>
      <c r="E4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0.73356101479191216</v>
      </c>
      <c r="F4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0.73356101479191216</v>
      </c>
      <c r="G4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0.18660872749393884</v>
      </c>
      <c r="H4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7.9830257714149033E-2</v>
      </c>
      <c r="I4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7.0485277484931982E-2</v>
      </c>
      <c r="J4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2.7020562204877877E-3</v>
      </c>
      <c r="K4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6.6429240087292661E-3</v>
      </c>
      <c r="L4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0</v>
      </c>
      <c r="M4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4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740497</v>
      </c>
      <c r="O49" s="177">
        <f>IFERROR(VLOOKUP(Vertailu[[#This Row],[Y-tunnus]],'1.2 Ohjaus-laskentataulu'!A:AT,COLUMN('1.2 Ohjaus-laskentataulu'!AF:AF),FALSE),0)</f>
        <v>677262</v>
      </c>
      <c r="P49" s="177">
        <f>IFERROR(Vertailu[[#This Row],[Rahoitus pl. hark. kor. 2024 ilman alv, €]]-Vertailu[[#This Row],[Rahoitus pl. hark. kor. 2023 ilman alv, €]],0)</f>
        <v>-63235</v>
      </c>
      <c r="Q49" s="179">
        <f>IFERROR(Vertailu[[#This Row],[Muutos, € 1]]/Vertailu[[#This Row],[Rahoitus pl. hark. kor. 2023 ilman alv, €]],0)</f>
        <v>-8.5395349339700222E-2</v>
      </c>
      <c r="R49" s="182">
        <f>IFERROR(VLOOKUP(Vertailu[[#This Row],[Y-tunnus]],'Suoritepäätös 2023 oikaistu'!$AB:$AL,COLUMN('Suoritepäätös 2023 oikaistu'!J:J),FALSE),0)</f>
        <v>740497</v>
      </c>
      <c r="S49" s="183">
        <f>IFERROR(VLOOKUP(Vertailu[[#This Row],[Y-tunnus]],'1.2 Ohjaus-laskentataulu'!A:AT,COLUMN('1.2 Ohjaus-laskentataulu'!AR:AR),FALSE),0)</f>
        <v>677262</v>
      </c>
      <c r="T49" s="177">
        <f>IFERROR(Vertailu[[#This Row],[Rahoitus ml. hark. kor. 
2024 ilman alv, €]]-Vertailu[[#This Row],[Rahoitus ml. hark. kor. 
2023 ilman alv, €]],0)</f>
        <v>-63235</v>
      </c>
      <c r="U49" s="181">
        <f>IFERROR(Vertailu[[#This Row],[Muutos, € 2]]/Vertailu[[#This Row],[Rahoitus ml. hark. kor. 
2023 ilman alv, €]],0)</f>
        <v>-8.5395349339700222E-2</v>
      </c>
      <c r="V4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754009</v>
      </c>
      <c r="W49" s="182">
        <f>IFERROR(VLOOKUP(Vertailu[[#This Row],[Y-tunnus]],'1.2 Ohjaus-laskentataulu'!A:AT,COLUMN('1.2 Ohjaus-laskentataulu'!AT:AT),FALSE),0)</f>
        <v>693436</v>
      </c>
      <c r="X49" s="184">
        <f>IFERROR(Vertailu[[#This Row],[Rahoitus ml. hark. kor. + alv 2024, €]]-Vertailu[[#This Row],[Rahoitus ml. hark. kor. + alv 2023, €]],0)</f>
        <v>-60573</v>
      </c>
      <c r="Y49" s="179">
        <f>IFERROR(Vertailu[[#This Row],[Muutos, € 3]]/Vertailu[[#This Row],[Rahoitus ml. hark. kor. + alv 2023, €]],0)</f>
        <v>-8.0334584865697889E-2</v>
      </c>
      <c r="Z49" s="177">
        <f>IFERROR(VLOOKUP(Vertailu[[#This Row],[Y-tunnus]],'Suoritepäätös 2023 oikaistu'!$B:$N,COLUMN('Suoritepäätös 2023 oikaistu'!H:H),FALSE),0)</f>
        <v>460031</v>
      </c>
      <c r="AA49" s="177">
        <f>IFERROR(VLOOKUP(Vertailu[[#This Row],[Y-tunnus]],'1.2 Ohjaus-laskentataulu'!A:AT,COLUMN('1.2 Ohjaus-laskentataulu'!AO:AO),FALSE),0)</f>
        <v>496813</v>
      </c>
      <c r="AB49" s="177">
        <f>Vertailu[[#This Row],[Perusrahoitus 2024, €]]-Vertailu[[#This Row],[Perusrahoitus 2023, €]]</f>
        <v>36782</v>
      </c>
      <c r="AC49" s="179">
        <f>IFERROR(Vertailu[[#This Row],[Perusrahoituksen muutos, €]]/Vertailu[[#This Row],[Perusrahoitus 2023, €]],0)</f>
        <v>7.9955481261045458E-2</v>
      </c>
      <c r="AD49" s="177">
        <f>IFERROR(VLOOKUP(Vertailu[[#This Row],[Y-tunnus]],'Suoritepäätös 2023 oikaistu'!$O:$Y,COLUMN('Suoritepäätös 2023 oikaistu'!D:D),FALSE),0)</f>
        <v>222413</v>
      </c>
      <c r="AE49" s="177">
        <f>IFERROR(VLOOKUP(Vertailu[[#This Row],[Y-tunnus]],'1.2 Ohjaus-laskentataulu'!A:AT,COLUMN('1.2 Ohjaus-laskentataulu'!O:O),FALSE),0)</f>
        <v>126383</v>
      </c>
      <c r="AF49" s="177">
        <f>Vertailu[[#This Row],[Suoritusrahoitus 2024, €]]-Vertailu[[#This Row],[Suoritusrahoitus 2023, €]]</f>
        <v>-96030</v>
      </c>
      <c r="AG49" s="179">
        <f>IFERROR(Vertailu[[#This Row],[Suoritusrahoituksen muutos, €]]/Vertailu[[#This Row],[Suoritusrahoitus 2023, €]],0)</f>
        <v>-0.43176433032241818</v>
      </c>
      <c r="AH49" s="177">
        <f>IFERROR(VLOOKUP(Vertailu[[#This Row],[Y-tunnus]],'Suoritepäätös 2023 oikaistu'!$AB:$AL,COLUMN('Suoritepäätös 2023 oikaistu'!I:I),FALSE),0)</f>
        <v>58053</v>
      </c>
      <c r="AI4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54066</v>
      </c>
      <c r="AJ49" s="177">
        <f>Vertailu[[#This Row],[Vaikuttavuusrahoitus 2024, €]]-Vertailu[[#This Row],[Vaikuttavuusrahoitus 2023, €]]</f>
        <v>-3987</v>
      </c>
      <c r="AK49" s="179">
        <f>IFERROR(Vertailu[[#This Row],[Vaikuttavuusrahoituksen muutos, €]]/Vertailu[[#This Row],[Vaikuttavuusrahoitus 2023, €]],0)</f>
        <v>-6.8678621259883207E-2</v>
      </c>
    </row>
    <row r="50" spans="1:37" s="1" customFormat="1" ht="12.75" customHeight="1" x14ac:dyDescent="0.25">
      <c r="A50" s="3" t="s">
        <v>266</v>
      </c>
      <c r="B50" s="151" t="s">
        <v>51</v>
      </c>
      <c r="C50" s="151" t="s">
        <v>265</v>
      </c>
      <c r="D50" s="7" t="s">
        <v>324</v>
      </c>
      <c r="E5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0.65608261984283267</v>
      </c>
      <c r="F5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0.66046652185317745</v>
      </c>
      <c r="G5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0.21651308942293396</v>
      </c>
      <c r="H5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0.12302038872388854</v>
      </c>
      <c r="I5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7.8970222575189986E-2</v>
      </c>
      <c r="J5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3.9666566336786857E-3</v>
      </c>
      <c r="K5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1.2662930285239057E-2</v>
      </c>
      <c r="L5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1.6961763436648934E-2</v>
      </c>
      <c r="M5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1.0458815793131876E-2</v>
      </c>
      <c r="N5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31956512</v>
      </c>
      <c r="O50" s="177">
        <f>IFERROR(VLOOKUP(Vertailu[[#This Row],[Y-tunnus]],'1.2 Ohjaus-laskentataulu'!A:AT,COLUMN('1.2 Ohjaus-laskentataulu'!AF:AF),FALSE),0)</f>
        <v>32945773</v>
      </c>
      <c r="P50" s="177">
        <f>IFERROR(Vertailu[[#This Row],[Rahoitus pl. hark. kor. 2024 ilman alv, €]]-Vertailu[[#This Row],[Rahoitus pl. hark. kor. 2023 ilman alv, €]],0)</f>
        <v>989261</v>
      </c>
      <c r="Q50" s="179">
        <f>IFERROR(Vertailu[[#This Row],[Muutos, € 1]]/Vertailu[[#This Row],[Rahoitus pl. hark. kor. 2023 ilman alv, €]],0)</f>
        <v>3.0956476101021289E-2</v>
      </c>
      <c r="R50" s="182">
        <f>IFERROR(VLOOKUP(Vertailu[[#This Row],[Y-tunnus]],'Suoritepäätös 2023 oikaistu'!$AB:$AL,COLUMN('Suoritepäätös 2023 oikaistu'!J:J),FALSE),0)</f>
        <v>31994512</v>
      </c>
      <c r="S50" s="183">
        <f>IFERROR(VLOOKUP(Vertailu[[#This Row],[Y-tunnus]],'1.2 Ohjaus-laskentataulu'!A:AT,COLUMN('1.2 Ohjaus-laskentataulu'!AR:AR),FALSE),0)</f>
        <v>33090840</v>
      </c>
      <c r="T50" s="177">
        <f>IFERROR(Vertailu[[#This Row],[Rahoitus ml. hark. kor. 
2024 ilman alv, €]]-Vertailu[[#This Row],[Rahoitus ml. hark. kor. 
2023 ilman alv, €]],0)</f>
        <v>1096328</v>
      </c>
      <c r="U50" s="181">
        <f>IFERROR(Vertailu[[#This Row],[Muutos, € 2]]/Vertailu[[#This Row],[Rahoitus ml. hark. kor. 
2023 ilman alv, €]],0)</f>
        <v>3.4266126640718882E-2</v>
      </c>
      <c r="V5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31994512</v>
      </c>
      <c r="W50" s="182">
        <f>IFERROR(VLOOKUP(Vertailu[[#This Row],[Y-tunnus]],'1.2 Ohjaus-laskentataulu'!A:AT,COLUMN('1.2 Ohjaus-laskentataulu'!AT:AT),FALSE),0)</f>
        <v>33090840</v>
      </c>
      <c r="X50" s="184">
        <f>IFERROR(Vertailu[[#This Row],[Rahoitus ml. hark. kor. + alv 2024, €]]-Vertailu[[#This Row],[Rahoitus ml. hark. kor. + alv 2023, €]],0)</f>
        <v>1096328</v>
      </c>
      <c r="Y50" s="179">
        <f>IFERROR(Vertailu[[#This Row],[Muutos, € 3]]/Vertailu[[#This Row],[Rahoitus ml. hark. kor. + alv 2023, €]],0)</f>
        <v>3.4266126640718882E-2</v>
      </c>
      <c r="Z50" s="177">
        <f>IFERROR(VLOOKUP(Vertailu[[#This Row],[Y-tunnus]],'Suoritepäätös 2023 oikaistu'!$B:$N,COLUMN('Suoritepäätös 2023 oikaistu'!H:H),FALSE),0)</f>
        <v>20970073</v>
      </c>
      <c r="AA50" s="177">
        <f>IFERROR(VLOOKUP(Vertailu[[#This Row],[Y-tunnus]],'1.2 Ohjaus-laskentataulu'!A:AT,COLUMN('1.2 Ohjaus-laskentataulu'!AO:AO),FALSE),0)</f>
        <v>21855392</v>
      </c>
      <c r="AB50" s="177">
        <f>Vertailu[[#This Row],[Perusrahoitus 2024, €]]-Vertailu[[#This Row],[Perusrahoitus 2023, €]]</f>
        <v>885319</v>
      </c>
      <c r="AC50" s="179">
        <f>IFERROR(Vertailu[[#This Row],[Perusrahoituksen muutos, €]]/Vertailu[[#This Row],[Perusrahoitus 2023, €]],0)</f>
        <v>4.2218212592774473E-2</v>
      </c>
      <c r="AD50" s="177">
        <f>IFERROR(VLOOKUP(Vertailu[[#This Row],[Y-tunnus]],'Suoritepäätös 2023 oikaistu'!$O:$Y,COLUMN('Suoritepäätös 2023 oikaistu'!D:D),FALSE),0)</f>
        <v>6926473</v>
      </c>
      <c r="AE50" s="177">
        <f>IFERROR(VLOOKUP(Vertailu[[#This Row],[Y-tunnus]],'1.2 Ohjaus-laskentataulu'!A:AT,COLUMN('1.2 Ohjaus-laskentataulu'!O:O),FALSE),0)</f>
        <v>7164600</v>
      </c>
      <c r="AF50" s="177">
        <f>Vertailu[[#This Row],[Suoritusrahoitus 2024, €]]-Vertailu[[#This Row],[Suoritusrahoitus 2023, €]]</f>
        <v>238127</v>
      </c>
      <c r="AG50" s="179">
        <f>IFERROR(Vertailu[[#This Row],[Suoritusrahoituksen muutos, €]]/Vertailu[[#This Row],[Suoritusrahoitus 2023, €]],0)</f>
        <v>3.4379257668368877E-2</v>
      </c>
      <c r="AH50" s="177">
        <f>IFERROR(VLOOKUP(Vertailu[[#This Row],[Y-tunnus]],'Suoritepäätös 2023 oikaistu'!$AB:$AL,COLUMN('Suoritepäätös 2023 oikaistu'!I:I),FALSE),0)</f>
        <v>4097966</v>
      </c>
      <c r="AI5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4070848</v>
      </c>
      <c r="AJ50" s="177">
        <f>Vertailu[[#This Row],[Vaikuttavuusrahoitus 2024, €]]-Vertailu[[#This Row],[Vaikuttavuusrahoitus 2023, €]]</f>
        <v>-27118</v>
      </c>
      <c r="AK50" s="179">
        <f>IFERROR(Vertailu[[#This Row],[Vaikuttavuusrahoituksen muutos, €]]/Vertailu[[#This Row],[Vaikuttavuusrahoitus 2023, €]],0)</f>
        <v>-6.6174292319653213E-3</v>
      </c>
    </row>
    <row r="51" spans="1:37" s="1" customFormat="1" ht="12.75" customHeight="1" x14ac:dyDescent="0.25">
      <c r="A51" s="3" t="s">
        <v>260</v>
      </c>
      <c r="B51" s="151" t="s">
        <v>52</v>
      </c>
      <c r="C51" s="151" t="s">
        <v>173</v>
      </c>
      <c r="D51" s="7" t="s">
        <v>324</v>
      </c>
      <c r="E5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0.68856658682907113</v>
      </c>
      <c r="F5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0.69268801228880794</v>
      </c>
      <c r="G5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0.20532884983125632</v>
      </c>
      <c r="H5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0.10198313787993568</v>
      </c>
      <c r="I5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7.3583436702316568E-2</v>
      </c>
      <c r="J5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4.7364956952431602E-3</v>
      </c>
      <c r="K5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1.2109192637212484E-2</v>
      </c>
      <c r="L5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9.0059886944366205E-3</v>
      </c>
      <c r="M5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2.5480241507268488E-3</v>
      </c>
      <c r="N5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66307149</v>
      </c>
      <c r="O51" s="177">
        <f>IFERROR(VLOOKUP(Vertailu[[#This Row],[Y-tunnus]],'1.2 Ohjaus-laskentataulu'!A:AT,COLUMN('1.2 Ohjaus-laskentataulu'!AF:AF),FALSE),0)</f>
        <v>71152661</v>
      </c>
      <c r="P51" s="177">
        <f>IFERROR(Vertailu[[#This Row],[Rahoitus pl. hark. kor. 2024 ilman alv, €]]-Vertailu[[#This Row],[Rahoitus pl. hark. kor. 2023 ilman alv, €]],0)</f>
        <v>4845512</v>
      </c>
      <c r="Q51" s="179">
        <f>IFERROR(Vertailu[[#This Row],[Muutos, € 1]]/Vertailu[[#This Row],[Rahoitus pl. hark. kor. 2023 ilman alv, €]],0)</f>
        <v>7.3076765825054554E-2</v>
      </c>
      <c r="R51" s="182">
        <f>IFERROR(VLOOKUP(Vertailu[[#This Row],[Y-tunnus]],'Suoritepäätös 2023 oikaistu'!$AB:$AL,COLUMN('Suoritepäätös 2023 oikaistu'!J:J),FALSE),0)</f>
        <v>66382149</v>
      </c>
      <c r="S51" s="183">
        <f>IFERROR(VLOOKUP(Vertailu[[#This Row],[Y-tunnus]],'1.2 Ohjaus-laskentataulu'!A:AT,COLUMN('1.2 Ohjaus-laskentataulu'!AR:AR),FALSE),0)</f>
        <v>71447125</v>
      </c>
      <c r="T51" s="177">
        <f>IFERROR(Vertailu[[#This Row],[Rahoitus ml. hark. kor. 
2024 ilman alv, €]]-Vertailu[[#This Row],[Rahoitus ml. hark. kor. 
2023 ilman alv, €]],0)</f>
        <v>5064976</v>
      </c>
      <c r="U51" s="181">
        <f>IFERROR(Vertailu[[#This Row],[Muutos, € 2]]/Vertailu[[#This Row],[Rahoitus ml. hark. kor. 
2023 ilman alv, €]],0)</f>
        <v>7.6300271628747668E-2</v>
      </c>
      <c r="V5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66382149</v>
      </c>
      <c r="W51" s="182">
        <f>IFERROR(VLOOKUP(Vertailu[[#This Row],[Y-tunnus]],'1.2 Ohjaus-laskentataulu'!A:AT,COLUMN('1.2 Ohjaus-laskentataulu'!AT:AT),FALSE),0)</f>
        <v>71447125</v>
      </c>
      <c r="X51" s="184">
        <f>IFERROR(Vertailu[[#This Row],[Rahoitus ml. hark. kor. + alv 2024, €]]-Vertailu[[#This Row],[Rahoitus ml. hark. kor. + alv 2023, €]],0)</f>
        <v>5064976</v>
      </c>
      <c r="Y51" s="179">
        <f>IFERROR(Vertailu[[#This Row],[Muutos, € 3]]/Vertailu[[#This Row],[Rahoitus ml. hark. kor. + alv 2023, €]],0)</f>
        <v>7.6300271628747668E-2</v>
      </c>
      <c r="Z51" s="177">
        <f>IFERROR(VLOOKUP(Vertailu[[#This Row],[Y-tunnus]],'Suoritepäätös 2023 oikaistu'!$B:$N,COLUMN('Suoritepäätös 2023 oikaistu'!H:H),FALSE),0)</f>
        <v>45819523</v>
      </c>
      <c r="AA51" s="177">
        <f>IFERROR(VLOOKUP(Vertailu[[#This Row],[Y-tunnus]],'1.2 Ohjaus-laskentataulu'!A:AT,COLUMN('1.2 Ohjaus-laskentataulu'!AO:AO),FALSE),0)</f>
        <v>49490567</v>
      </c>
      <c r="AB51" s="177">
        <f>Vertailu[[#This Row],[Perusrahoitus 2024, €]]-Vertailu[[#This Row],[Perusrahoitus 2023, €]]</f>
        <v>3671044</v>
      </c>
      <c r="AC51" s="179">
        <f>IFERROR(Vertailu[[#This Row],[Perusrahoituksen muutos, €]]/Vertailu[[#This Row],[Perusrahoitus 2023, €]],0)</f>
        <v>8.0119646815179635E-2</v>
      </c>
      <c r="AD51" s="177">
        <f>IFERROR(VLOOKUP(Vertailu[[#This Row],[Y-tunnus]],'Suoritepäätös 2023 oikaistu'!$O:$Y,COLUMN('Suoritepäätös 2023 oikaistu'!D:D),FALSE),0)</f>
        <v>14136928</v>
      </c>
      <c r="AE51" s="177">
        <f>IFERROR(VLOOKUP(Vertailu[[#This Row],[Y-tunnus]],'1.2 Ohjaus-laskentataulu'!A:AT,COLUMN('1.2 Ohjaus-laskentataulu'!O:O),FALSE),0)</f>
        <v>14670156</v>
      </c>
      <c r="AF51" s="177">
        <f>Vertailu[[#This Row],[Suoritusrahoitus 2024, €]]-Vertailu[[#This Row],[Suoritusrahoitus 2023, €]]</f>
        <v>533228</v>
      </c>
      <c r="AG51" s="179">
        <f>IFERROR(Vertailu[[#This Row],[Suoritusrahoituksen muutos, €]]/Vertailu[[#This Row],[Suoritusrahoitus 2023, €]],0)</f>
        <v>3.7718802840334194E-2</v>
      </c>
      <c r="AH51" s="177">
        <f>IFERROR(VLOOKUP(Vertailu[[#This Row],[Y-tunnus]],'Suoritepäätös 2023 oikaistu'!$AB:$AL,COLUMN('Suoritepäätös 2023 oikaistu'!I:I),FALSE),0)</f>
        <v>6425698</v>
      </c>
      <c r="AI5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7286402</v>
      </c>
      <c r="AJ51" s="177">
        <f>Vertailu[[#This Row],[Vaikuttavuusrahoitus 2024, €]]-Vertailu[[#This Row],[Vaikuttavuusrahoitus 2023, €]]</f>
        <v>860704</v>
      </c>
      <c r="AK51" s="179">
        <f>IFERROR(Vertailu[[#This Row],[Vaikuttavuusrahoituksen muutos, €]]/Vertailu[[#This Row],[Vaikuttavuusrahoitus 2023, €]],0)</f>
        <v>0.13394716029293627</v>
      </c>
    </row>
    <row r="52" spans="1:37" s="1" customFormat="1" ht="12.75" customHeight="1" x14ac:dyDescent="0.25">
      <c r="A52" s="3" t="s">
        <v>276</v>
      </c>
      <c r="B52" s="151" t="s">
        <v>53</v>
      </c>
      <c r="C52" s="151" t="s">
        <v>173</v>
      </c>
      <c r="D52" s="7" t="s">
        <v>325</v>
      </c>
      <c r="E5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0.74393432541047566</v>
      </c>
      <c r="F5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0.74393432541047566</v>
      </c>
      <c r="G5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0.16445140105461567</v>
      </c>
      <c r="H5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9.1614273534908627E-2</v>
      </c>
      <c r="I5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6.2920410458582599E-2</v>
      </c>
      <c r="J5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5.5258425693609555E-3</v>
      </c>
      <c r="K5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2.0629736239652349E-2</v>
      </c>
      <c r="L5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2.2558725855796719E-3</v>
      </c>
      <c r="M5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2.8241168173305747E-4</v>
      </c>
      <c r="N5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2462197</v>
      </c>
      <c r="O52" s="177">
        <f>IFERROR(VLOOKUP(Vertailu[[#This Row],[Y-tunnus]],'1.2 Ohjaus-laskentataulu'!A:AT,COLUMN('1.2 Ohjaus-laskentataulu'!AF:AF),FALSE),0)</f>
        <v>2630911</v>
      </c>
      <c r="P52" s="177">
        <f>IFERROR(Vertailu[[#This Row],[Rahoitus pl. hark. kor. 2024 ilman alv, €]]-Vertailu[[#This Row],[Rahoitus pl. hark. kor. 2023 ilman alv, €]],0)</f>
        <v>168714</v>
      </c>
      <c r="Q52" s="179">
        <f>IFERROR(Vertailu[[#This Row],[Muutos, € 1]]/Vertailu[[#This Row],[Rahoitus pl. hark. kor. 2023 ilman alv, €]],0)</f>
        <v>6.8521730795708058E-2</v>
      </c>
      <c r="R52" s="182">
        <f>IFERROR(VLOOKUP(Vertailu[[#This Row],[Y-tunnus]],'Suoritepäätös 2023 oikaistu'!$AB:$AL,COLUMN('Suoritepäätös 2023 oikaistu'!J:J),FALSE),0)</f>
        <v>2462197</v>
      </c>
      <c r="S52" s="183">
        <f>IFERROR(VLOOKUP(Vertailu[[#This Row],[Y-tunnus]],'1.2 Ohjaus-laskentataulu'!A:AT,COLUMN('1.2 Ohjaus-laskentataulu'!AR:AR),FALSE),0)</f>
        <v>2630911</v>
      </c>
      <c r="T52" s="177">
        <f>IFERROR(Vertailu[[#This Row],[Rahoitus ml. hark. kor. 
2024 ilman alv, €]]-Vertailu[[#This Row],[Rahoitus ml. hark. kor. 
2023 ilman alv, €]],0)</f>
        <v>168714</v>
      </c>
      <c r="U52" s="181">
        <f>IFERROR(Vertailu[[#This Row],[Muutos, € 2]]/Vertailu[[#This Row],[Rahoitus ml. hark. kor. 
2023 ilman alv, €]],0)</f>
        <v>6.8521730795708058E-2</v>
      </c>
      <c r="V5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2885138</v>
      </c>
      <c r="W52" s="182">
        <f>IFERROR(VLOOKUP(Vertailu[[#This Row],[Y-tunnus]],'1.2 Ohjaus-laskentataulu'!A:AT,COLUMN('1.2 Ohjaus-laskentataulu'!AT:AT),FALSE),0)</f>
        <v>3072725</v>
      </c>
      <c r="X52" s="184">
        <f>IFERROR(Vertailu[[#This Row],[Rahoitus ml. hark. kor. + alv 2024, €]]-Vertailu[[#This Row],[Rahoitus ml. hark. kor. + alv 2023, €]],0)</f>
        <v>187587</v>
      </c>
      <c r="Y52" s="179">
        <f>IFERROR(Vertailu[[#This Row],[Muutos, € 3]]/Vertailu[[#This Row],[Rahoitus ml. hark. kor. + alv 2023, €]],0)</f>
        <v>6.5018380403294398E-2</v>
      </c>
      <c r="Z52" s="177">
        <f>IFERROR(VLOOKUP(Vertailu[[#This Row],[Y-tunnus]],'Suoritepäätös 2023 oikaistu'!$B:$N,COLUMN('Suoritepäätös 2023 oikaistu'!H:H),FALSE),0)</f>
        <v>1860268</v>
      </c>
      <c r="AA52" s="177">
        <f>IFERROR(VLOOKUP(Vertailu[[#This Row],[Y-tunnus]],'1.2 Ohjaus-laskentataulu'!A:AT,COLUMN('1.2 Ohjaus-laskentataulu'!AO:AO),FALSE),0)</f>
        <v>1957225</v>
      </c>
      <c r="AB52" s="177">
        <f>Vertailu[[#This Row],[Perusrahoitus 2024, €]]-Vertailu[[#This Row],[Perusrahoitus 2023, €]]</f>
        <v>96957</v>
      </c>
      <c r="AC52" s="179">
        <f>IFERROR(Vertailu[[#This Row],[Perusrahoituksen muutos, €]]/Vertailu[[#This Row],[Perusrahoitus 2023, €]],0)</f>
        <v>5.2119909604422587E-2</v>
      </c>
      <c r="AD52" s="177">
        <f>IFERROR(VLOOKUP(Vertailu[[#This Row],[Y-tunnus]],'Suoritepäätös 2023 oikaistu'!$O:$Y,COLUMN('Suoritepäätös 2023 oikaistu'!D:D),FALSE),0)</f>
        <v>399836</v>
      </c>
      <c r="AE52" s="177">
        <f>IFERROR(VLOOKUP(Vertailu[[#This Row],[Y-tunnus]],'1.2 Ohjaus-laskentataulu'!A:AT,COLUMN('1.2 Ohjaus-laskentataulu'!O:O),FALSE),0)</f>
        <v>432657</v>
      </c>
      <c r="AF52" s="177">
        <f>Vertailu[[#This Row],[Suoritusrahoitus 2024, €]]-Vertailu[[#This Row],[Suoritusrahoitus 2023, €]]</f>
        <v>32821</v>
      </c>
      <c r="AG52" s="179">
        <f>IFERROR(Vertailu[[#This Row],[Suoritusrahoituksen muutos, €]]/Vertailu[[#This Row],[Suoritusrahoitus 2023, €]],0)</f>
        <v>8.2086155323682714E-2</v>
      </c>
      <c r="AH52" s="177">
        <f>IFERROR(VLOOKUP(Vertailu[[#This Row],[Y-tunnus]],'Suoritepäätös 2023 oikaistu'!$AB:$AL,COLUMN('Suoritepäätös 2023 oikaistu'!I:I),FALSE),0)</f>
        <v>202093</v>
      </c>
      <c r="AI5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241029</v>
      </c>
      <c r="AJ52" s="177">
        <f>Vertailu[[#This Row],[Vaikuttavuusrahoitus 2024, €]]-Vertailu[[#This Row],[Vaikuttavuusrahoitus 2023, €]]</f>
        <v>38936</v>
      </c>
      <c r="AK52" s="179">
        <f>IFERROR(Vertailu[[#This Row],[Vaikuttavuusrahoituksen muutos, €]]/Vertailu[[#This Row],[Vaikuttavuusrahoitus 2023, €]],0)</f>
        <v>0.19266377360917994</v>
      </c>
    </row>
    <row r="53" spans="1:37" s="1" customFormat="1" ht="12.75" customHeight="1" x14ac:dyDescent="0.25">
      <c r="A53" s="3" t="s">
        <v>275</v>
      </c>
      <c r="B53" s="151" t="s">
        <v>54</v>
      </c>
      <c r="C53" s="151" t="s">
        <v>255</v>
      </c>
      <c r="D53" s="7" t="s">
        <v>325</v>
      </c>
      <c r="E5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0.84478938345905885</v>
      </c>
      <c r="F5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0.84478938345905885</v>
      </c>
      <c r="G5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0.13918960255721446</v>
      </c>
      <c r="H5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1.6021013983726719E-2</v>
      </c>
      <c r="I5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1.0293357994643803E-2</v>
      </c>
      <c r="J5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8.2969780697756529E-4</v>
      </c>
      <c r="K5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1.7137093093913377E-3</v>
      </c>
      <c r="L5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2.4064408441862471E-3</v>
      </c>
      <c r="M5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7.7780802852776734E-4</v>
      </c>
      <c r="N5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30049205</v>
      </c>
      <c r="O53" s="177">
        <f>IFERROR(VLOOKUP(Vertailu[[#This Row],[Y-tunnus]],'1.2 Ohjaus-laskentataulu'!A:AT,COLUMN('1.2 Ohjaus-laskentataulu'!AF:AF),FALSE),0)</f>
        <v>33416986</v>
      </c>
      <c r="P53" s="177">
        <f>IFERROR(Vertailu[[#This Row],[Rahoitus pl. hark. kor. 2024 ilman alv, €]]-Vertailu[[#This Row],[Rahoitus pl. hark. kor. 2023 ilman alv, €]],0)</f>
        <v>3367781</v>
      </c>
      <c r="Q53" s="179">
        <f>IFERROR(Vertailu[[#This Row],[Muutos, € 1]]/Vertailu[[#This Row],[Rahoitus pl. hark. kor. 2023 ilman alv, €]],0)</f>
        <v>0.11207554409509336</v>
      </c>
      <c r="R53" s="182">
        <f>IFERROR(VLOOKUP(Vertailu[[#This Row],[Y-tunnus]],'Suoritepäätös 2023 oikaistu'!$AB:$AL,COLUMN('Suoritepäätös 2023 oikaistu'!J:J),FALSE),0)</f>
        <v>30065205</v>
      </c>
      <c r="S53" s="183">
        <f>IFERROR(VLOOKUP(Vertailu[[#This Row],[Y-tunnus]],'1.2 Ohjaus-laskentataulu'!A:AT,COLUMN('1.2 Ohjaus-laskentataulu'!AR:AR),FALSE),0)</f>
        <v>33416986</v>
      </c>
      <c r="T53" s="177">
        <f>IFERROR(Vertailu[[#This Row],[Rahoitus ml. hark. kor. 
2024 ilman alv, €]]-Vertailu[[#This Row],[Rahoitus ml. hark. kor. 
2023 ilman alv, €]],0)</f>
        <v>3351781</v>
      </c>
      <c r="U53" s="181">
        <f>IFERROR(Vertailu[[#This Row],[Muutos, € 2]]/Vertailu[[#This Row],[Rahoitus ml. hark. kor. 
2023 ilman alv, €]],0)</f>
        <v>0.11148372346039218</v>
      </c>
      <c r="V5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31605365</v>
      </c>
      <c r="W53" s="182">
        <f>IFERROR(VLOOKUP(Vertailu[[#This Row],[Y-tunnus]],'1.2 Ohjaus-laskentataulu'!A:AT,COLUMN('1.2 Ohjaus-laskentataulu'!AT:AT),FALSE),0)</f>
        <v>35094834</v>
      </c>
      <c r="X53" s="184">
        <f>IFERROR(Vertailu[[#This Row],[Rahoitus ml. hark. kor. + alv 2024, €]]-Vertailu[[#This Row],[Rahoitus ml. hark. kor. + alv 2023, €]],0)</f>
        <v>3489469</v>
      </c>
      <c r="Y53" s="179">
        <f>IFERROR(Vertailu[[#This Row],[Muutos, € 3]]/Vertailu[[#This Row],[Rahoitus ml. hark. kor. + alv 2023, €]],0)</f>
        <v>0.11040748936137899</v>
      </c>
      <c r="Z53" s="177">
        <f>IFERROR(VLOOKUP(Vertailu[[#This Row],[Y-tunnus]],'Suoritepäätös 2023 oikaistu'!$B:$N,COLUMN('Suoritepäätös 2023 oikaistu'!H:H),FALSE),0)</f>
        <v>24960351</v>
      </c>
      <c r="AA53" s="177">
        <f>IFERROR(VLOOKUP(Vertailu[[#This Row],[Y-tunnus]],'1.2 Ohjaus-laskentataulu'!A:AT,COLUMN('1.2 Ohjaus-laskentataulu'!AO:AO),FALSE),0)</f>
        <v>28230315</v>
      </c>
      <c r="AB53" s="177">
        <f>Vertailu[[#This Row],[Perusrahoitus 2024, €]]-Vertailu[[#This Row],[Perusrahoitus 2023, €]]</f>
        <v>3269964</v>
      </c>
      <c r="AC53" s="179">
        <f>IFERROR(Vertailu[[#This Row],[Perusrahoituksen muutos, €]]/Vertailu[[#This Row],[Perusrahoitus 2023, €]],0)</f>
        <v>0.1310063308003962</v>
      </c>
      <c r="AD53" s="177">
        <f>IFERROR(VLOOKUP(Vertailu[[#This Row],[Y-tunnus]],'Suoritepäätös 2023 oikaistu'!$O:$Y,COLUMN('Suoritepäätös 2023 oikaistu'!D:D),FALSE),0)</f>
        <v>4566922</v>
      </c>
      <c r="AE53" s="177">
        <f>IFERROR(VLOOKUP(Vertailu[[#This Row],[Y-tunnus]],'1.2 Ohjaus-laskentataulu'!A:AT,COLUMN('1.2 Ohjaus-laskentataulu'!O:O),FALSE),0)</f>
        <v>4651297</v>
      </c>
      <c r="AF53" s="177">
        <f>Vertailu[[#This Row],[Suoritusrahoitus 2024, €]]-Vertailu[[#This Row],[Suoritusrahoitus 2023, €]]</f>
        <v>84375</v>
      </c>
      <c r="AG53" s="179">
        <f>IFERROR(Vertailu[[#This Row],[Suoritusrahoituksen muutos, €]]/Vertailu[[#This Row],[Suoritusrahoitus 2023, €]],0)</f>
        <v>1.847524437684725E-2</v>
      </c>
      <c r="AH53" s="177">
        <f>IFERROR(VLOOKUP(Vertailu[[#This Row],[Y-tunnus]],'Suoritepäätös 2023 oikaistu'!$AB:$AL,COLUMN('Suoritepäätös 2023 oikaistu'!I:I),FALSE),0)</f>
        <v>537932</v>
      </c>
      <c r="AI5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535374</v>
      </c>
      <c r="AJ53" s="177">
        <f>Vertailu[[#This Row],[Vaikuttavuusrahoitus 2024, €]]-Vertailu[[#This Row],[Vaikuttavuusrahoitus 2023, €]]</f>
        <v>-2558</v>
      </c>
      <c r="AK53" s="179">
        <f>IFERROR(Vertailu[[#This Row],[Vaikuttavuusrahoituksen muutos, €]]/Vertailu[[#This Row],[Vaikuttavuusrahoitus 2023, €]],0)</f>
        <v>-4.7552478751961211E-3</v>
      </c>
    </row>
    <row r="54" spans="1:37" s="1" customFormat="1" ht="12.75" customHeight="1" x14ac:dyDescent="0.25">
      <c r="A54" s="3" t="s">
        <v>274</v>
      </c>
      <c r="B54" s="151" t="s">
        <v>55</v>
      </c>
      <c r="C54" s="151" t="s">
        <v>173</v>
      </c>
      <c r="D54" s="7" t="s">
        <v>325</v>
      </c>
      <c r="E5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0.65310153335254273</v>
      </c>
      <c r="F5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0.6568768854174073</v>
      </c>
      <c r="G5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0.22077758716822934</v>
      </c>
      <c r="H5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0.12234552741436336</v>
      </c>
      <c r="I5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8.0905395949015482E-2</v>
      </c>
      <c r="J5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3.9360485660536928E-3</v>
      </c>
      <c r="K5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1.5152942333691685E-2</v>
      </c>
      <c r="L5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1.7870616329351916E-2</v>
      </c>
      <c r="M5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4.4805242362505864E-3</v>
      </c>
      <c r="N5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17674425</v>
      </c>
      <c r="O54" s="177">
        <f>IFERROR(VLOOKUP(Vertailu[[#This Row],[Y-tunnus]],'1.2 Ohjaus-laskentataulu'!A:AT,COLUMN('1.2 Ohjaus-laskentataulu'!AF:AF),FALSE),0)</f>
        <v>18635448</v>
      </c>
      <c r="P54" s="177">
        <f>IFERROR(Vertailu[[#This Row],[Rahoitus pl. hark. kor. 2024 ilman alv, €]]-Vertailu[[#This Row],[Rahoitus pl. hark. kor. 2023 ilman alv, €]],0)</f>
        <v>961023</v>
      </c>
      <c r="Q54" s="179">
        <f>IFERROR(Vertailu[[#This Row],[Muutos, € 1]]/Vertailu[[#This Row],[Rahoitus pl. hark. kor. 2023 ilman alv, €]],0)</f>
        <v>5.4373650062166094E-2</v>
      </c>
      <c r="R54" s="182">
        <f>IFERROR(VLOOKUP(Vertailu[[#This Row],[Y-tunnus]],'Suoritepäätös 2023 oikaistu'!$AB:$AL,COLUMN('Suoritepäätös 2023 oikaistu'!J:J),FALSE),0)</f>
        <v>17716425</v>
      </c>
      <c r="S54" s="183">
        <f>IFERROR(VLOOKUP(Vertailu[[#This Row],[Y-tunnus]],'1.2 Ohjaus-laskentataulu'!A:AT,COLUMN('1.2 Ohjaus-laskentataulu'!AR:AR),FALSE),0)</f>
        <v>18706070</v>
      </c>
      <c r="T54" s="177">
        <f>IFERROR(Vertailu[[#This Row],[Rahoitus ml. hark. kor. 
2024 ilman alv, €]]-Vertailu[[#This Row],[Rahoitus ml. hark. kor. 
2023 ilman alv, €]],0)</f>
        <v>989645</v>
      </c>
      <c r="U54" s="181">
        <f>IFERROR(Vertailu[[#This Row],[Muutos, € 2]]/Vertailu[[#This Row],[Rahoitus ml. hark. kor. 
2023 ilman alv, €]],0)</f>
        <v>5.5860310418157165E-2</v>
      </c>
      <c r="V5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18542366</v>
      </c>
      <c r="W54" s="182">
        <f>IFERROR(VLOOKUP(Vertailu[[#This Row],[Y-tunnus]],'1.2 Ohjaus-laskentataulu'!A:AT,COLUMN('1.2 Ohjaus-laskentataulu'!AT:AT),FALSE),0)</f>
        <v>20749853</v>
      </c>
      <c r="X54" s="184">
        <f>IFERROR(Vertailu[[#This Row],[Rahoitus ml. hark. kor. + alv 2024, €]]-Vertailu[[#This Row],[Rahoitus ml. hark. kor. + alv 2023, €]],0)</f>
        <v>2207487</v>
      </c>
      <c r="Y54" s="179">
        <f>IFERROR(Vertailu[[#This Row],[Muutos, € 3]]/Vertailu[[#This Row],[Rahoitus ml. hark. kor. + alv 2023, €]],0)</f>
        <v>0.11905098842294451</v>
      </c>
      <c r="Z54" s="177">
        <f>IFERROR(VLOOKUP(Vertailu[[#This Row],[Y-tunnus]],'Suoritepäätös 2023 oikaistu'!$B:$N,COLUMN('Suoritepäätös 2023 oikaistu'!H:H),FALSE),0)</f>
        <v>11987219</v>
      </c>
      <c r="AA54" s="177">
        <f>IFERROR(VLOOKUP(Vertailu[[#This Row],[Y-tunnus]],'1.2 Ohjaus-laskentataulu'!A:AT,COLUMN('1.2 Ohjaus-laskentataulu'!AO:AO),FALSE),0)</f>
        <v>12287585</v>
      </c>
      <c r="AB54" s="177">
        <f>Vertailu[[#This Row],[Perusrahoitus 2024, €]]-Vertailu[[#This Row],[Perusrahoitus 2023, €]]</f>
        <v>300366</v>
      </c>
      <c r="AC54" s="179">
        <f>IFERROR(Vertailu[[#This Row],[Perusrahoituksen muutos, €]]/Vertailu[[#This Row],[Perusrahoitus 2023, €]],0)</f>
        <v>2.5057187993311875E-2</v>
      </c>
      <c r="AD54" s="177">
        <f>IFERROR(VLOOKUP(Vertailu[[#This Row],[Y-tunnus]],'Suoritepäätös 2023 oikaistu'!$O:$Y,COLUMN('Suoritepäätös 2023 oikaistu'!D:D),FALSE),0)</f>
        <v>3594495</v>
      </c>
      <c r="AE54" s="177">
        <f>IFERROR(VLOOKUP(Vertailu[[#This Row],[Y-tunnus]],'1.2 Ohjaus-laskentataulu'!A:AT,COLUMN('1.2 Ohjaus-laskentataulu'!O:O),FALSE),0)</f>
        <v>4129881</v>
      </c>
      <c r="AF54" s="177">
        <f>Vertailu[[#This Row],[Suoritusrahoitus 2024, €]]-Vertailu[[#This Row],[Suoritusrahoitus 2023, €]]</f>
        <v>535386</v>
      </c>
      <c r="AG54" s="179">
        <f>IFERROR(Vertailu[[#This Row],[Suoritusrahoituksen muutos, €]]/Vertailu[[#This Row],[Suoritusrahoitus 2023, €]],0)</f>
        <v>0.14894609673959763</v>
      </c>
      <c r="AH54" s="177">
        <f>IFERROR(VLOOKUP(Vertailu[[#This Row],[Y-tunnus]],'Suoritepäätös 2023 oikaistu'!$AB:$AL,COLUMN('Suoritepäätös 2023 oikaistu'!I:I),FALSE),0)</f>
        <v>2134711</v>
      </c>
      <c r="AI5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2288604</v>
      </c>
      <c r="AJ54" s="177">
        <f>Vertailu[[#This Row],[Vaikuttavuusrahoitus 2024, €]]-Vertailu[[#This Row],[Vaikuttavuusrahoitus 2023, €]]</f>
        <v>153893</v>
      </c>
      <c r="AK54" s="179">
        <f>IFERROR(Vertailu[[#This Row],[Vaikuttavuusrahoituksen muutos, €]]/Vertailu[[#This Row],[Vaikuttavuusrahoitus 2023, €]],0)</f>
        <v>7.2090788870249889E-2</v>
      </c>
    </row>
    <row r="55" spans="1:37" s="1" customFormat="1" ht="12.75" customHeight="1" x14ac:dyDescent="0.25">
      <c r="A55" s="3" t="s">
        <v>196</v>
      </c>
      <c r="B55" s="151" t="s">
        <v>438</v>
      </c>
      <c r="C55" s="151" t="s">
        <v>173</v>
      </c>
      <c r="D55" s="7" t="s">
        <v>325</v>
      </c>
      <c r="E5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0.65338687800856365</v>
      </c>
      <c r="F5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0.65338687800856365</v>
      </c>
      <c r="G5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0.32906039732985826</v>
      </c>
      <c r="H5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1.7552724661578149E-2</v>
      </c>
      <c r="I5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</v>
      </c>
      <c r="J5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0</v>
      </c>
      <c r="K5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1.7552724661578149E-2</v>
      </c>
      <c r="L5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0</v>
      </c>
      <c r="M5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5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31058</v>
      </c>
      <c r="O55" s="177">
        <f>IFERROR(VLOOKUP(Vertailu[[#This Row],[Y-tunnus]],'1.2 Ohjaus-laskentataulu'!A:AT,COLUMN('1.2 Ohjaus-laskentataulu'!AF:AF),FALSE),0)</f>
        <v>37601</v>
      </c>
      <c r="P55" s="177">
        <f>IFERROR(Vertailu[[#This Row],[Rahoitus pl. hark. kor. 2024 ilman alv, €]]-Vertailu[[#This Row],[Rahoitus pl. hark. kor. 2023 ilman alv, €]],0)</f>
        <v>6543</v>
      </c>
      <c r="Q55" s="179">
        <f>IFERROR(Vertailu[[#This Row],[Muutos, € 1]]/Vertailu[[#This Row],[Rahoitus pl. hark. kor. 2023 ilman alv, €]],0)</f>
        <v>0.21067035868375297</v>
      </c>
      <c r="R55" s="182">
        <f>IFERROR(VLOOKUP(Vertailu[[#This Row],[Y-tunnus]],'Suoritepäätös 2023 oikaistu'!$AB:$AL,COLUMN('Suoritepäätös 2023 oikaistu'!J:J),FALSE),0)</f>
        <v>31058</v>
      </c>
      <c r="S55" s="183">
        <f>IFERROR(VLOOKUP(Vertailu[[#This Row],[Y-tunnus]],'1.2 Ohjaus-laskentataulu'!A:AT,COLUMN('1.2 Ohjaus-laskentataulu'!AR:AR),FALSE),0)</f>
        <v>37601</v>
      </c>
      <c r="T55" s="177">
        <f>IFERROR(Vertailu[[#This Row],[Rahoitus ml. hark. kor. 
2024 ilman alv, €]]-Vertailu[[#This Row],[Rahoitus ml. hark. kor. 
2023 ilman alv, €]],0)</f>
        <v>6543</v>
      </c>
      <c r="U55" s="181">
        <f>IFERROR(Vertailu[[#This Row],[Muutos, € 2]]/Vertailu[[#This Row],[Rahoitus ml. hark. kor. 
2023 ilman alv, €]],0)</f>
        <v>0.21067035868375297</v>
      </c>
      <c r="V5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31878</v>
      </c>
      <c r="W55" s="182">
        <f>IFERROR(VLOOKUP(Vertailu[[#This Row],[Y-tunnus]],'1.2 Ohjaus-laskentataulu'!A:AT,COLUMN('1.2 Ohjaus-laskentataulu'!AT:AT),FALSE),0)</f>
        <v>37601</v>
      </c>
      <c r="X55" s="184">
        <f>IFERROR(Vertailu[[#This Row],[Rahoitus ml. hark. kor. + alv 2024, €]]-Vertailu[[#This Row],[Rahoitus ml. hark. kor. + alv 2023, €]],0)</f>
        <v>5723</v>
      </c>
      <c r="Y55" s="179">
        <f>IFERROR(Vertailu[[#This Row],[Muutos, € 3]]/Vertailu[[#This Row],[Rahoitus ml. hark. kor. + alv 2023, €]],0)</f>
        <v>0.17952820126733171</v>
      </c>
      <c r="Z55" s="177">
        <f>IFERROR(VLOOKUP(Vertailu[[#This Row],[Y-tunnus]],'Suoritepäätös 2023 oikaistu'!$B:$N,COLUMN('Suoritepäätös 2023 oikaistu'!H:H),FALSE),0)</f>
        <v>23391</v>
      </c>
      <c r="AA55" s="177">
        <f>IFERROR(VLOOKUP(Vertailu[[#This Row],[Y-tunnus]],'1.2 Ohjaus-laskentataulu'!A:AT,COLUMN('1.2 Ohjaus-laskentataulu'!AO:AO),FALSE),0)</f>
        <v>24568</v>
      </c>
      <c r="AB55" s="177">
        <f>Vertailu[[#This Row],[Perusrahoitus 2024, €]]-Vertailu[[#This Row],[Perusrahoitus 2023, €]]</f>
        <v>1177</v>
      </c>
      <c r="AC55" s="179">
        <f>IFERROR(Vertailu[[#This Row],[Perusrahoituksen muutos, €]]/Vertailu[[#This Row],[Perusrahoitus 2023, €]],0)</f>
        <v>5.0318498567825234E-2</v>
      </c>
      <c r="AD55" s="177">
        <f>IFERROR(VLOOKUP(Vertailu[[#This Row],[Y-tunnus]],'Suoritepäätös 2023 oikaistu'!$O:$Y,COLUMN('Suoritepäätös 2023 oikaistu'!D:D),FALSE),0)</f>
        <v>0</v>
      </c>
      <c r="AE55" s="177">
        <f>IFERROR(VLOOKUP(Vertailu[[#This Row],[Y-tunnus]],'1.2 Ohjaus-laskentataulu'!A:AT,COLUMN('1.2 Ohjaus-laskentataulu'!O:O),FALSE),0)</f>
        <v>12373</v>
      </c>
      <c r="AF55" s="177">
        <f>Vertailu[[#This Row],[Suoritusrahoitus 2024, €]]-Vertailu[[#This Row],[Suoritusrahoitus 2023, €]]</f>
        <v>12373</v>
      </c>
      <c r="AG55" s="179">
        <f>IFERROR(Vertailu[[#This Row],[Suoritusrahoituksen muutos, €]]/Vertailu[[#This Row],[Suoritusrahoitus 2023, €]],0)</f>
        <v>0</v>
      </c>
      <c r="AH55" s="177">
        <f>IFERROR(VLOOKUP(Vertailu[[#This Row],[Y-tunnus]],'Suoritepäätös 2023 oikaistu'!$AB:$AL,COLUMN('Suoritepäätös 2023 oikaistu'!I:I),FALSE),0)</f>
        <v>7667</v>
      </c>
      <c r="AI5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660</v>
      </c>
      <c r="AJ55" s="177">
        <f>Vertailu[[#This Row],[Vaikuttavuusrahoitus 2024, €]]-Vertailu[[#This Row],[Vaikuttavuusrahoitus 2023, €]]</f>
        <v>-7007</v>
      </c>
      <c r="AK55" s="179">
        <f>IFERROR(Vertailu[[#This Row],[Vaikuttavuusrahoituksen muutos, €]]/Vertailu[[#This Row],[Vaikuttavuusrahoitus 2023, €]],0)</f>
        <v>-0.91391678622668582</v>
      </c>
    </row>
    <row r="56" spans="1:37" s="1" customFormat="1" ht="12.75" customHeight="1" x14ac:dyDescent="0.25">
      <c r="A56" s="3" t="s">
        <v>273</v>
      </c>
      <c r="B56" s="151" t="s">
        <v>56</v>
      </c>
      <c r="C56" s="151" t="s">
        <v>241</v>
      </c>
      <c r="D56" s="7" t="s">
        <v>325</v>
      </c>
      <c r="E5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0.62465908241799295</v>
      </c>
      <c r="F5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0.62465908241799295</v>
      </c>
      <c r="G5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0.20379866248225362</v>
      </c>
      <c r="H5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0.17154225509975343</v>
      </c>
      <c r="I5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8.8993499215422545E-2</v>
      </c>
      <c r="J5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1.3314466113726369E-2</v>
      </c>
      <c r="K5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2.8963984159007698E-2</v>
      </c>
      <c r="L5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2.5148509302846896E-2</v>
      </c>
      <c r="M5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1.5121796308749907E-2</v>
      </c>
      <c r="N5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166296</v>
      </c>
      <c r="O56" s="177">
        <f>IFERROR(VLOOKUP(Vertailu[[#This Row],[Y-tunnus]],'1.2 Ohjaus-laskentataulu'!A:AT,COLUMN('1.2 Ohjaus-laskentataulu'!AF:AF),FALSE),0)</f>
        <v>214128</v>
      </c>
      <c r="P56" s="177">
        <f>IFERROR(Vertailu[[#This Row],[Rahoitus pl. hark. kor. 2024 ilman alv, €]]-Vertailu[[#This Row],[Rahoitus pl. hark. kor. 2023 ilman alv, €]],0)</f>
        <v>47832</v>
      </c>
      <c r="Q56" s="179">
        <f>IFERROR(Vertailu[[#This Row],[Muutos, € 1]]/Vertailu[[#This Row],[Rahoitus pl. hark. kor. 2023 ilman alv, €]],0)</f>
        <v>0.2876316928849762</v>
      </c>
      <c r="R56" s="182">
        <f>IFERROR(VLOOKUP(Vertailu[[#This Row],[Y-tunnus]],'Suoritepäätös 2023 oikaistu'!$AB:$AL,COLUMN('Suoritepäätös 2023 oikaistu'!J:J),FALSE),0)</f>
        <v>166296</v>
      </c>
      <c r="S56" s="183">
        <f>IFERROR(VLOOKUP(Vertailu[[#This Row],[Y-tunnus]],'1.2 Ohjaus-laskentataulu'!A:AT,COLUMN('1.2 Ohjaus-laskentataulu'!AR:AR),FALSE),0)</f>
        <v>214128</v>
      </c>
      <c r="T56" s="177">
        <f>IFERROR(Vertailu[[#This Row],[Rahoitus ml. hark. kor. 
2024 ilman alv, €]]-Vertailu[[#This Row],[Rahoitus ml. hark. kor. 
2023 ilman alv, €]],0)</f>
        <v>47832</v>
      </c>
      <c r="U56" s="181">
        <f>IFERROR(Vertailu[[#This Row],[Muutos, € 2]]/Vertailu[[#This Row],[Rahoitus ml. hark. kor. 
2023 ilman alv, €]],0)</f>
        <v>0.2876316928849762</v>
      </c>
      <c r="V5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171584</v>
      </c>
      <c r="W56" s="182">
        <f>IFERROR(VLOOKUP(Vertailu[[#This Row],[Y-tunnus]],'1.2 Ohjaus-laskentataulu'!A:AT,COLUMN('1.2 Ohjaus-laskentataulu'!AT:AT),FALSE),0)</f>
        <v>236292</v>
      </c>
      <c r="X56" s="184">
        <f>IFERROR(Vertailu[[#This Row],[Rahoitus ml. hark. kor. + alv 2024, €]]-Vertailu[[#This Row],[Rahoitus ml. hark. kor. + alv 2023, €]],0)</f>
        <v>64708</v>
      </c>
      <c r="Y56" s="179">
        <f>IFERROR(Vertailu[[#This Row],[Muutos, € 3]]/Vertailu[[#This Row],[Rahoitus ml. hark. kor. + alv 2023, €]],0)</f>
        <v>0.37712140992167104</v>
      </c>
      <c r="Z56" s="177">
        <f>IFERROR(VLOOKUP(Vertailu[[#This Row],[Y-tunnus]],'Suoritepäätös 2023 oikaistu'!$B:$N,COLUMN('Suoritepäätös 2023 oikaistu'!H:H),FALSE),0)</f>
        <v>111759</v>
      </c>
      <c r="AA56" s="177">
        <f>IFERROR(VLOOKUP(Vertailu[[#This Row],[Y-tunnus]],'1.2 Ohjaus-laskentataulu'!A:AT,COLUMN('1.2 Ohjaus-laskentataulu'!AO:AO),FALSE),0)</f>
        <v>133757</v>
      </c>
      <c r="AB56" s="177">
        <f>Vertailu[[#This Row],[Perusrahoitus 2024, €]]-Vertailu[[#This Row],[Perusrahoitus 2023, €]]</f>
        <v>21998</v>
      </c>
      <c r="AC56" s="179">
        <f>IFERROR(Vertailu[[#This Row],[Perusrahoituksen muutos, €]]/Vertailu[[#This Row],[Perusrahoitus 2023, €]],0)</f>
        <v>0.19683425943324476</v>
      </c>
      <c r="AD56" s="177">
        <f>IFERROR(VLOOKUP(Vertailu[[#This Row],[Y-tunnus]],'Suoritepäätös 2023 oikaistu'!$O:$Y,COLUMN('Suoritepäätös 2023 oikaistu'!D:D),FALSE),0)</f>
        <v>26842</v>
      </c>
      <c r="AE56" s="177">
        <f>IFERROR(VLOOKUP(Vertailu[[#This Row],[Y-tunnus]],'1.2 Ohjaus-laskentataulu'!A:AT,COLUMN('1.2 Ohjaus-laskentataulu'!O:O),FALSE),0)</f>
        <v>43639</v>
      </c>
      <c r="AF56" s="177">
        <f>Vertailu[[#This Row],[Suoritusrahoitus 2024, €]]-Vertailu[[#This Row],[Suoritusrahoitus 2023, €]]</f>
        <v>16797</v>
      </c>
      <c r="AG56" s="179">
        <f>IFERROR(Vertailu[[#This Row],[Suoritusrahoituksen muutos, €]]/Vertailu[[#This Row],[Suoritusrahoitus 2023, €]],0)</f>
        <v>0.62577304224722452</v>
      </c>
      <c r="AH56" s="177">
        <f>IFERROR(VLOOKUP(Vertailu[[#This Row],[Y-tunnus]],'Suoritepäätös 2023 oikaistu'!$AB:$AL,COLUMN('Suoritepäätös 2023 oikaistu'!I:I),FALSE),0)</f>
        <v>27695</v>
      </c>
      <c r="AI5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36732</v>
      </c>
      <c r="AJ56" s="177">
        <f>Vertailu[[#This Row],[Vaikuttavuusrahoitus 2024, €]]-Vertailu[[#This Row],[Vaikuttavuusrahoitus 2023, €]]</f>
        <v>9037</v>
      </c>
      <c r="AK56" s="179">
        <f>IFERROR(Vertailu[[#This Row],[Vaikuttavuusrahoituksen muutos, €]]/Vertailu[[#This Row],[Vaikuttavuusrahoitus 2023, €]],0)</f>
        <v>0.32630438707347897</v>
      </c>
    </row>
    <row r="57" spans="1:37" s="1" customFormat="1" ht="12.75" customHeight="1" x14ac:dyDescent="0.25">
      <c r="A57" s="3" t="s">
        <v>490</v>
      </c>
      <c r="B57" s="151" t="s">
        <v>491</v>
      </c>
      <c r="C57" s="151" t="s">
        <v>173</v>
      </c>
      <c r="D57" s="7" t="s">
        <v>325</v>
      </c>
      <c r="E5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0.70607114096510359</v>
      </c>
      <c r="F5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0.71368881610315849</v>
      </c>
      <c r="G5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0.19945894128359692</v>
      </c>
      <c r="H5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8.6852242613244576E-2</v>
      </c>
      <c r="I5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6.1223593846887719E-2</v>
      </c>
      <c r="J5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1.6005483101088562E-3</v>
      </c>
      <c r="K5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6.410929857848682E-3</v>
      </c>
      <c r="L5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1.3015375791401027E-2</v>
      </c>
      <c r="M5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4.601794806998293E-3</v>
      </c>
      <c r="N5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4786520</v>
      </c>
      <c r="O57" s="177">
        <f>IFERROR(VLOOKUP(Vertailu[[#This Row],[Y-tunnus]],'1.2 Ohjaus-laskentataulu'!A:AT,COLUMN('1.2 Ohjaus-laskentataulu'!AF:AF),FALSE),0)</f>
        <v>4543554</v>
      </c>
      <c r="P57" s="177">
        <f>IFERROR(Vertailu[[#This Row],[Rahoitus pl. hark. kor. 2024 ilman alv, €]]-Vertailu[[#This Row],[Rahoitus pl. hark. kor. 2023 ilman alv, €]],0)</f>
        <v>-242966</v>
      </c>
      <c r="Q57" s="179">
        <f>IFERROR(Vertailu[[#This Row],[Muutos, € 1]]/Vertailu[[#This Row],[Rahoitus pl. hark. kor. 2023 ilman alv, €]],0)</f>
        <v>-5.0760468983729309E-2</v>
      </c>
      <c r="R57" s="182">
        <f>IFERROR(VLOOKUP(Vertailu[[#This Row],[Y-tunnus]],'Suoritepäätös 2023 oikaistu'!$AB:$AL,COLUMN('Suoritepäätös 2023 oikaistu'!J:J),FALSE),0)</f>
        <v>4802520</v>
      </c>
      <c r="S57" s="183">
        <f>IFERROR(VLOOKUP(Vertailu[[#This Row],[Y-tunnus]],'1.2 Ohjaus-laskentataulu'!A:AT,COLUMN('1.2 Ohjaus-laskentataulu'!AR:AR),FALSE),0)</f>
        <v>4578431</v>
      </c>
      <c r="T57" s="177">
        <f>IFERROR(Vertailu[[#This Row],[Rahoitus ml. hark. kor. 
2024 ilman alv, €]]-Vertailu[[#This Row],[Rahoitus ml. hark. kor. 
2023 ilman alv, €]],0)</f>
        <v>-224089</v>
      </c>
      <c r="U57" s="181">
        <f>IFERROR(Vertailu[[#This Row],[Muutos, € 2]]/Vertailu[[#This Row],[Rahoitus ml. hark. kor. 
2023 ilman alv, €]],0)</f>
        <v>-4.6660711459816928E-2</v>
      </c>
      <c r="V5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5035567</v>
      </c>
      <c r="W57" s="182">
        <f>IFERROR(VLOOKUP(Vertailu[[#This Row],[Y-tunnus]],'1.2 Ohjaus-laskentataulu'!A:AT,COLUMN('1.2 Ohjaus-laskentataulu'!AT:AT),FALSE),0)</f>
        <v>4804727</v>
      </c>
      <c r="X57" s="184">
        <f>IFERROR(Vertailu[[#This Row],[Rahoitus ml. hark. kor. + alv 2024, €]]-Vertailu[[#This Row],[Rahoitus ml. hark. kor. + alv 2023, €]],0)</f>
        <v>-230840</v>
      </c>
      <c r="Y57" s="179">
        <f>IFERROR(Vertailu[[#This Row],[Muutos, € 3]]/Vertailu[[#This Row],[Rahoitus ml. hark. kor. + alv 2023, €]],0)</f>
        <v>-4.5841908170420533E-2</v>
      </c>
      <c r="Z57" s="177">
        <f>IFERROR(VLOOKUP(Vertailu[[#This Row],[Y-tunnus]],'Suoritepäätös 2023 oikaistu'!$B:$N,COLUMN('Suoritepäätös 2023 oikaistu'!H:H),FALSE),0)</f>
        <v>3386964</v>
      </c>
      <c r="AA57" s="177">
        <f>IFERROR(VLOOKUP(Vertailu[[#This Row],[Y-tunnus]],'1.2 Ohjaus-laskentataulu'!A:AT,COLUMN('1.2 Ohjaus-laskentataulu'!AO:AO),FALSE),0)</f>
        <v>3267575</v>
      </c>
      <c r="AB57" s="177">
        <f>Vertailu[[#This Row],[Perusrahoitus 2024, €]]-Vertailu[[#This Row],[Perusrahoitus 2023, €]]</f>
        <v>-119389</v>
      </c>
      <c r="AC57" s="179">
        <f>IFERROR(Vertailu[[#This Row],[Perusrahoituksen muutos, €]]/Vertailu[[#This Row],[Perusrahoitus 2023, €]],0)</f>
        <v>-3.5249562735240172E-2</v>
      </c>
      <c r="AD57" s="177">
        <f>IFERROR(VLOOKUP(Vertailu[[#This Row],[Y-tunnus]],'Suoritepäätös 2023 oikaistu'!$O:$Y,COLUMN('Suoritepäätös 2023 oikaistu'!D:D),FALSE),0)</f>
        <v>980469</v>
      </c>
      <c r="AE57" s="177">
        <f>IFERROR(VLOOKUP(Vertailu[[#This Row],[Y-tunnus]],'1.2 Ohjaus-laskentataulu'!A:AT,COLUMN('1.2 Ohjaus-laskentataulu'!O:O),FALSE),0)</f>
        <v>913209</v>
      </c>
      <c r="AF57" s="177">
        <f>Vertailu[[#This Row],[Suoritusrahoitus 2024, €]]-Vertailu[[#This Row],[Suoritusrahoitus 2023, €]]</f>
        <v>-67260</v>
      </c>
      <c r="AG57" s="179">
        <f>IFERROR(Vertailu[[#This Row],[Suoritusrahoituksen muutos, €]]/Vertailu[[#This Row],[Suoritusrahoitus 2023, €]],0)</f>
        <v>-6.8599823145861827E-2</v>
      </c>
      <c r="AH57" s="177">
        <f>IFERROR(VLOOKUP(Vertailu[[#This Row],[Y-tunnus]],'Suoritepäätös 2023 oikaistu'!$AB:$AL,COLUMN('Suoritepäätös 2023 oikaistu'!I:I),FALSE),0)</f>
        <v>435087</v>
      </c>
      <c r="AI5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397647</v>
      </c>
      <c r="AJ57" s="177">
        <f>Vertailu[[#This Row],[Vaikuttavuusrahoitus 2024, €]]-Vertailu[[#This Row],[Vaikuttavuusrahoitus 2023, €]]</f>
        <v>-37440</v>
      </c>
      <c r="AK57" s="179">
        <f>IFERROR(Vertailu[[#This Row],[Vaikuttavuusrahoituksen muutos, €]]/Vertailu[[#This Row],[Vaikuttavuusrahoitus 2023, €]],0)</f>
        <v>-8.6051755166208138E-2</v>
      </c>
    </row>
    <row r="58" spans="1:37" s="1" customFormat="1" ht="12.75" customHeight="1" x14ac:dyDescent="0.25">
      <c r="A58" s="3" t="s">
        <v>272</v>
      </c>
      <c r="B58" s="151" t="s">
        <v>129</v>
      </c>
      <c r="C58" s="151" t="s">
        <v>173</v>
      </c>
      <c r="D58" s="7" t="s">
        <v>325</v>
      </c>
      <c r="E5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0.70200613763627828</v>
      </c>
      <c r="F5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0.70200613763627828</v>
      </c>
      <c r="G5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0.10870847088496451</v>
      </c>
      <c r="H5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0.18928539147875714</v>
      </c>
      <c r="I5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8.6990018808885364E-2</v>
      </c>
      <c r="J5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7.6225482811605556E-3</v>
      </c>
      <c r="K5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2.1851878951695165E-2</v>
      </c>
      <c r="L5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6.0692012034243362E-2</v>
      </c>
      <c r="M5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1.2128933402772697E-2</v>
      </c>
      <c r="N5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251166</v>
      </c>
      <c r="O58" s="177">
        <f>IFERROR(VLOOKUP(Vertailu[[#This Row],[Y-tunnus]],'1.2 Ohjaus-laskentataulu'!A:AT,COLUMN('1.2 Ohjaus-laskentataulu'!AF:AF),FALSE),0)</f>
        <v>232337</v>
      </c>
      <c r="P58" s="177">
        <f>IFERROR(Vertailu[[#This Row],[Rahoitus pl. hark. kor. 2024 ilman alv, €]]-Vertailu[[#This Row],[Rahoitus pl. hark. kor. 2023 ilman alv, €]],0)</f>
        <v>-18829</v>
      </c>
      <c r="Q58" s="179">
        <f>IFERROR(Vertailu[[#This Row],[Muutos, € 1]]/Vertailu[[#This Row],[Rahoitus pl. hark. kor. 2023 ilman alv, €]],0)</f>
        <v>-7.4966356911365398E-2</v>
      </c>
      <c r="R58" s="182">
        <f>IFERROR(VLOOKUP(Vertailu[[#This Row],[Y-tunnus]],'Suoritepäätös 2023 oikaistu'!$AB:$AL,COLUMN('Suoritepäätös 2023 oikaistu'!J:J),FALSE),0)</f>
        <v>251166</v>
      </c>
      <c r="S58" s="183">
        <f>IFERROR(VLOOKUP(Vertailu[[#This Row],[Y-tunnus]],'1.2 Ohjaus-laskentataulu'!A:AT,COLUMN('1.2 Ohjaus-laskentataulu'!AR:AR),FALSE),0)</f>
        <v>232337</v>
      </c>
      <c r="T58" s="177">
        <f>IFERROR(Vertailu[[#This Row],[Rahoitus ml. hark. kor. 
2024 ilman alv, €]]-Vertailu[[#This Row],[Rahoitus ml. hark. kor. 
2023 ilman alv, €]],0)</f>
        <v>-18829</v>
      </c>
      <c r="U58" s="181">
        <f>IFERROR(Vertailu[[#This Row],[Muutos, € 2]]/Vertailu[[#This Row],[Rahoitus ml. hark. kor. 
2023 ilman alv, €]],0)</f>
        <v>-7.4966356911365398E-2</v>
      </c>
      <c r="V5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260611</v>
      </c>
      <c r="W58" s="182">
        <f>IFERROR(VLOOKUP(Vertailu[[#This Row],[Y-tunnus]],'1.2 Ohjaus-laskentataulu'!A:AT,COLUMN('1.2 Ohjaus-laskentataulu'!AT:AT),FALSE),0)</f>
        <v>251566</v>
      </c>
      <c r="X58" s="184">
        <f>IFERROR(Vertailu[[#This Row],[Rahoitus ml. hark. kor. + alv 2024, €]]-Vertailu[[#This Row],[Rahoitus ml. hark. kor. + alv 2023, €]],0)</f>
        <v>-9045</v>
      </c>
      <c r="Y58" s="179">
        <f>IFERROR(Vertailu[[#This Row],[Muutos, € 3]]/Vertailu[[#This Row],[Rahoitus ml. hark. kor. + alv 2023, €]],0)</f>
        <v>-3.4706900322703189E-2</v>
      </c>
      <c r="Z58" s="177">
        <f>IFERROR(VLOOKUP(Vertailu[[#This Row],[Y-tunnus]],'Suoritepäätös 2023 oikaistu'!$B:$N,COLUMN('Suoritepäätös 2023 oikaistu'!H:H),FALSE),0)</f>
        <v>155293</v>
      </c>
      <c r="AA58" s="177">
        <f>IFERROR(VLOOKUP(Vertailu[[#This Row],[Y-tunnus]],'1.2 Ohjaus-laskentataulu'!A:AT,COLUMN('1.2 Ohjaus-laskentataulu'!AO:AO),FALSE),0)</f>
        <v>163102</v>
      </c>
      <c r="AB58" s="177">
        <f>Vertailu[[#This Row],[Perusrahoitus 2024, €]]-Vertailu[[#This Row],[Perusrahoitus 2023, €]]</f>
        <v>7809</v>
      </c>
      <c r="AC58" s="179">
        <f>IFERROR(Vertailu[[#This Row],[Perusrahoituksen muutos, €]]/Vertailu[[#This Row],[Perusrahoitus 2023, €]],0)</f>
        <v>5.028558917658877E-2</v>
      </c>
      <c r="AD58" s="177">
        <f>IFERROR(VLOOKUP(Vertailu[[#This Row],[Y-tunnus]],'Suoritepäätös 2023 oikaistu'!$O:$Y,COLUMN('Suoritepäätös 2023 oikaistu'!D:D),FALSE),0)</f>
        <v>44290</v>
      </c>
      <c r="AE58" s="177">
        <f>IFERROR(VLOOKUP(Vertailu[[#This Row],[Y-tunnus]],'1.2 Ohjaus-laskentataulu'!A:AT,COLUMN('1.2 Ohjaus-laskentataulu'!O:O),FALSE),0)</f>
        <v>25257</v>
      </c>
      <c r="AF58" s="177">
        <f>Vertailu[[#This Row],[Suoritusrahoitus 2024, €]]-Vertailu[[#This Row],[Suoritusrahoitus 2023, €]]</f>
        <v>-19033</v>
      </c>
      <c r="AG58" s="179">
        <f>IFERROR(Vertailu[[#This Row],[Suoritusrahoituksen muutos, €]]/Vertailu[[#This Row],[Suoritusrahoitus 2023, €]],0)</f>
        <v>-0.42973583201625648</v>
      </c>
      <c r="AH58" s="177">
        <f>IFERROR(VLOOKUP(Vertailu[[#This Row],[Y-tunnus]],'Suoritepäätös 2023 oikaistu'!$AB:$AL,COLUMN('Suoritepäätös 2023 oikaistu'!I:I),FALSE),0)</f>
        <v>51583</v>
      </c>
      <c r="AI5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43978</v>
      </c>
      <c r="AJ58" s="177">
        <f>Vertailu[[#This Row],[Vaikuttavuusrahoitus 2024, €]]-Vertailu[[#This Row],[Vaikuttavuusrahoitus 2023, €]]</f>
        <v>-7605</v>
      </c>
      <c r="AK58" s="179">
        <f>IFERROR(Vertailu[[#This Row],[Vaikuttavuusrahoituksen muutos, €]]/Vertailu[[#This Row],[Vaikuttavuusrahoitus 2023, €]],0)</f>
        <v>-0.14743229358509585</v>
      </c>
    </row>
    <row r="59" spans="1:37" s="1" customFormat="1" ht="12.75" customHeight="1" x14ac:dyDescent="0.25">
      <c r="A59" s="3" t="s">
        <v>271</v>
      </c>
      <c r="B59" s="151" t="s">
        <v>57</v>
      </c>
      <c r="C59" s="151" t="s">
        <v>199</v>
      </c>
      <c r="D59" s="7" t="s">
        <v>325</v>
      </c>
      <c r="E5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0.6373003353165223</v>
      </c>
      <c r="F5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0.6373003353165223</v>
      </c>
      <c r="G5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0.2125873984025265</v>
      </c>
      <c r="H5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0.15011226628095126</v>
      </c>
      <c r="I5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9.7911956397929739E-2</v>
      </c>
      <c r="J5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5.2146478240313815E-3</v>
      </c>
      <c r="K5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1.4270846498680734E-2</v>
      </c>
      <c r="L5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2.419303246906241E-2</v>
      </c>
      <c r="M5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8.521783091246975E-3</v>
      </c>
      <c r="N5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1205763</v>
      </c>
      <c r="O59" s="177">
        <f>IFERROR(VLOOKUP(Vertailu[[#This Row],[Y-tunnus]],'1.2 Ohjaus-laskentataulu'!A:AT,COLUMN('1.2 Ohjaus-laskentataulu'!AF:AF),FALSE),0)</f>
        <v>1281774</v>
      </c>
      <c r="P59" s="177">
        <f>IFERROR(Vertailu[[#This Row],[Rahoitus pl. hark. kor. 2024 ilman alv, €]]-Vertailu[[#This Row],[Rahoitus pl. hark. kor. 2023 ilman alv, €]],0)</f>
        <v>76011</v>
      </c>
      <c r="Q59" s="179">
        <f>IFERROR(Vertailu[[#This Row],[Muutos, € 1]]/Vertailu[[#This Row],[Rahoitus pl. hark. kor. 2023 ilman alv, €]],0)</f>
        <v>6.3039751592974744E-2</v>
      </c>
      <c r="R59" s="182">
        <f>IFERROR(VLOOKUP(Vertailu[[#This Row],[Y-tunnus]],'Suoritepäätös 2023 oikaistu'!$AB:$AL,COLUMN('Suoritepäätös 2023 oikaistu'!J:J),FALSE),0)</f>
        <v>1205763</v>
      </c>
      <c r="S59" s="183">
        <f>IFERROR(VLOOKUP(Vertailu[[#This Row],[Y-tunnus]],'1.2 Ohjaus-laskentataulu'!A:AT,COLUMN('1.2 Ohjaus-laskentataulu'!AR:AR),FALSE),0)</f>
        <v>1281774</v>
      </c>
      <c r="T59" s="177">
        <f>IFERROR(Vertailu[[#This Row],[Rahoitus ml. hark. kor. 
2024 ilman alv, €]]-Vertailu[[#This Row],[Rahoitus ml. hark. kor. 
2023 ilman alv, €]],0)</f>
        <v>76011</v>
      </c>
      <c r="U59" s="181">
        <f>IFERROR(Vertailu[[#This Row],[Muutos, € 2]]/Vertailu[[#This Row],[Rahoitus ml. hark. kor. 
2023 ilman alv, €]],0)</f>
        <v>6.3039751592974744E-2</v>
      </c>
      <c r="V5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1323774</v>
      </c>
      <c r="W59" s="182">
        <f>IFERROR(VLOOKUP(Vertailu[[#This Row],[Y-tunnus]],'1.2 Ohjaus-laskentataulu'!A:AT,COLUMN('1.2 Ohjaus-laskentataulu'!AT:AT),FALSE),0)</f>
        <v>1325821</v>
      </c>
      <c r="X59" s="184">
        <f>IFERROR(Vertailu[[#This Row],[Rahoitus ml. hark. kor. + alv 2024, €]]-Vertailu[[#This Row],[Rahoitus ml. hark. kor. + alv 2023, €]],0)</f>
        <v>2047</v>
      </c>
      <c r="Y59" s="179">
        <f>IFERROR(Vertailu[[#This Row],[Muutos, € 3]]/Vertailu[[#This Row],[Rahoitus ml. hark. kor. + alv 2023, €]],0)</f>
        <v>1.5463364592445538E-3</v>
      </c>
      <c r="Z59" s="177">
        <f>IFERROR(VLOOKUP(Vertailu[[#This Row],[Y-tunnus]],'Suoritepäätös 2023 oikaistu'!$B:$N,COLUMN('Suoritepäätös 2023 oikaistu'!H:H),FALSE),0)</f>
        <v>739429</v>
      </c>
      <c r="AA59" s="177">
        <f>IFERROR(VLOOKUP(Vertailu[[#This Row],[Y-tunnus]],'1.2 Ohjaus-laskentataulu'!A:AT,COLUMN('1.2 Ohjaus-laskentataulu'!AO:AO),FALSE),0)</f>
        <v>816875</v>
      </c>
      <c r="AB59" s="177">
        <f>Vertailu[[#This Row],[Perusrahoitus 2024, €]]-Vertailu[[#This Row],[Perusrahoitus 2023, €]]</f>
        <v>77446</v>
      </c>
      <c r="AC59" s="179">
        <f>IFERROR(Vertailu[[#This Row],[Perusrahoituksen muutos, €]]/Vertailu[[#This Row],[Perusrahoitus 2023, €]],0)</f>
        <v>0.10473757453386329</v>
      </c>
      <c r="AD59" s="177">
        <f>IFERROR(VLOOKUP(Vertailu[[#This Row],[Y-tunnus]],'Suoritepäätös 2023 oikaistu'!$O:$Y,COLUMN('Suoritepäätös 2023 oikaistu'!D:D),FALSE),0)</f>
        <v>296494</v>
      </c>
      <c r="AE59" s="177">
        <f>IFERROR(VLOOKUP(Vertailu[[#This Row],[Y-tunnus]],'1.2 Ohjaus-laskentataulu'!A:AT,COLUMN('1.2 Ohjaus-laskentataulu'!O:O),FALSE),0)</f>
        <v>272489</v>
      </c>
      <c r="AF59" s="177">
        <f>Vertailu[[#This Row],[Suoritusrahoitus 2024, €]]-Vertailu[[#This Row],[Suoritusrahoitus 2023, €]]</f>
        <v>-24005</v>
      </c>
      <c r="AG59" s="179">
        <f>IFERROR(Vertailu[[#This Row],[Suoritusrahoituksen muutos, €]]/Vertailu[[#This Row],[Suoritusrahoitus 2023, €]],0)</f>
        <v>-8.0962852536644925E-2</v>
      </c>
      <c r="AH59" s="177">
        <f>IFERROR(VLOOKUP(Vertailu[[#This Row],[Y-tunnus]],'Suoritepäätös 2023 oikaistu'!$AB:$AL,COLUMN('Suoritepäätös 2023 oikaistu'!I:I),FALSE),0)</f>
        <v>169840</v>
      </c>
      <c r="AI5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192410</v>
      </c>
      <c r="AJ59" s="177">
        <f>Vertailu[[#This Row],[Vaikuttavuusrahoitus 2024, €]]-Vertailu[[#This Row],[Vaikuttavuusrahoitus 2023, €]]</f>
        <v>22570</v>
      </c>
      <c r="AK59" s="179">
        <f>IFERROR(Vertailu[[#This Row],[Vaikuttavuusrahoituksen muutos, €]]/Vertailu[[#This Row],[Vaikuttavuusrahoitus 2023, €]],0)</f>
        <v>0.13288977861516721</v>
      </c>
    </row>
    <row r="60" spans="1:37" s="1" customFormat="1" ht="12.75" customHeight="1" x14ac:dyDescent="0.25">
      <c r="A60" s="3" t="s">
        <v>270</v>
      </c>
      <c r="B60" s="151" t="s">
        <v>58</v>
      </c>
      <c r="C60" s="151" t="s">
        <v>187</v>
      </c>
      <c r="D60" s="7" t="s">
        <v>324</v>
      </c>
      <c r="E6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0.71221977958228733</v>
      </c>
      <c r="F6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0.71588010741608665</v>
      </c>
      <c r="G6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0.18697642212948762</v>
      </c>
      <c r="H6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9.7143470454425687E-2</v>
      </c>
      <c r="I6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7.1332447260466086E-2</v>
      </c>
      <c r="J6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4.0405940231692059E-3</v>
      </c>
      <c r="K6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9.3977306430614096E-3</v>
      </c>
      <c r="L6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8.3661978589980868E-3</v>
      </c>
      <c r="M6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4.0065006687308967E-3</v>
      </c>
      <c r="N6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25461569</v>
      </c>
      <c r="O60" s="177">
        <f>IFERROR(VLOOKUP(Vertailu[[#This Row],[Y-tunnus]],'1.2 Ohjaus-laskentataulu'!A:AT,COLUMN('1.2 Ohjaus-laskentataulu'!AF:AF),FALSE),0)</f>
        <v>26243033</v>
      </c>
      <c r="P60" s="177">
        <f>IFERROR(Vertailu[[#This Row],[Rahoitus pl. hark. kor. 2024 ilman alv, €]]-Vertailu[[#This Row],[Rahoitus pl. hark. kor. 2023 ilman alv, €]],0)</f>
        <v>781464</v>
      </c>
      <c r="Q60" s="179">
        <f>IFERROR(Vertailu[[#This Row],[Muutos, € 1]]/Vertailu[[#This Row],[Rahoitus pl. hark. kor. 2023 ilman alv, €]],0)</f>
        <v>3.0691902765300913E-2</v>
      </c>
      <c r="R60" s="182">
        <f>IFERROR(VLOOKUP(Vertailu[[#This Row],[Y-tunnus]],'Suoritepäätös 2023 oikaistu'!$AB:$AL,COLUMN('Suoritepäätös 2023 oikaistu'!J:J),FALSE),0)</f>
        <v>25507569</v>
      </c>
      <c r="S60" s="183">
        <f>IFERROR(VLOOKUP(Vertailu[[#This Row],[Y-tunnus]],'1.2 Ohjaus-laskentataulu'!A:AT,COLUMN('1.2 Ohjaus-laskentataulu'!AR:AR),FALSE),0)</f>
        <v>26339444</v>
      </c>
      <c r="T60" s="177">
        <f>IFERROR(Vertailu[[#This Row],[Rahoitus ml. hark. kor. 
2024 ilman alv, €]]-Vertailu[[#This Row],[Rahoitus ml. hark. kor. 
2023 ilman alv, €]],0)</f>
        <v>831875</v>
      </c>
      <c r="U60" s="181">
        <f>IFERROR(Vertailu[[#This Row],[Muutos, € 2]]/Vertailu[[#This Row],[Rahoitus ml. hark. kor. 
2023 ilman alv, €]],0)</f>
        <v>3.2612868752800395E-2</v>
      </c>
      <c r="V6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25507569</v>
      </c>
      <c r="W60" s="182">
        <f>IFERROR(VLOOKUP(Vertailu[[#This Row],[Y-tunnus]],'1.2 Ohjaus-laskentataulu'!A:AT,COLUMN('1.2 Ohjaus-laskentataulu'!AT:AT),FALSE),0)</f>
        <v>26339444</v>
      </c>
      <c r="X60" s="184">
        <f>IFERROR(Vertailu[[#This Row],[Rahoitus ml. hark. kor. + alv 2024, €]]-Vertailu[[#This Row],[Rahoitus ml. hark. kor. + alv 2023, €]],0)</f>
        <v>831875</v>
      </c>
      <c r="Y60" s="179">
        <f>IFERROR(Vertailu[[#This Row],[Muutos, € 3]]/Vertailu[[#This Row],[Rahoitus ml. hark. kor. + alv 2023, €]],0)</f>
        <v>3.2612868752800395E-2</v>
      </c>
      <c r="Z60" s="177">
        <f>IFERROR(VLOOKUP(Vertailu[[#This Row],[Y-tunnus]],'Suoritepäätös 2023 oikaistu'!$B:$N,COLUMN('Suoritepäätös 2023 oikaistu'!H:H),FALSE),0)</f>
        <v>18192545</v>
      </c>
      <c r="AA60" s="177">
        <f>IFERROR(VLOOKUP(Vertailu[[#This Row],[Y-tunnus]],'1.2 Ohjaus-laskentataulu'!A:AT,COLUMN('1.2 Ohjaus-laskentataulu'!AO:AO),FALSE),0)</f>
        <v>18855884</v>
      </c>
      <c r="AB60" s="177">
        <f>Vertailu[[#This Row],[Perusrahoitus 2024, €]]-Vertailu[[#This Row],[Perusrahoitus 2023, €]]</f>
        <v>663339</v>
      </c>
      <c r="AC60" s="179">
        <f>IFERROR(Vertailu[[#This Row],[Perusrahoituksen muutos, €]]/Vertailu[[#This Row],[Perusrahoitus 2023, €]],0)</f>
        <v>3.6462133252934098E-2</v>
      </c>
      <c r="AD60" s="177">
        <f>IFERROR(VLOOKUP(Vertailu[[#This Row],[Y-tunnus]],'Suoritepäätös 2023 oikaistu'!$O:$Y,COLUMN('Suoritepäätös 2023 oikaistu'!D:D),FALSE),0)</f>
        <v>4877084</v>
      </c>
      <c r="AE60" s="177">
        <f>IFERROR(VLOOKUP(Vertailu[[#This Row],[Y-tunnus]],'1.2 Ohjaus-laskentataulu'!A:AT,COLUMN('1.2 Ohjaus-laskentataulu'!O:O),FALSE),0)</f>
        <v>4924855</v>
      </c>
      <c r="AF60" s="177">
        <f>Vertailu[[#This Row],[Suoritusrahoitus 2024, €]]-Vertailu[[#This Row],[Suoritusrahoitus 2023, €]]</f>
        <v>47771</v>
      </c>
      <c r="AG60" s="179">
        <f>IFERROR(Vertailu[[#This Row],[Suoritusrahoituksen muutos, €]]/Vertailu[[#This Row],[Suoritusrahoitus 2023, €]],0)</f>
        <v>9.7949922535679104E-3</v>
      </c>
      <c r="AH60" s="177">
        <f>IFERROR(VLOOKUP(Vertailu[[#This Row],[Y-tunnus]],'Suoritepäätös 2023 oikaistu'!$AB:$AL,COLUMN('Suoritepäätös 2023 oikaistu'!I:I),FALSE),0)</f>
        <v>2437940</v>
      </c>
      <c r="AI6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2558705</v>
      </c>
      <c r="AJ60" s="177">
        <f>Vertailu[[#This Row],[Vaikuttavuusrahoitus 2024, €]]-Vertailu[[#This Row],[Vaikuttavuusrahoitus 2023, €]]</f>
        <v>120765</v>
      </c>
      <c r="AK60" s="179">
        <f>IFERROR(Vertailu[[#This Row],[Vaikuttavuusrahoituksen muutos, €]]/Vertailu[[#This Row],[Vaikuttavuusrahoitus 2023, €]],0)</f>
        <v>4.9535673560464982E-2</v>
      </c>
    </row>
    <row r="61" spans="1:37" s="1" customFormat="1" ht="12.75" customHeight="1" x14ac:dyDescent="0.25">
      <c r="A61" s="3" t="s">
        <v>269</v>
      </c>
      <c r="B61" s="151" t="s">
        <v>59</v>
      </c>
      <c r="C61" s="151" t="s">
        <v>185</v>
      </c>
      <c r="D61" s="7" t="s">
        <v>324</v>
      </c>
      <c r="E6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0.67058936782922307</v>
      </c>
      <c r="F6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0.67622200469629534</v>
      </c>
      <c r="G6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0.20183493490655752</v>
      </c>
      <c r="H6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0.12194306039714718</v>
      </c>
      <c r="I6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7.2950364291300251E-2</v>
      </c>
      <c r="J6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4.7115944574470823E-3</v>
      </c>
      <c r="K6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1.116337742322406E-2</v>
      </c>
      <c r="L6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2.076396832591771E-2</v>
      </c>
      <c r="M6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1.235375589925807E-2</v>
      </c>
      <c r="N6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61380910</v>
      </c>
      <c r="O61" s="177">
        <f>IFERROR(VLOOKUP(Vertailu[[#This Row],[Y-tunnus]],'1.2 Ohjaus-laskentataulu'!A:AT,COLUMN('1.2 Ohjaus-laskentataulu'!AF:AF),FALSE),0)</f>
        <v>64280029</v>
      </c>
      <c r="P61" s="177">
        <f>IFERROR(Vertailu[[#This Row],[Rahoitus pl. hark. kor. 2024 ilman alv, €]]-Vertailu[[#This Row],[Rahoitus pl. hark. kor. 2023 ilman alv, €]],0)</f>
        <v>2899119</v>
      </c>
      <c r="Q61" s="179">
        <f>IFERROR(Vertailu[[#This Row],[Muutos, € 1]]/Vertailu[[#This Row],[Rahoitus pl. hark. kor. 2023 ilman alv, €]],0)</f>
        <v>4.7231606699868089E-2</v>
      </c>
      <c r="R61" s="182">
        <f>IFERROR(VLOOKUP(Vertailu[[#This Row],[Y-tunnus]],'Suoritepäätös 2023 oikaistu'!$AB:$AL,COLUMN('Suoritepäätös 2023 oikaistu'!J:J),FALSE),0)</f>
        <v>61412910</v>
      </c>
      <c r="S61" s="183">
        <f>IFERROR(VLOOKUP(Vertailu[[#This Row],[Y-tunnus]],'1.2 Ohjaus-laskentataulu'!A:AT,COLUMN('1.2 Ohjaus-laskentataulu'!AR:AR),FALSE),0)</f>
        <v>64644146</v>
      </c>
      <c r="T61" s="177">
        <f>IFERROR(Vertailu[[#This Row],[Rahoitus ml. hark. kor. 
2024 ilman alv, €]]-Vertailu[[#This Row],[Rahoitus ml. hark. kor. 
2023 ilman alv, €]],0)</f>
        <v>3231236</v>
      </c>
      <c r="U61" s="181">
        <f>IFERROR(Vertailu[[#This Row],[Muutos, € 2]]/Vertailu[[#This Row],[Rahoitus ml. hark. kor. 
2023 ilman alv, €]],0)</f>
        <v>5.2614930639176681E-2</v>
      </c>
      <c r="V6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61412910</v>
      </c>
      <c r="W61" s="182">
        <f>IFERROR(VLOOKUP(Vertailu[[#This Row],[Y-tunnus]],'1.2 Ohjaus-laskentataulu'!A:AT,COLUMN('1.2 Ohjaus-laskentataulu'!AT:AT),FALSE),0)</f>
        <v>64644146</v>
      </c>
      <c r="X61" s="184">
        <f>IFERROR(Vertailu[[#This Row],[Rahoitus ml. hark. kor. + alv 2024, €]]-Vertailu[[#This Row],[Rahoitus ml. hark. kor. + alv 2023, €]],0)</f>
        <v>3231236</v>
      </c>
      <c r="Y61" s="179">
        <f>IFERROR(Vertailu[[#This Row],[Muutos, € 3]]/Vertailu[[#This Row],[Rahoitus ml. hark. kor. + alv 2023, €]],0)</f>
        <v>5.2614930639176681E-2</v>
      </c>
      <c r="Z61" s="177">
        <f>IFERROR(VLOOKUP(Vertailu[[#This Row],[Y-tunnus]],'Suoritepäätös 2023 oikaistu'!$B:$N,COLUMN('Suoritepäätös 2023 oikaistu'!H:H),FALSE),0)</f>
        <v>41188555</v>
      </c>
      <c r="AA61" s="177">
        <f>IFERROR(VLOOKUP(Vertailu[[#This Row],[Y-tunnus]],'1.2 Ohjaus-laskentataulu'!A:AT,COLUMN('1.2 Ohjaus-laskentataulu'!AO:AO),FALSE),0)</f>
        <v>43713794</v>
      </c>
      <c r="AB61" s="177">
        <f>Vertailu[[#This Row],[Perusrahoitus 2024, €]]-Vertailu[[#This Row],[Perusrahoitus 2023, €]]</f>
        <v>2525239</v>
      </c>
      <c r="AC61" s="179">
        <f>IFERROR(Vertailu[[#This Row],[Perusrahoituksen muutos, €]]/Vertailu[[#This Row],[Perusrahoitus 2023, €]],0)</f>
        <v>6.1309239908998996E-2</v>
      </c>
      <c r="AD61" s="177">
        <f>IFERROR(VLOOKUP(Vertailu[[#This Row],[Y-tunnus]],'Suoritepäätös 2023 oikaistu'!$O:$Y,COLUMN('Suoritepäätös 2023 oikaistu'!D:D),FALSE),0)</f>
        <v>12905067</v>
      </c>
      <c r="AE61" s="177">
        <f>IFERROR(VLOOKUP(Vertailu[[#This Row],[Y-tunnus]],'1.2 Ohjaus-laskentataulu'!A:AT,COLUMN('1.2 Ohjaus-laskentataulu'!O:O),FALSE),0)</f>
        <v>13047447</v>
      </c>
      <c r="AF61" s="177">
        <f>Vertailu[[#This Row],[Suoritusrahoitus 2024, €]]-Vertailu[[#This Row],[Suoritusrahoitus 2023, €]]</f>
        <v>142380</v>
      </c>
      <c r="AG61" s="179">
        <f>IFERROR(Vertailu[[#This Row],[Suoritusrahoituksen muutos, €]]/Vertailu[[#This Row],[Suoritusrahoitus 2023, €]],0)</f>
        <v>1.1032875691385407E-2</v>
      </c>
      <c r="AH61" s="177">
        <f>IFERROR(VLOOKUP(Vertailu[[#This Row],[Y-tunnus]],'Suoritepäätös 2023 oikaistu'!$AB:$AL,COLUMN('Suoritepäätös 2023 oikaistu'!I:I),FALSE),0)</f>
        <v>7319288</v>
      </c>
      <c r="AI6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7882905</v>
      </c>
      <c r="AJ61" s="177">
        <f>Vertailu[[#This Row],[Vaikuttavuusrahoitus 2024, €]]-Vertailu[[#This Row],[Vaikuttavuusrahoitus 2023, €]]</f>
        <v>563617</v>
      </c>
      <c r="AK61" s="179">
        <f>IFERROR(Vertailu[[#This Row],[Vaikuttavuusrahoituksen muutos, €]]/Vertailu[[#This Row],[Vaikuttavuusrahoitus 2023, €]],0)</f>
        <v>7.7004347963900308E-2</v>
      </c>
    </row>
    <row r="62" spans="1:37" s="1" customFormat="1" ht="12.75" customHeight="1" x14ac:dyDescent="0.25">
      <c r="A62" s="3" t="s">
        <v>229</v>
      </c>
      <c r="B62" s="151" t="s">
        <v>470</v>
      </c>
      <c r="C62" s="151" t="s">
        <v>180</v>
      </c>
      <c r="D62" s="7" t="s">
        <v>324</v>
      </c>
      <c r="E6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0.70964422321579923</v>
      </c>
      <c r="F6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0.71444651807448167</v>
      </c>
      <c r="G6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0.19029497984477958</v>
      </c>
      <c r="H6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9.5258502080738688E-2</v>
      </c>
      <c r="I6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7.0585350567045152E-2</v>
      </c>
      <c r="J6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3.8059027937900006E-3</v>
      </c>
      <c r="K6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1.0775692061703578E-2</v>
      </c>
      <c r="L6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8.7849059909241769E-3</v>
      </c>
      <c r="M6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1.3066506672757816E-3</v>
      </c>
      <c r="N6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11981374</v>
      </c>
      <c r="O62" s="177">
        <f>IFERROR(VLOOKUP(Vertailu[[#This Row],[Y-tunnus]],'1.2 Ohjaus-laskentataulu'!A:AT,COLUMN('1.2 Ohjaus-laskentataulu'!AF:AF),FALSE),0)</f>
        <v>12452056</v>
      </c>
      <c r="P62" s="177">
        <f>IFERROR(Vertailu[[#This Row],[Rahoitus pl. hark. kor. 2024 ilman alv, €]]-Vertailu[[#This Row],[Rahoitus pl. hark. kor. 2023 ilman alv, €]],0)</f>
        <v>470682</v>
      </c>
      <c r="Q62" s="179">
        <f>IFERROR(Vertailu[[#This Row],[Muutos, € 1]]/Vertailu[[#This Row],[Rahoitus pl. hark. kor. 2023 ilman alv, €]],0)</f>
        <v>3.9284476054248868E-2</v>
      </c>
      <c r="R62" s="182">
        <f>IFERROR(VLOOKUP(Vertailu[[#This Row],[Y-tunnus]],'Suoritepäätös 2023 oikaistu'!$AB:$AL,COLUMN('Suoritepäätös 2023 oikaistu'!J:J),FALSE),0)</f>
        <v>11991374</v>
      </c>
      <c r="S62" s="183">
        <f>IFERROR(VLOOKUP(Vertailu[[#This Row],[Y-tunnus]],'1.2 Ohjaus-laskentataulu'!A:AT,COLUMN('1.2 Ohjaus-laskentataulu'!AR:AR),FALSE),0)</f>
        <v>12512143</v>
      </c>
      <c r="T62" s="177">
        <f>IFERROR(Vertailu[[#This Row],[Rahoitus ml. hark. kor. 
2024 ilman alv, €]]-Vertailu[[#This Row],[Rahoitus ml. hark. kor. 
2023 ilman alv, €]],0)</f>
        <v>520769</v>
      </c>
      <c r="U62" s="181">
        <f>IFERROR(Vertailu[[#This Row],[Muutos, € 2]]/Vertailu[[#This Row],[Rahoitus ml. hark. kor. 
2023 ilman alv, €]],0)</f>
        <v>4.3428634616850412E-2</v>
      </c>
      <c r="V6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11991374</v>
      </c>
      <c r="W62" s="182">
        <f>IFERROR(VLOOKUP(Vertailu[[#This Row],[Y-tunnus]],'1.2 Ohjaus-laskentataulu'!A:AT,COLUMN('1.2 Ohjaus-laskentataulu'!AT:AT),FALSE),0)</f>
        <v>12512143</v>
      </c>
      <c r="X62" s="184">
        <f>IFERROR(Vertailu[[#This Row],[Rahoitus ml. hark. kor. + alv 2024, €]]-Vertailu[[#This Row],[Rahoitus ml. hark. kor. + alv 2023, €]],0)</f>
        <v>520769</v>
      </c>
      <c r="Y62" s="179">
        <f>IFERROR(Vertailu[[#This Row],[Muutos, € 3]]/Vertailu[[#This Row],[Rahoitus ml. hark. kor. + alv 2023, €]],0)</f>
        <v>4.3428634616850412E-2</v>
      </c>
      <c r="Z62" s="177">
        <f>IFERROR(VLOOKUP(Vertailu[[#This Row],[Y-tunnus]],'Suoritepäätös 2023 oikaistu'!$B:$N,COLUMN('Suoritepäätös 2023 oikaistu'!H:H),FALSE),0)</f>
        <v>8527076</v>
      </c>
      <c r="AA62" s="177">
        <f>IFERROR(VLOOKUP(Vertailu[[#This Row],[Y-tunnus]],'1.2 Ohjaus-laskentataulu'!A:AT,COLUMN('1.2 Ohjaus-laskentataulu'!AO:AO),FALSE),0)</f>
        <v>8939257</v>
      </c>
      <c r="AB62" s="177">
        <f>Vertailu[[#This Row],[Perusrahoitus 2024, €]]-Vertailu[[#This Row],[Perusrahoitus 2023, €]]</f>
        <v>412181</v>
      </c>
      <c r="AC62" s="179">
        <f>IFERROR(Vertailu[[#This Row],[Perusrahoituksen muutos, €]]/Vertailu[[#This Row],[Perusrahoitus 2023, €]],0)</f>
        <v>4.8337906217793769E-2</v>
      </c>
      <c r="AD62" s="177">
        <f>IFERROR(VLOOKUP(Vertailu[[#This Row],[Y-tunnus]],'Suoritepäätös 2023 oikaistu'!$O:$Y,COLUMN('Suoritepäätös 2023 oikaistu'!D:D),FALSE),0)</f>
        <v>2387720</v>
      </c>
      <c r="AE62" s="177">
        <f>IFERROR(VLOOKUP(Vertailu[[#This Row],[Y-tunnus]],'1.2 Ohjaus-laskentataulu'!A:AT,COLUMN('1.2 Ohjaus-laskentataulu'!O:O),FALSE),0)</f>
        <v>2380998</v>
      </c>
      <c r="AF62" s="177">
        <f>Vertailu[[#This Row],[Suoritusrahoitus 2024, €]]-Vertailu[[#This Row],[Suoritusrahoitus 2023, €]]</f>
        <v>-6722</v>
      </c>
      <c r="AG62" s="179">
        <f>IFERROR(Vertailu[[#This Row],[Suoritusrahoituksen muutos, €]]/Vertailu[[#This Row],[Suoritusrahoitus 2023, €]],0)</f>
        <v>-2.8152379676008913E-3</v>
      </c>
      <c r="AH62" s="177">
        <f>IFERROR(VLOOKUP(Vertailu[[#This Row],[Y-tunnus]],'Suoritepäätös 2023 oikaistu'!$AB:$AL,COLUMN('Suoritepäätös 2023 oikaistu'!I:I),FALSE),0)</f>
        <v>1076578</v>
      </c>
      <c r="AI6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1191888</v>
      </c>
      <c r="AJ62" s="177">
        <f>Vertailu[[#This Row],[Vaikuttavuusrahoitus 2024, €]]-Vertailu[[#This Row],[Vaikuttavuusrahoitus 2023, €]]</f>
        <v>115310</v>
      </c>
      <c r="AK62" s="179">
        <f>IFERROR(Vertailu[[#This Row],[Vaikuttavuusrahoituksen muutos, €]]/Vertailu[[#This Row],[Vaikuttavuusrahoitus 2023, €]],0)</f>
        <v>0.10710789185734801</v>
      </c>
    </row>
    <row r="63" spans="1:37" s="1" customFormat="1" ht="12.75" customHeight="1" x14ac:dyDescent="0.25">
      <c r="A63" s="3" t="s">
        <v>243</v>
      </c>
      <c r="B63" s="151" t="s">
        <v>439</v>
      </c>
      <c r="C63" s="151" t="s">
        <v>180</v>
      </c>
      <c r="D63" s="7" t="s">
        <v>324</v>
      </c>
      <c r="E6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0.66342224987632015</v>
      </c>
      <c r="F6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0.67007027720085677</v>
      </c>
      <c r="G6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0.21945085352211988</v>
      </c>
      <c r="H6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0.11047886927702338</v>
      </c>
      <c r="I6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7.7517624560838286E-2</v>
      </c>
      <c r="J6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3.2095221124702803E-3</v>
      </c>
      <c r="K6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1.1218429428094484E-2</v>
      </c>
      <c r="L6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1.2576969554918363E-2</v>
      </c>
      <c r="M6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5.9563236207019789E-3</v>
      </c>
      <c r="N6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74633490</v>
      </c>
      <c r="O63" s="177">
        <f>IFERROR(VLOOKUP(Vertailu[[#This Row],[Y-tunnus]],'1.2 Ohjaus-laskentataulu'!A:AT,COLUMN('1.2 Ohjaus-laskentataulu'!AF:AF),FALSE),0)</f>
        <v>79812395</v>
      </c>
      <c r="P63" s="177">
        <f>IFERROR(Vertailu[[#This Row],[Rahoitus pl. hark. kor. 2024 ilman alv, €]]-Vertailu[[#This Row],[Rahoitus pl. hark. kor. 2023 ilman alv, €]],0)</f>
        <v>5178905</v>
      </c>
      <c r="Q63" s="179">
        <f>IFERROR(Vertailu[[#This Row],[Muutos, € 1]]/Vertailu[[#This Row],[Rahoitus pl. hark. kor. 2023 ilman alv, €]],0)</f>
        <v>6.939116742363248E-2</v>
      </c>
      <c r="R63" s="182">
        <f>IFERROR(VLOOKUP(Vertailu[[#This Row],[Y-tunnus]],'Suoritepäätös 2023 oikaistu'!$AB:$AL,COLUMN('Suoritepäätös 2023 oikaistu'!J:J),FALSE),0)</f>
        <v>74797490</v>
      </c>
      <c r="S63" s="183">
        <f>IFERROR(VLOOKUP(Vertailu[[#This Row],[Y-tunnus]],'1.2 Ohjaus-laskentataulu'!A:AT,COLUMN('1.2 Ohjaus-laskentataulu'!AR:AR),FALSE),0)</f>
        <v>80346541</v>
      </c>
      <c r="T63" s="177">
        <f>IFERROR(Vertailu[[#This Row],[Rahoitus ml. hark. kor. 
2024 ilman alv, €]]-Vertailu[[#This Row],[Rahoitus ml. hark. kor. 
2023 ilman alv, €]],0)</f>
        <v>5549051</v>
      </c>
      <c r="U63" s="181">
        <f>IFERROR(Vertailu[[#This Row],[Muutos, € 2]]/Vertailu[[#This Row],[Rahoitus ml. hark. kor. 
2023 ilman alv, €]],0)</f>
        <v>7.4187663249127747E-2</v>
      </c>
      <c r="V6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74797490</v>
      </c>
      <c r="W63" s="182">
        <f>IFERROR(VLOOKUP(Vertailu[[#This Row],[Y-tunnus]],'1.2 Ohjaus-laskentataulu'!A:AT,COLUMN('1.2 Ohjaus-laskentataulu'!AT:AT),FALSE),0)</f>
        <v>80346541</v>
      </c>
      <c r="X63" s="184">
        <f>IFERROR(Vertailu[[#This Row],[Rahoitus ml. hark. kor. + alv 2024, €]]-Vertailu[[#This Row],[Rahoitus ml. hark. kor. + alv 2023, €]],0)</f>
        <v>5549051</v>
      </c>
      <c r="Y63" s="179">
        <f>IFERROR(Vertailu[[#This Row],[Muutos, € 3]]/Vertailu[[#This Row],[Rahoitus ml. hark. kor. + alv 2023, €]],0)</f>
        <v>7.4187663249127747E-2</v>
      </c>
      <c r="Z63" s="177">
        <f>IFERROR(VLOOKUP(Vertailu[[#This Row],[Y-tunnus]],'Suoritepäätös 2023 oikaistu'!$B:$N,COLUMN('Suoritepäätös 2023 oikaistu'!H:H),FALSE),0)</f>
        <v>50381482</v>
      </c>
      <c r="AA63" s="177">
        <f>IFERROR(VLOOKUP(Vertailu[[#This Row],[Y-tunnus]],'1.2 Ohjaus-laskentataulu'!A:AT,COLUMN('1.2 Ohjaus-laskentataulu'!AO:AO),FALSE),0)</f>
        <v>53837829</v>
      </c>
      <c r="AB63" s="177">
        <f>Vertailu[[#This Row],[Perusrahoitus 2024, €]]-Vertailu[[#This Row],[Perusrahoitus 2023, €]]</f>
        <v>3456347</v>
      </c>
      <c r="AC63" s="179">
        <f>IFERROR(Vertailu[[#This Row],[Perusrahoituksen muutos, €]]/Vertailu[[#This Row],[Perusrahoitus 2023, €]],0)</f>
        <v>6.8603519840881214E-2</v>
      </c>
      <c r="AD63" s="177">
        <f>IFERROR(VLOOKUP(Vertailu[[#This Row],[Y-tunnus]],'Suoritepäätös 2023 oikaistu'!$O:$Y,COLUMN('Suoritepäätös 2023 oikaistu'!D:D),FALSE),0)</f>
        <v>16192196</v>
      </c>
      <c r="AE63" s="177">
        <f>IFERROR(VLOOKUP(Vertailu[[#This Row],[Y-tunnus]],'1.2 Ohjaus-laskentataulu'!A:AT,COLUMN('1.2 Ohjaus-laskentataulu'!O:O),FALSE),0)</f>
        <v>17632117</v>
      </c>
      <c r="AF63" s="177">
        <f>Vertailu[[#This Row],[Suoritusrahoitus 2024, €]]-Vertailu[[#This Row],[Suoritusrahoitus 2023, €]]</f>
        <v>1439921</v>
      </c>
      <c r="AG63" s="179">
        <f>IFERROR(Vertailu[[#This Row],[Suoritusrahoituksen muutos, €]]/Vertailu[[#This Row],[Suoritusrahoitus 2023, €]],0)</f>
        <v>8.8926850934857748E-2</v>
      </c>
      <c r="AH63" s="177">
        <f>IFERROR(VLOOKUP(Vertailu[[#This Row],[Y-tunnus]],'Suoritepäätös 2023 oikaistu'!$AB:$AL,COLUMN('Suoritepäätös 2023 oikaistu'!I:I),FALSE),0)</f>
        <v>8223812</v>
      </c>
      <c r="AI6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8876595</v>
      </c>
      <c r="AJ63" s="177">
        <f>Vertailu[[#This Row],[Vaikuttavuusrahoitus 2024, €]]-Vertailu[[#This Row],[Vaikuttavuusrahoitus 2023, €]]</f>
        <v>652783</v>
      </c>
      <c r="AK63" s="179">
        <f>IFERROR(Vertailu[[#This Row],[Vaikuttavuusrahoituksen muutos, €]]/Vertailu[[#This Row],[Vaikuttavuusrahoitus 2023, €]],0)</f>
        <v>7.9377179342134771E-2</v>
      </c>
    </row>
    <row r="64" spans="1:37" s="1" customFormat="1" ht="12.75" customHeight="1" x14ac:dyDescent="0.25">
      <c r="A64" s="3" t="s">
        <v>268</v>
      </c>
      <c r="B64" s="151" t="s">
        <v>60</v>
      </c>
      <c r="C64" s="151" t="s">
        <v>255</v>
      </c>
      <c r="D64" s="7" t="s">
        <v>324</v>
      </c>
      <c r="E6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0.68982014155102167</v>
      </c>
      <c r="F6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0.6954741093335568</v>
      </c>
      <c r="G6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0.19943266921247021</v>
      </c>
      <c r="H6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0.10509322145397293</v>
      </c>
      <c r="I6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7.183187312289252E-2</v>
      </c>
      <c r="J6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3.8490395818270699E-3</v>
      </c>
      <c r="K6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1.1761545002168939E-2</v>
      </c>
      <c r="L6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1.2060834943904301E-2</v>
      </c>
      <c r="M6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5.5899288031800894E-3</v>
      </c>
      <c r="N6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23938119</v>
      </c>
      <c r="O64" s="177">
        <f>IFERROR(VLOOKUP(Vertailu[[#This Row],[Y-tunnus]],'1.2 Ohjaus-laskentataulu'!A:AT,COLUMN('1.2 Ohjaus-laskentataulu'!AF:AF),FALSE),0)</f>
        <v>24781411</v>
      </c>
      <c r="P64" s="177">
        <f>IFERROR(Vertailu[[#This Row],[Rahoitus pl. hark. kor. 2024 ilman alv, €]]-Vertailu[[#This Row],[Rahoitus pl. hark. kor. 2023 ilman alv, €]],0)</f>
        <v>843292</v>
      </c>
      <c r="Q64" s="179">
        <f>IFERROR(Vertailu[[#This Row],[Muutos, € 1]]/Vertailu[[#This Row],[Rahoitus pl. hark. kor. 2023 ilman alv, €]],0)</f>
        <v>3.5227997655120691E-2</v>
      </c>
      <c r="R64" s="182">
        <f>IFERROR(VLOOKUP(Vertailu[[#This Row],[Y-tunnus]],'Suoritepäätös 2023 oikaistu'!$AB:$AL,COLUMN('Suoritepäätös 2023 oikaistu'!J:J),FALSE),0)</f>
        <v>23983119</v>
      </c>
      <c r="S64" s="183">
        <f>IFERROR(VLOOKUP(Vertailu[[#This Row],[Y-tunnus]],'1.2 Ohjaus-laskentataulu'!A:AT,COLUMN('1.2 Ohjaus-laskentataulu'!AR:AR),FALSE),0)</f>
        <v>24922321</v>
      </c>
      <c r="T64" s="177">
        <f>IFERROR(Vertailu[[#This Row],[Rahoitus ml. hark. kor. 
2024 ilman alv, €]]-Vertailu[[#This Row],[Rahoitus ml. hark. kor. 
2023 ilman alv, €]],0)</f>
        <v>939202</v>
      </c>
      <c r="U64" s="181">
        <f>IFERROR(Vertailu[[#This Row],[Muutos, € 2]]/Vertailu[[#This Row],[Rahoitus ml. hark. kor. 
2023 ilman alv, €]],0)</f>
        <v>3.9160961507967336E-2</v>
      </c>
      <c r="V6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23983119</v>
      </c>
      <c r="W64" s="182">
        <f>IFERROR(VLOOKUP(Vertailu[[#This Row],[Y-tunnus]],'1.2 Ohjaus-laskentataulu'!A:AT,COLUMN('1.2 Ohjaus-laskentataulu'!AT:AT),FALSE),0)</f>
        <v>24922321</v>
      </c>
      <c r="X64" s="184">
        <f>IFERROR(Vertailu[[#This Row],[Rahoitus ml. hark. kor. + alv 2024, €]]-Vertailu[[#This Row],[Rahoitus ml. hark. kor. + alv 2023, €]],0)</f>
        <v>939202</v>
      </c>
      <c r="Y64" s="179">
        <f>IFERROR(Vertailu[[#This Row],[Muutos, € 3]]/Vertailu[[#This Row],[Rahoitus ml. hark. kor. + alv 2023, €]],0)</f>
        <v>3.9160961507967336E-2</v>
      </c>
      <c r="Z64" s="177">
        <f>IFERROR(VLOOKUP(Vertailu[[#This Row],[Y-tunnus]],'Suoritepäätös 2023 oikaistu'!$B:$N,COLUMN('Suoritepäätös 2023 oikaistu'!H:H),FALSE),0)</f>
        <v>16578836</v>
      </c>
      <c r="AA64" s="177">
        <f>IFERROR(VLOOKUP(Vertailu[[#This Row],[Y-tunnus]],'1.2 Ohjaus-laskentataulu'!A:AT,COLUMN('1.2 Ohjaus-laskentataulu'!AO:AO),FALSE),0)</f>
        <v>17332829</v>
      </c>
      <c r="AB64" s="177">
        <f>Vertailu[[#This Row],[Perusrahoitus 2024, €]]-Vertailu[[#This Row],[Perusrahoitus 2023, €]]</f>
        <v>753993</v>
      </c>
      <c r="AC64" s="179">
        <f>IFERROR(Vertailu[[#This Row],[Perusrahoituksen muutos, €]]/Vertailu[[#This Row],[Perusrahoitus 2023, €]],0)</f>
        <v>4.5479248362189001E-2</v>
      </c>
      <c r="AD64" s="177">
        <f>IFERROR(VLOOKUP(Vertailu[[#This Row],[Y-tunnus]],'Suoritepäätös 2023 oikaistu'!$O:$Y,COLUMN('Suoritepäätös 2023 oikaistu'!D:D),FALSE),0)</f>
        <v>4700098</v>
      </c>
      <c r="AE64" s="177">
        <f>IFERROR(VLOOKUP(Vertailu[[#This Row],[Y-tunnus]],'1.2 Ohjaus-laskentataulu'!A:AT,COLUMN('1.2 Ohjaus-laskentataulu'!O:O),FALSE),0)</f>
        <v>4970325</v>
      </c>
      <c r="AF64" s="177">
        <f>Vertailu[[#This Row],[Suoritusrahoitus 2024, €]]-Vertailu[[#This Row],[Suoritusrahoitus 2023, €]]</f>
        <v>270227</v>
      </c>
      <c r="AG64" s="179">
        <f>IFERROR(Vertailu[[#This Row],[Suoritusrahoituksen muutos, €]]/Vertailu[[#This Row],[Suoritusrahoitus 2023, €]],0)</f>
        <v>5.7493907573842075E-2</v>
      </c>
      <c r="AH64" s="177">
        <f>IFERROR(VLOOKUP(Vertailu[[#This Row],[Y-tunnus]],'Suoritepäätös 2023 oikaistu'!$AB:$AL,COLUMN('Suoritepäätös 2023 oikaistu'!I:I),FALSE),0)</f>
        <v>2704185</v>
      </c>
      <c r="AI6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2619167</v>
      </c>
      <c r="AJ64" s="177">
        <f>Vertailu[[#This Row],[Vaikuttavuusrahoitus 2024, €]]-Vertailu[[#This Row],[Vaikuttavuusrahoitus 2023, €]]</f>
        <v>-85018</v>
      </c>
      <c r="AK64" s="179">
        <f>IFERROR(Vertailu[[#This Row],[Vaikuttavuusrahoituksen muutos, €]]/Vertailu[[#This Row],[Vaikuttavuusrahoitus 2023, €]],0)</f>
        <v>-3.1439417051717988E-2</v>
      </c>
    </row>
    <row r="65" spans="1:37" s="1" customFormat="1" ht="12.75" customHeight="1" x14ac:dyDescent="0.25">
      <c r="A65" s="3" t="s">
        <v>473</v>
      </c>
      <c r="B65" s="151" t="s">
        <v>474</v>
      </c>
      <c r="C65" s="151" t="s">
        <v>187</v>
      </c>
      <c r="D65" s="7" t="s">
        <v>325</v>
      </c>
      <c r="E6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0.67467807556000503</v>
      </c>
      <c r="F6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0.68161124409447127</v>
      </c>
      <c r="G6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0.19850947934010971</v>
      </c>
      <c r="H6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0.11987927656541897</v>
      </c>
      <c r="I6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8.1697263042514914E-2</v>
      </c>
      <c r="J6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4.2720984177365088E-3</v>
      </c>
      <c r="K6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1.1824142712635571E-2</v>
      </c>
      <c r="L6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1.6736734498510909E-2</v>
      </c>
      <c r="M6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5.3490378940210751E-3</v>
      </c>
      <c r="N6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26553922</v>
      </c>
      <c r="O65" s="177">
        <f>IFERROR(VLOOKUP(Vertailu[[#This Row],[Y-tunnus]],'1.2 Ohjaus-laskentataulu'!A:AT,COLUMN('1.2 Ohjaus-laskentataulu'!AF:AF),FALSE),0)</f>
        <v>25954896</v>
      </c>
      <c r="P65" s="177">
        <f>IFERROR(Vertailu[[#This Row],[Rahoitus pl. hark. kor. 2024 ilman alv, €]]-Vertailu[[#This Row],[Rahoitus pl. hark. kor. 2023 ilman alv, €]],0)</f>
        <v>-599026</v>
      </c>
      <c r="Q65" s="179">
        <f>IFERROR(Vertailu[[#This Row],[Muutos, € 1]]/Vertailu[[#This Row],[Rahoitus pl. hark. kor. 2023 ilman alv, €]],0)</f>
        <v>-2.2558852134912499E-2</v>
      </c>
      <c r="R65" s="182">
        <f>IFERROR(VLOOKUP(Vertailu[[#This Row],[Y-tunnus]],'Suoritepäätös 2023 oikaistu'!$AB:$AL,COLUMN('Suoritepäätös 2023 oikaistu'!J:J),FALSE),0)</f>
        <v>26592922</v>
      </c>
      <c r="S65" s="183">
        <f>IFERROR(VLOOKUP(Vertailu[[#This Row],[Y-tunnus]],'1.2 Ohjaus-laskentataulu'!A:AT,COLUMN('1.2 Ohjaus-laskentataulu'!AR:AR),FALSE),0)</f>
        <v>26136102</v>
      </c>
      <c r="T65" s="177">
        <f>IFERROR(Vertailu[[#This Row],[Rahoitus ml. hark. kor. 
2024 ilman alv, €]]-Vertailu[[#This Row],[Rahoitus ml. hark. kor. 
2023 ilman alv, €]],0)</f>
        <v>-456820</v>
      </c>
      <c r="U65" s="181">
        <f>IFERROR(Vertailu[[#This Row],[Muutos, € 2]]/Vertailu[[#This Row],[Rahoitus ml. hark. kor. 
2023 ilman alv, €]],0)</f>
        <v>-1.7178255176320979E-2</v>
      </c>
      <c r="V6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27442793</v>
      </c>
      <c r="W65" s="182">
        <f>IFERROR(VLOOKUP(Vertailu[[#This Row],[Y-tunnus]],'1.2 Ohjaus-laskentataulu'!A:AT,COLUMN('1.2 Ohjaus-laskentataulu'!AT:AT),FALSE),0)</f>
        <v>28677319</v>
      </c>
      <c r="X65" s="184">
        <f>IFERROR(Vertailu[[#This Row],[Rahoitus ml. hark. kor. + alv 2024, €]]-Vertailu[[#This Row],[Rahoitus ml. hark. kor. + alv 2023, €]],0)</f>
        <v>1234526</v>
      </c>
      <c r="Y65" s="179">
        <f>IFERROR(Vertailu[[#This Row],[Muutos, € 3]]/Vertailu[[#This Row],[Rahoitus ml. hark. kor. + alv 2023, €]],0)</f>
        <v>4.498543570255404E-2</v>
      </c>
      <c r="Z65" s="177">
        <f>IFERROR(VLOOKUP(Vertailu[[#This Row],[Y-tunnus]],'Suoritepäätös 2023 oikaistu'!$B:$N,COLUMN('Suoritepäätös 2023 oikaistu'!H:H),FALSE),0)</f>
        <v>18400616</v>
      </c>
      <c r="AA65" s="177">
        <f>IFERROR(VLOOKUP(Vertailu[[#This Row],[Y-tunnus]],'1.2 Ohjaus-laskentataulu'!A:AT,COLUMN('1.2 Ohjaus-laskentataulu'!AO:AO),FALSE),0)</f>
        <v>17814661</v>
      </c>
      <c r="AB65" s="177">
        <f>Vertailu[[#This Row],[Perusrahoitus 2024, €]]-Vertailu[[#This Row],[Perusrahoitus 2023, €]]</f>
        <v>-585955</v>
      </c>
      <c r="AC65" s="179">
        <f>IFERROR(Vertailu[[#This Row],[Perusrahoituksen muutos, €]]/Vertailu[[#This Row],[Perusrahoitus 2023, €]],0)</f>
        <v>-3.1844314342519837E-2</v>
      </c>
      <c r="AD65" s="177">
        <f>IFERROR(VLOOKUP(Vertailu[[#This Row],[Y-tunnus]],'Suoritepäätös 2023 oikaistu'!$O:$Y,COLUMN('Suoritepäätös 2023 oikaistu'!D:D),FALSE),0)</f>
        <v>5371809</v>
      </c>
      <c r="AE65" s="177">
        <f>IFERROR(VLOOKUP(Vertailu[[#This Row],[Y-tunnus]],'1.2 Ohjaus-laskentataulu'!A:AT,COLUMN('1.2 Ohjaus-laskentataulu'!O:O),FALSE),0)</f>
        <v>5188264</v>
      </c>
      <c r="AF65" s="177">
        <f>Vertailu[[#This Row],[Suoritusrahoitus 2024, €]]-Vertailu[[#This Row],[Suoritusrahoitus 2023, €]]</f>
        <v>-183545</v>
      </c>
      <c r="AG65" s="179">
        <f>IFERROR(Vertailu[[#This Row],[Suoritusrahoituksen muutos, €]]/Vertailu[[#This Row],[Suoritusrahoitus 2023, €]],0)</f>
        <v>-3.4168191758120962E-2</v>
      </c>
      <c r="AH65" s="177">
        <f>IFERROR(VLOOKUP(Vertailu[[#This Row],[Y-tunnus]],'Suoritepäätös 2023 oikaistu'!$AB:$AL,COLUMN('Suoritepäätös 2023 oikaistu'!I:I),FALSE),0)</f>
        <v>2820497</v>
      </c>
      <c r="AI6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3133177</v>
      </c>
      <c r="AJ65" s="177">
        <f>Vertailu[[#This Row],[Vaikuttavuusrahoitus 2024, €]]-Vertailu[[#This Row],[Vaikuttavuusrahoitus 2023, €]]</f>
        <v>312680</v>
      </c>
      <c r="AK65" s="179">
        <f>IFERROR(Vertailu[[#This Row],[Vaikuttavuusrahoituksen muutos, €]]/Vertailu[[#This Row],[Vaikuttavuusrahoitus 2023, €]],0)</f>
        <v>0.11085989455049944</v>
      </c>
    </row>
    <row r="66" spans="1:37" s="1" customFormat="1" ht="12.75" customHeight="1" x14ac:dyDescent="0.25">
      <c r="A66" s="3" t="s">
        <v>264</v>
      </c>
      <c r="B66" s="151" t="s">
        <v>61</v>
      </c>
      <c r="C66" s="151" t="s">
        <v>180</v>
      </c>
      <c r="D66" s="7" t="s">
        <v>325</v>
      </c>
      <c r="E6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0.61888228282180513</v>
      </c>
      <c r="F6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0.61888228282180513</v>
      </c>
      <c r="G6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0.22021334142705734</v>
      </c>
      <c r="H6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0.16090437575113756</v>
      </c>
      <c r="I6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0.10871698972211276</v>
      </c>
      <c r="J6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9.4799374368187746E-3</v>
      </c>
      <c r="K6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2.1926485814361629E-2</v>
      </c>
      <c r="L6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1.7363975258660569E-2</v>
      </c>
      <c r="M6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3.4169875191838394E-3</v>
      </c>
      <c r="N6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768739</v>
      </c>
      <c r="O66" s="177">
        <f>IFERROR(VLOOKUP(Vertailu[[#This Row],[Y-tunnus]],'1.2 Ohjaus-laskentataulu'!A:AT,COLUMN('1.2 Ohjaus-laskentataulu'!AF:AF),FALSE),0)</f>
        <v>817094</v>
      </c>
      <c r="P66" s="177">
        <f>IFERROR(Vertailu[[#This Row],[Rahoitus pl. hark. kor. 2024 ilman alv, €]]-Vertailu[[#This Row],[Rahoitus pl. hark. kor. 2023 ilman alv, €]],0)</f>
        <v>48355</v>
      </c>
      <c r="Q66" s="179">
        <f>IFERROR(Vertailu[[#This Row],[Muutos, € 1]]/Vertailu[[#This Row],[Rahoitus pl. hark. kor. 2023 ilman alv, €]],0)</f>
        <v>6.2901713065162554E-2</v>
      </c>
      <c r="R66" s="182">
        <f>IFERROR(VLOOKUP(Vertailu[[#This Row],[Y-tunnus]],'Suoritepäätös 2023 oikaistu'!$AB:$AL,COLUMN('Suoritepäätös 2023 oikaistu'!J:J),FALSE),0)</f>
        <v>773739</v>
      </c>
      <c r="S66" s="183">
        <f>IFERROR(VLOOKUP(Vertailu[[#This Row],[Y-tunnus]],'1.2 Ohjaus-laskentataulu'!A:AT,COLUMN('1.2 Ohjaus-laskentataulu'!AR:AR),FALSE),0)</f>
        <v>817094</v>
      </c>
      <c r="T66" s="177">
        <f>IFERROR(Vertailu[[#This Row],[Rahoitus ml. hark. kor. 
2024 ilman alv, €]]-Vertailu[[#This Row],[Rahoitus ml. hark. kor. 
2023 ilman alv, €]],0)</f>
        <v>43355</v>
      </c>
      <c r="U66" s="181">
        <f>IFERROR(Vertailu[[#This Row],[Muutos, € 2]]/Vertailu[[#This Row],[Rahoitus ml. hark. kor. 
2023 ilman alv, €]],0)</f>
        <v>5.603310677114634E-2</v>
      </c>
      <c r="V6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802970</v>
      </c>
      <c r="W66" s="182">
        <f>IFERROR(VLOOKUP(Vertailu[[#This Row],[Y-tunnus]],'1.2 Ohjaus-laskentataulu'!A:AT,COLUMN('1.2 Ohjaus-laskentataulu'!AT:AT),FALSE),0)</f>
        <v>853529</v>
      </c>
      <c r="X66" s="184">
        <f>IFERROR(Vertailu[[#This Row],[Rahoitus ml. hark. kor. + alv 2024, €]]-Vertailu[[#This Row],[Rahoitus ml. hark. kor. + alv 2023, €]],0)</f>
        <v>50559</v>
      </c>
      <c r="Y66" s="179">
        <f>IFERROR(Vertailu[[#This Row],[Muutos, € 3]]/Vertailu[[#This Row],[Rahoitus ml. hark. kor. + alv 2023, €]],0)</f>
        <v>6.2964992465471936E-2</v>
      </c>
      <c r="Z66" s="177">
        <f>IFERROR(VLOOKUP(Vertailu[[#This Row],[Y-tunnus]],'Suoritepäätös 2023 oikaistu'!$B:$N,COLUMN('Suoritepäätös 2023 oikaistu'!H:H),FALSE),0)</f>
        <v>466331</v>
      </c>
      <c r="AA66" s="177">
        <f>IFERROR(VLOOKUP(Vertailu[[#This Row],[Y-tunnus]],'1.2 Ohjaus-laskentataulu'!A:AT,COLUMN('1.2 Ohjaus-laskentataulu'!AO:AO),FALSE),0)</f>
        <v>505685</v>
      </c>
      <c r="AB66" s="177">
        <f>Vertailu[[#This Row],[Perusrahoitus 2024, €]]-Vertailu[[#This Row],[Perusrahoitus 2023, €]]</f>
        <v>39354</v>
      </c>
      <c r="AC66" s="179">
        <f>IFERROR(Vertailu[[#This Row],[Perusrahoituksen muutos, €]]/Vertailu[[#This Row],[Perusrahoitus 2023, €]],0)</f>
        <v>8.4390701025666315E-2</v>
      </c>
      <c r="AD66" s="177">
        <f>IFERROR(VLOOKUP(Vertailu[[#This Row],[Y-tunnus]],'Suoritepäätös 2023 oikaistu'!$O:$Y,COLUMN('Suoritepäätös 2023 oikaistu'!D:D),FALSE),0)</f>
        <v>124749</v>
      </c>
      <c r="AE66" s="177">
        <f>IFERROR(VLOOKUP(Vertailu[[#This Row],[Y-tunnus]],'1.2 Ohjaus-laskentataulu'!A:AT,COLUMN('1.2 Ohjaus-laskentataulu'!O:O),FALSE),0)</f>
        <v>179935</v>
      </c>
      <c r="AF66" s="177">
        <f>Vertailu[[#This Row],[Suoritusrahoitus 2024, €]]-Vertailu[[#This Row],[Suoritusrahoitus 2023, €]]</f>
        <v>55186</v>
      </c>
      <c r="AG66" s="179">
        <f>IFERROR(Vertailu[[#This Row],[Suoritusrahoituksen muutos, €]]/Vertailu[[#This Row],[Suoritusrahoitus 2023, €]],0)</f>
        <v>0.44237629159351977</v>
      </c>
      <c r="AH66" s="177">
        <f>IFERROR(VLOOKUP(Vertailu[[#This Row],[Y-tunnus]],'Suoritepäätös 2023 oikaistu'!$AB:$AL,COLUMN('Suoritepäätös 2023 oikaistu'!I:I),FALSE),0)</f>
        <v>182659</v>
      </c>
      <c r="AI6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131474</v>
      </c>
      <c r="AJ66" s="177">
        <f>Vertailu[[#This Row],[Vaikuttavuusrahoitus 2024, €]]-Vertailu[[#This Row],[Vaikuttavuusrahoitus 2023, €]]</f>
        <v>-51185</v>
      </c>
      <c r="AK66" s="179">
        <f>IFERROR(Vertailu[[#This Row],[Vaikuttavuusrahoituksen muutos, €]]/Vertailu[[#This Row],[Vaikuttavuusrahoitus 2023, €]],0)</f>
        <v>-0.28022161514078148</v>
      </c>
    </row>
    <row r="67" spans="1:37" s="1" customFormat="1" ht="12.75" customHeight="1" x14ac:dyDescent="0.25">
      <c r="A67" s="3" t="s">
        <v>263</v>
      </c>
      <c r="B67" s="151" t="s">
        <v>62</v>
      </c>
      <c r="C67" s="151" t="s">
        <v>177</v>
      </c>
      <c r="D67" s="7" t="s">
        <v>325</v>
      </c>
      <c r="E6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0.61320444846597899</v>
      </c>
      <c r="F6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0.61320444846597899</v>
      </c>
      <c r="G6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0.32439898264685485</v>
      </c>
      <c r="H6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6.2396568887166173E-2</v>
      </c>
      <c r="I6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5.0930581127117548E-2</v>
      </c>
      <c r="J6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1.5705798183010304E-3</v>
      </c>
      <c r="K6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9.3706228582287436E-3</v>
      </c>
      <c r="L6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3.3349651590526688E-4</v>
      </c>
      <c r="M6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1.9128856761358703E-4</v>
      </c>
      <c r="N6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749572</v>
      </c>
      <c r="O67" s="177">
        <f>IFERROR(VLOOKUP(Vertailu[[#This Row],[Y-tunnus]],'1.2 Ohjaus-laskentataulu'!A:AT,COLUMN('1.2 Ohjaus-laskentataulu'!AF:AF),FALSE),0)</f>
        <v>794611</v>
      </c>
      <c r="P67" s="177">
        <f>IFERROR(Vertailu[[#This Row],[Rahoitus pl. hark. kor. 2024 ilman alv, €]]-Vertailu[[#This Row],[Rahoitus pl. hark. kor. 2023 ilman alv, €]],0)</f>
        <v>45039</v>
      </c>
      <c r="Q67" s="179">
        <f>IFERROR(Vertailu[[#This Row],[Muutos, € 1]]/Vertailu[[#This Row],[Rahoitus pl. hark. kor. 2023 ilman alv, €]],0)</f>
        <v>6.0086289242394328E-2</v>
      </c>
      <c r="R67" s="182">
        <f>IFERROR(VLOOKUP(Vertailu[[#This Row],[Y-tunnus]],'Suoritepäätös 2023 oikaistu'!$AB:$AL,COLUMN('Suoritepäätös 2023 oikaistu'!J:J),FALSE),0)</f>
        <v>749572</v>
      </c>
      <c r="S67" s="183">
        <f>IFERROR(VLOOKUP(Vertailu[[#This Row],[Y-tunnus]],'1.2 Ohjaus-laskentataulu'!A:AT,COLUMN('1.2 Ohjaus-laskentataulu'!AR:AR),FALSE),0)</f>
        <v>794611</v>
      </c>
      <c r="T67" s="177">
        <f>IFERROR(Vertailu[[#This Row],[Rahoitus ml. hark. kor. 
2024 ilman alv, €]]-Vertailu[[#This Row],[Rahoitus ml. hark. kor. 
2023 ilman alv, €]],0)</f>
        <v>45039</v>
      </c>
      <c r="U67" s="181">
        <f>IFERROR(Vertailu[[#This Row],[Muutos, € 2]]/Vertailu[[#This Row],[Rahoitus ml. hark. kor. 
2023 ilman alv, €]],0)</f>
        <v>6.0086289242394328E-2</v>
      </c>
      <c r="V6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764734</v>
      </c>
      <c r="W67" s="182">
        <f>IFERROR(VLOOKUP(Vertailu[[#This Row],[Y-tunnus]],'1.2 Ohjaus-laskentataulu'!A:AT,COLUMN('1.2 Ohjaus-laskentataulu'!AT:AT),FALSE),0)</f>
        <v>808710</v>
      </c>
      <c r="X67" s="184">
        <f>IFERROR(Vertailu[[#This Row],[Rahoitus ml. hark. kor. + alv 2024, €]]-Vertailu[[#This Row],[Rahoitus ml. hark. kor. + alv 2023, €]],0)</f>
        <v>43976</v>
      </c>
      <c r="Y67" s="179">
        <f>IFERROR(Vertailu[[#This Row],[Muutos, € 3]]/Vertailu[[#This Row],[Rahoitus ml. hark. kor. + alv 2023, €]],0)</f>
        <v>5.7504962509840024E-2</v>
      </c>
      <c r="Z67" s="177">
        <f>IFERROR(VLOOKUP(Vertailu[[#This Row],[Y-tunnus]],'Suoritepäätös 2023 oikaistu'!$B:$N,COLUMN('Suoritepäätös 2023 oikaistu'!H:H),FALSE),0)</f>
        <v>460031</v>
      </c>
      <c r="AA67" s="177">
        <f>IFERROR(VLOOKUP(Vertailu[[#This Row],[Y-tunnus]],'1.2 Ohjaus-laskentataulu'!A:AT,COLUMN('1.2 Ohjaus-laskentataulu'!AO:AO),FALSE),0)</f>
        <v>487259</v>
      </c>
      <c r="AB67" s="177">
        <f>Vertailu[[#This Row],[Perusrahoitus 2024, €]]-Vertailu[[#This Row],[Perusrahoitus 2023, €]]</f>
        <v>27228</v>
      </c>
      <c r="AC67" s="179">
        <f>IFERROR(Vertailu[[#This Row],[Perusrahoituksen muutos, €]]/Vertailu[[#This Row],[Perusrahoitus 2023, €]],0)</f>
        <v>5.9187315637424437E-2</v>
      </c>
      <c r="AD67" s="177">
        <f>IFERROR(VLOOKUP(Vertailu[[#This Row],[Y-tunnus]],'Suoritepäätös 2023 oikaistu'!$O:$Y,COLUMN('Suoritepäätös 2023 oikaistu'!D:D),FALSE),0)</f>
        <v>235286</v>
      </c>
      <c r="AE67" s="177">
        <f>IFERROR(VLOOKUP(Vertailu[[#This Row],[Y-tunnus]],'1.2 Ohjaus-laskentataulu'!A:AT,COLUMN('1.2 Ohjaus-laskentataulu'!O:O),FALSE),0)</f>
        <v>257771</v>
      </c>
      <c r="AF67" s="177">
        <f>Vertailu[[#This Row],[Suoritusrahoitus 2024, €]]-Vertailu[[#This Row],[Suoritusrahoitus 2023, €]]</f>
        <v>22485</v>
      </c>
      <c r="AG67" s="179">
        <f>IFERROR(Vertailu[[#This Row],[Suoritusrahoituksen muutos, €]]/Vertailu[[#This Row],[Suoritusrahoitus 2023, €]],0)</f>
        <v>9.5564546976870696E-2</v>
      </c>
      <c r="AH67" s="177">
        <f>IFERROR(VLOOKUP(Vertailu[[#This Row],[Y-tunnus]],'Suoritepäätös 2023 oikaistu'!$AB:$AL,COLUMN('Suoritepäätös 2023 oikaistu'!I:I),FALSE),0)</f>
        <v>54255</v>
      </c>
      <c r="AI6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49581</v>
      </c>
      <c r="AJ67" s="177">
        <f>Vertailu[[#This Row],[Vaikuttavuusrahoitus 2024, €]]-Vertailu[[#This Row],[Vaikuttavuusrahoitus 2023, €]]</f>
        <v>-4674</v>
      </c>
      <c r="AK67" s="179">
        <f>IFERROR(Vertailu[[#This Row],[Vaikuttavuusrahoituksen muutos, €]]/Vertailu[[#This Row],[Vaikuttavuusrahoitus 2023, €]],0)</f>
        <v>-8.6148742051423838E-2</v>
      </c>
    </row>
    <row r="68" spans="1:37" s="1" customFormat="1" ht="12.75" customHeight="1" x14ac:dyDescent="0.25">
      <c r="A68" s="3" t="s">
        <v>262</v>
      </c>
      <c r="B68" s="151" t="s">
        <v>63</v>
      </c>
      <c r="C68" s="151" t="s">
        <v>177</v>
      </c>
      <c r="D68" s="7" t="s">
        <v>325</v>
      </c>
      <c r="E6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0.66065534727157194</v>
      </c>
      <c r="F6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0.66065534727157194</v>
      </c>
      <c r="G6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0.22477024854907776</v>
      </c>
      <c r="H6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0.11457440417935029</v>
      </c>
      <c r="I6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6.8022435659469346E-2</v>
      </c>
      <c r="J6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5.1509065190497721E-3</v>
      </c>
      <c r="K6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1.2364296947543098E-2</v>
      </c>
      <c r="L6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2.0018339618493509E-2</v>
      </c>
      <c r="M6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9.0184254347945563E-3</v>
      </c>
      <c r="N6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996899</v>
      </c>
      <c r="O68" s="177">
        <f>IFERROR(VLOOKUP(Vertailu[[#This Row],[Y-tunnus]],'1.2 Ohjaus-laskentataulu'!A:AT,COLUMN('1.2 Ohjaus-laskentataulu'!AF:AF),FALSE),0)</f>
        <v>1037099</v>
      </c>
      <c r="P68" s="177">
        <f>IFERROR(Vertailu[[#This Row],[Rahoitus pl. hark. kor. 2024 ilman alv, €]]-Vertailu[[#This Row],[Rahoitus pl. hark. kor. 2023 ilman alv, €]],0)</f>
        <v>40200</v>
      </c>
      <c r="Q68" s="179">
        <f>IFERROR(Vertailu[[#This Row],[Muutos, € 1]]/Vertailu[[#This Row],[Rahoitus pl. hark. kor. 2023 ilman alv, €]],0)</f>
        <v>4.0325047973766653E-2</v>
      </c>
      <c r="R68" s="182">
        <f>IFERROR(VLOOKUP(Vertailu[[#This Row],[Y-tunnus]],'Suoritepäätös 2023 oikaistu'!$AB:$AL,COLUMN('Suoritepäätös 2023 oikaistu'!J:J),FALSE),0)</f>
        <v>996899</v>
      </c>
      <c r="S68" s="183">
        <f>IFERROR(VLOOKUP(Vertailu[[#This Row],[Y-tunnus]],'1.2 Ohjaus-laskentataulu'!A:AT,COLUMN('1.2 Ohjaus-laskentataulu'!AR:AR),FALSE),0)</f>
        <v>1037099</v>
      </c>
      <c r="T68" s="177">
        <f>IFERROR(Vertailu[[#This Row],[Rahoitus ml. hark. kor. 
2024 ilman alv, €]]-Vertailu[[#This Row],[Rahoitus ml. hark. kor. 
2023 ilman alv, €]],0)</f>
        <v>40200</v>
      </c>
      <c r="U68" s="181">
        <f>IFERROR(Vertailu[[#This Row],[Muutos, € 2]]/Vertailu[[#This Row],[Rahoitus ml. hark. kor. 
2023 ilman alv, €]],0)</f>
        <v>4.0325047973766653E-2</v>
      </c>
      <c r="V6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1065129</v>
      </c>
      <c r="W68" s="182">
        <f>IFERROR(VLOOKUP(Vertailu[[#This Row],[Y-tunnus]],'1.2 Ohjaus-laskentataulu'!A:AT,COLUMN('1.2 Ohjaus-laskentataulu'!AT:AT),FALSE),0)</f>
        <v>1113711</v>
      </c>
      <c r="X68" s="184">
        <f>IFERROR(Vertailu[[#This Row],[Rahoitus ml. hark. kor. + alv 2024, €]]-Vertailu[[#This Row],[Rahoitus ml. hark. kor. + alv 2023, €]],0)</f>
        <v>48582</v>
      </c>
      <c r="Y68" s="179">
        <f>IFERROR(Vertailu[[#This Row],[Muutos, € 3]]/Vertailu[[#This Row],[Rahoitus ml. hark. kor. + alv 2023, €]],0)</f>
        <v>4.5611376650152233E-2</v>
      </c>
      <c r="Z68" s="177">
        <f>IFERROR(VLOOKUP(Vertailu[[#This Row],[Y-tunnus]],'Suoritepäätös 2023 oikaistu'!$B:$N,COLUMN('Suoritepäätös 2023 oikaistu'!H:H),FALSE),0)</f>
        <v>638716</v>
      </c>
      <c r="AA68" s="177">
        <f>IFERROR(VLOOKUP(Vertailu[[#This Row],[Y-tunnus]],'1.2 Ohjaus-laskentataulu'!A:AT,COLUMN('1.2 Ohjaus-laskentataulu'!AO:AO),FALSE),0)</f>
        <v>685165</v>
      </c>
      <c r="AB68" s="177">
        <f>Vertailu[[#This Row],[Perusrahoitus 2024, €]]-Vertailu[[#This Row],[Perusrahoitus 2023, €]]</f>
        <v>46449</v>
      </c>
      <c r="AC68" s="179">
        <f>IFERROR(Vertailu[[#This Row],[Perusrahoituksen muutos, €]]/Vertailu[[#This Row],[Perusrahoitus 2023, €]],0)</f>
        <v>7.2722461939265653E-2</v>
      </c>
      <c r="AD68" s="177">
        <f>IFERROR(VLOOKUP(Vertailu[[#This Row],[Y-tunnus]],'Suoritepäätös 2023 oikaistu'!$O:$Y,COLUMN('Suoritepäätös 2023 oikaistu'!D:D),FALSE),0)</f>
        <v>231815</v>
      </c>
      <c r="AE68" s="177">
        <f>IFERROR(VLOOKUP(Vertailu[[#This Row],[Y-tunnus]],'1.2 Ohjaus-laskentataulu'!A:AT,COLUMN('1.2 Ohjaus-laskentataulu'!O:O),FALSE),0)</f>
        <v>233109</v>
      </c>
      <c r="AF68" s="177">
        <f>Vertailu[[#This Row],[Suoritusrahoitus 2024, €]]-Vertailu[[#This Row],[Suoritusrahoitus 2023, €]]</f>
        <v>1294</v>
      </c>
      <c r="AG68" s="179">
        <f>IFERROR(Vertailu[[#This Row],[Suoritusrahoituksen muutos, €]]/Vertailu[[#This Row],[Suoritusrahoitus 2023, €]],0)</f>
        <v>5.5820374005133401E-3</v>
      </c>
      <c r="AH68" s="177">
        <f>IFERROR(VLOOKUP(Vertailu[[#This Row],[Y-tunnus]],'Suoritepäätös 2023 oikaistu'!$AB:$AL,COLUMN('Suoritepäätös 2023 oikaistu'!I:I),FALSE),0)</f>
        <v>126368</v>
      </c>
      <c r="AI6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118825</v>
      </c>
      <c r="AJ68" s="177">
        <f>Vertailu[[#This Row],[Vaikuttavuusrahoitus 2024, €]]-Vertailu[[#This Row],[Vaikuttavuusrahoitus 2023, €]]</f>
        <v>-7543</v>
      </c>
      <c r="AK68" s="179">
        <f>IFERROR(Vertailu[[#This Row],[Vaikuttavuusrahoituksen muutos, €]]/Vertailu[[#This Row],[Vaikuttavuusrahoitus 2023, €]],0)</f>
        <v>-5.9690744492276529E-2</v>
      </c>
    </row>
    <row r="69" spans="1:37" s="1" customFormat="1" ht="12.75" customHeight="1" x14ac:dyDescent="0.25">
      <c r="A69" s="3" t="s">
        <v>261</v>
      </c>
      <c r="B69" s="151" t="s">
        <v>64</v>
      </c>
      <c r="C69" s="151" t="s">
        <v>199</v>
      </c>
      <c r="D69" s="7" t="s">
        <v>325</v>
      </c>
      <c r="E6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0.70528486557397541</v>
      </c>
      <c r="F6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0.70528486557397541</v>
      </c>
      <c r="G6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0.20359214250782451</v>
      </c>
      <c r="H6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9.1122991918200127E-2</v>
      </c>
      <c r="I6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6.5839376180302112E-2</v>
      </c>
      <c r="J6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2.4660591390239066E-3</v>
      </c>
      <c r="K6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1.4119360292234399E-2</v>
      </c>
      <c r="L6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7.6017492024010105E-3</v>
      </c>
      <c r="M6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1.096447104238696E-3</v>
      </c>
      <c r="N6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2210974</v>
      </c>
      <c r="O69" s="177">
        <f>IFERROR(VLOOKUP(Vertailu[[#This Row],[Y-tunnus]],'1.2 Ohjaus-laskentataulu'!A:AT,COLUMN('1.2 Ohjaus-laskentataulu'!AF:AF),FALSE),0)</f>
        <v>2112277</v>
      </c>
      <c r="P69" s="177">
        <f>IFERROR(Vertailu[[#This Row],[Rahoitus pl. hark. kor. 2024 ilman alv, €]]-Vertailu[[#This Row],[Rahoitus pl. hark. kor. 2023 ilman alv, €]],0)</f>
        <v>-98697</v>
      </c>
      <c r="Q69" s="179">
        <f>IFERROR(Vertailu[[#This Row],[Muutos, € 1]]/Vertailu[[#This Row],[Rahoitus pl. hark. kor. 2023 ilman alv, €]],0)</f>
        <v>-4.4639602274834531E-2</v>
      </c>
      <c r="R69" s="182">
        <f>IFERROR(VLOOKUP(Vertailu[[#This Row],[Y-tunnus]],'Suoritepäätös 2023 oikaistu'!$AB:$AL,COLUMN('Suoritepäätös 2023 oikaistu'!J:J),FALSE),0)</f>
        <v>2210974</v>
      </c>
      <c r="S69" s="183">
        <f>IFERROR(VLOOKUP(Vertailu[[#This Row],[Y-tunnus]],'1.2 Ohjaus-laskentataulu'!A:AT,COLUMN('1.2 Ohjaus-laskentataulu'!AR:AR),FALSE),0)</f>
        <v>2112277</v>
      </c>
      <c r="T69" s="177">
        <f>IFERROR(Vertailu[[#This Row],[Rahoitus ml. hark. kor. 
2024 ilman alv, €]]-Vertailu[[#This Row],[Rahoitus ml. hark. kor. 
2023 ilman alv, €]],0)</f>
        <v>-98697</v>
      </c>
      <c r="U69" s="181">
        <f>IFERROR(Vertailu[[#This Row],[Muutos, € 2]]/Vertailu[[#This Row],[Rahoitus ml. hark. kor. 
2023 ilman alv, €]],0)</f>
        <v>-4.4639602274834531E-2</v>
      </c>
      <c r="V6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2301268</v>
      </c>
      <c r="W69" s="182">
        <f>IFERROR(VLOOKUP(Vertailu[[#This Row],[Y-tunnus]],'1.2 Ohjaus-laskentataulu'!A:AT,COLUMN('1.2 Ohjaus-laskentataulu'!AT:AT),FALSE),0)</f>
        <v>2188629</v>
      </c>
      <c r="X69" s="184">
        <f>IFERROR(Vertailu[[#This Row],[Rahoitus ml. hark. kor. + alv 2024, €]]-Vertailu[[#This Row],[Rahoitus ml. hark. kor. + alv 2023, €]],0)</f>
        <v>-112639</v>
      </c>
      <c r="Y69" s="179">
        <f>IFERROR(Vertailu[[#This Row],[Muutos, € 3]]/Vertailu[[#This Row],[Rahoitus ml. hark. kor. + alv 2023, €]],0)</f>
        <v>-4.8946493846001422E-2</v>
      </c>
      <c r="Z69" s="177">
        <f>IFERROR(VLOOKUP(Vertailu[[#This Row],[Y-tunnus]],'Suoritepäätös 2023 oikaistu'!$B:$N,COLUMN('Suoritepäätös 2023 oikaistu'!H:H),FALSE),0)</f>
        <v>1485355</v>
      </c>
      <c r="AA69" s="177">
        <f>IFERROR(VLOOKUP(Vertailu[[#This Row],[Y-tunnus]],'1.2 Ohjaus-laskentataulu'!A:AT,COLUMN('1.2 Ohjaus-laskentataulu'!AO:AO),FALSE),0)</f>
        <v>1489757</v>
      </c>
      <c r="AB69" s="177">
        <f>Vertailu[[#This Row],[Perusrahoitus 2024, €]]-Vertailu[[#This Row],[Perusrahoitus 2023, €]]</f>
        <v>4402</v>
      </c>
      <c r="AC69" s="179">
        <f>IFERROR(Vertailu[[#This Row],[Perusrahoituksen muutos, €]]/Vertailu[[#This Row],[Perusrahoitus 2023, €]],0)</f>
        <v>2.9636012939667621E-3</v>
      </c>
      <c r="AD69" s="177">
        <f>IFERROR(VLOOKUP(Vertailu[[#This Row],[Y-tunnus]],'Suoritepäätös 2023 oikaistu'!$O:$Y,COLUMN('Suoritepäätös 2023 oikaistu'!D:D),FALSE),0)</f>
        <v>533402</v>
      </c>
      <c r="AE69" s="177">
        <f>IFERROR(VLOOKUP(Vertailu[[#This Row],[Y-tunnus]],'1.2 Ohjaus-laskentataulu'!A:AT,COLUMN('1.2 Ohjaus-laskentataulu'!O:O),FALSE),0)</f>
        <v>430043</v>
      </c>
      <c r="AF69" s="177">
        <f>Vertailu[[#This Row],[Suoritusrahoitus 2024, €]]-Vertailu[[#This Row],[Suoritusrahoitus 2023, €]]</f>
        <v>-103359</v>
      </c>
      <c r="AG69" s="179">
        <f>IFERROR(Vertailu[[#This Row],[Suoritusrahoituksen muutos, €]]/Vertailu[[#This Row],[Suoritusrahoitus 2023, €]],0)</f>
        <v>-0.19377317670349942</v>
      </c>
      <c r="AH69" s="177">
        <f>IFERROR(VLOOKUP(Vertailu[[#This Row],[Y-tunnus]],'Suoritepäätös 2023 oikaistu'!$AB:$AL,COLUMN('Suoritepäätös 2023 oikaistu'!I:I),FALSE),0)</f>
        <v>192217</v>
      </c>
      <c r="AI6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192477</v>
      </c>
      <c r="AJ69" s="177">
        <f>Vertailu[[#This Row],[Vaikuttavuusrahoitus 2024, €]]-Vertailu[[#This Row],[Vaikuttavuusrahoitus 2023, €]]</f>
        <v>260</v>
      </c>
      <c r="AK69" s="179">
        <f>IFERROR(Vertailu[[#This Row],[Vaikuttavuusrahoituksen muutos, €]]/Vertailu[[#This Row],[Vaikuttavuusrahoitus 2023, €]],0)</f>
        <v>1.3526379040355431E-3</v>
      </c>
    </row>
    <row r="70" spans="1:37" s="1" customFormat="1" ht="12.75" customHeight="1" x14ac:dyDescent="0.25">
      <c r="A70" s="3" t="s">
        <v>259</v>
      </c>
      <c r="B70" s="151" t="s">
        <v>144</v>
      </c>
      <c r="C70" s="151" t="s">
        <v>179</v>
      </c>
      <c r="D70" s="7" t="s">
        <v>324</v>
      </c>
      <c r="E7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0.7041400682632849</v>
      </c>
      <c r="F7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0.7041400682632849</v>
      </c>
      <c r="G7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0.17984804992645273</v>
      </c>
      <c r="H7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0.11601188181026234</v>
      </c>
      <c r="I7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8.6075289547720035E-2</v>
      </c>
      <c r="J7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5.1697299458749266E-3</v>
      </c>
      <c r="K7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2.1767847707181927E-2</v>
      </c>
      <c r="L7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2.3170958113762621E-3</v>
      </c>
      <c r="M7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6.8191879810919267E-4</v>
      </c>
      <c r="N7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268763</v>
      </c>
      <c r="O70" s="177">
        <f>IFERROR(VLOOKUP(Vertailu[[#This Row],[Y-tunnus]],'1.2 Ohjaus-laskentataulu'!A:AT,COLUMN('1.2 Ohjaus-laskentataulu'!AF:AF),FALSE),0)</f>
        <v>280092</v>
      </c>
      <c r="P70" s="177">
        <f>IFERROR(Vertailu[[#This Row],[Rahoitus pl. hark. kor. 2024 ilman alv, €]]-Vertailu[[#This Row],[Rahoitus pl. hark. kor. 2023 ilman alv, €]],0)</f>
        <v>11329</v>
      </c>
      <c r="Q70" s="179">
        <f>IFERROR(Vertailu[[#This Row],[Muutos, € 1]]/Vertailu[[#This Row],[Rahoitus pl. hark. kor. 2023 ilman alv, €]],0)</f>
        <v>4.2152379605823721E-2</v>
      </c>
      <c r="R70" s="182">
        <f>IFERROR(VLOOKUP(Vertailu[[#This Row],[Y-tunnus]],'Suoritepäätös 2023 oikaistu'!$AB:$AL,COLUMN('Suoritepäätös 2023 oikaistu'!J:J),FALSE),0)</f>
        <v>268763</v>
      </c>
      <c r="S70" s="183">
        <f>IFERROR(VLOOKUP(Vertailu[[#This Row],[Y-tunnus]],'1.2 Ohjaus-laskentataulu'!A:AT,COLUMN('1.2 Ohjaus-laskentataulu'!AR:AR),FALSE),0)</f>
        <v>280092</v>
      </c>
      <c r="T70" s="177">
        <f>IFERROR(Vertailu[[#This Row],[Rahoitus ml. hark. kor. 
2024 ilman alv, €]]-Vertailu[[#This Row],[Rahoitus ml. hark. kor. 
2023 ilman alv, €]],0)</f>
        <v>11329</v>
      </c>
      <c r="U70" s="181">
        <f>IFERROR(Vertailu[[#This Row],[Muutos, € 2]]/Vertailu[[#This Row],[Rahoitus ml. hark. kor. 
2023 ilman alv, €]],0)</f>
        <v>4.2152379605823721E-2</v>
      </c>
      <c r="V7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268763</v>
      </c>
      <c r="W70" s="182">
        <f>IFERROR(VLOOKUP(Vertailu[[#This Row],[Y-tunnus]],'1.2 Ohjaus-laskentataulu'!A:AT,COLUMN('1.2 Ohjaus-laskentataulu'!AT:AT),FALSE),0)</f>
        <v>280092</v>
      </c>
      <c r="X70" s="184">
        <f>IFERROR(Vertailu[[#This Row],[Rahoitus ml. hark. kor. + alv 2024, €]]-Vertailu[[#This Row],[Rahoitus ml. hark. kor. + alv 2023, €]],0)</f>
        <v>11329</v>
      </c>
      <c r="Y70" s="179">
        <f>IFERROR(Vertailu[[#This Row],[Muutos, € 3]]/Vertailu[[#This Row],[Rahoitus ml. hark. kor. + alv 2023, €]],0)</f>
        <v>4.2152379605823721E-2</v>
      </c>
      <c r="Z70" s="177">
        <f>IFERROR(VLOOKUP(Vertailu[[#This Row],[Y-tunnus]],'Suoritepäätös 2023 oikaistu'!$B:$N,COLUMN('Suoritepäätös 2023 oikaistu'!H:H),FALSE),0)</f>
        <v>187781</v>
      </c>
      <c r="AA70" s="177">
        <f>IFERROR(VLOOKUP(Vertailu[[#This Row],[Y-tunnus]],'1.2 Ohjaus-laskentataulu'!A:AT,COLUMN('1.2 Ohjaus-laskentataulu'!AO:AO),FALSE),0)</f>
        <v>197224</v>
      </c>
      <c r="AB70" s="177">
        <f>Vertailu[[#This Row],[Perusrahoitus 2024, €]]-Vertailu[[#This Row],[Perusrahoitus 2023, €]]</f>
        <v>9443</v>
      </c>
      <c r="AC70" s="179">
        <f>IFERROR(Vertailu[[#This Row],[Perusrahoituksen muutos, €]]/Vertailu[[#This Row],[Perusrahoitus 2023, €]],0)</f>
        <v>5.0287302762260296E-2</v>
      </c>
      <c r="AD70" s="177">
        <f>IFERROR(VLOOKUP(Vertailu[[#This Row],[Y-tunnus]],'Suoritepäätös 2023 oikaistu'!$O:$Y,COLUMN('Suoritepäätös 2023 oikaistu'!D:D),FALSE),0)</f>
        <v>49346</v>
      </c>
      <c r="AE70" s="177">
        <f>IFERROR(VLOOKUP(Vertailu[[#This Row],[Y-tunnus]],'1.2 Ohjaus-laskentataulu'!A:AT,COLUMN('1.2 Ohjaus-laskentataulu'!O:O),FALSE),0)</f>
        <v>50374</v>
      </c>
      <c r="AF70" s="177">
        <f>Vertailu[[#This Row],[Suoritusrahoitus 2024, €]]-Vertailu[[#This Row],[Suoritusrahoitus 2023, €]]</f>
        <v>1028</v>
      </c>
      <c r="AG70" s="179">
        <f>IFERROR(Vertailu[[#This Row],[Suoritusrahoituksen muutos, €]]/Vertailu[[#This Row],[Suoritusrahoitus 2023, €]],0)</f>
        <v>2.0832488955538443E-2</v>
      </c>
      <c r="AH70" s="177">
        <f>IFERROR(VLOOKUP(Vertailu[[#This Row],[Y-tunnus]],'Suoritepäätös 2023 oikaistu'!$AB:$AL,COLUMN('Suoritepäätös 2023 oikaistu'!I:I),FALSE),0)</f>
        <v>31636</v>
      </c>
      <c r="AI7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32494</v>
      </c>
      <c r="AJ70" s="177">
        <f>Vertailu[[#This Row],[Vaikuttavuusrahoitus 2024, €]]-Vertailu[[#This Row],[Vaikuttavuusrahoitus 2023, €]]</f>
        <v>858</v>
      </c>
      <c r="AK70" s="179">
        <f>IFERROR(Vertailu[[#This Row],[Vaikuttavuusrahoituksen muutos, €]]/Vertailu[[#This Row],[Vaikuttavuusrahoitus 2023, €]],0)</f>
        <v>2.7121001390820583E-2</v>
      </c>
    </row>
    <row r="71" spans="1:37" s="1" customFormat="1" ht="12.75" customHeight="1" x14ac:dyDescent="0.25">
      <c r="A71" s="3" t="s">
        <v>298</v>
      </c>
      <c r="B71" s="151" t="s">
        <v>65</v>
      </c>
      <c r="C71" s="151" t="s">
        <v>173</v>
      </c>
      <c r="D71" s="7" t="s">
        <v>325</v>
      </c>
      <c r="E7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0.53783036769781534</v>
      </c>
      <c r="F7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0.53783036769781534</v>
      </c>
      <c r="G7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0.24534893144896472</v>
      </c>
      <c r="H7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0.21682070085321992</v>
      </c>
      <c r="I7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0.14672420008887124</v>
      </c>
      <c r="J7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9.0352438789227021E-3</v>
      </c>
      <c r="K7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2.9025686027371229E-2</v>
      </c>
      <c r="L7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2.9201751713845751E-2</v>
      </c>
      <c r="M7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2.8338191442089759E-3</v>
      </c>
      <c r="N7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334503</v>
      </c>
      <c r="O71" s="177">
        <f>IFERROR(VLOOKUP(Vertailu[[#This Row],[Y-tunnus]],'1.2 Ohjaus-laskentataulu'!A:AT,COLUMN('1.2 Ohjaus-laskentataulu'!AF:AF),FALSE),0)</f>
        <v>357821</v>
      </c>
      <c r="P71" s="177">
        <f>IFERROR(Vertailu[[#This Row],[Rahoitus pl. hark. kor. 2024 ilman alv, €]]-Vertailu[[#This Row],[Rahoitus pl. hark. kor. 2023 ilman alv, €]],0)</f>
        <v>23318</v>
      </c>
      <c r="Q71" s="179">
        <f>IFERROR(Vertailu[[#This Row],[Muutos, € 1]]/Vertailu[[#This Row],[Rahoitus pl. hark. kor. 2023 ilman alv, €]],0)</f>
        <v>6.9709389751362469E-2</v>
      </c>
      <c r="R71" s="182">
        <f>IFERROR(VLOOKUP(Vertailu[[#This Row],[Y-tunnus]],'Suoritepäätös 2023 oikaistu'!$AB:$AL,COLUMN('Suoritepäätös 2023 oikaistu'!J:J),FALSE),0)</f>
        <v>334503</v>
      </c>
      <c r="S71" s="183">
        <f>IFERROR(VLOOKUP(Vertailu[[#This Row],[Y-tunnus]],'1.2 Ohjaus-laskentataulu'!A:AT,COLUMN('1.2 Ohjaus-laskentataulu'!AR:AR),FALSE),0)</f>
        <v>357821</v>
      </c>
      <c r="T71" s="177">
        <f>IFERROR(Vertailu[[#This Row],[Rahoitus ml. hark. kor. 
2024 ilman alv, €]]-Vertailu[[#This Row],[Rahoitus ml. hark. kor. 
2023 ilman alv, €]],0)</f>
        <v>23318</v>
      </c>
      <c r="U71" s="181">
        <f>IFERROR(Vertailu[[#This Row],[Muutos, € 2]]/Vertailu[[#This Row],[Rahoitus ml. hark. kor. 
2023 ilman alv, €]],0)</f>
        <v>6.9709389751362469E-2</v>
      </c>
      <c r="V7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349867</v>
      </c>
      <c r="W71" s="182">
        <f>IFERROR(VLOOKUP(Vertailu[[#This Row],[Y-tunnus]],'1.2 Ohjaus-laskentataulu'!A:AT,COLUMN('1.2 Ohjaus-laskentataulu'!AT:AT),FALSE),0)</f>
        <v>373185</v>
      </c>
      <c r="X71" s="184">
        <f>IFERROR(Vertailu[[#This Row],[Rahoitus ml. hark. kor. + alv 2024, €]]-Vertailu[[#This Row],[Rahoitus ml. hark. kor. + alv 2023, €]],0)</f>
        <v>23318</v>
      </c>
      <c r="Y71" s="179">
        <f>IFERROR(Vertailu[[#This Row],[Muutos, € 3]]/Vertailu[[#This Row],[Rahoitus ml. hark. kor. + alv 2023, €]],0)</f>
        <v>6.6648183452569121E-2</v>
      </c>
      <c r="Z71" s="177">
        <f>IFERROR(VLOOKUP(Vertailu[[#This Row],[Y-tunnus]],'Suoritepäätös 2023 oikaistu'!$B:$N,COLUMN('Suoritepäätös 2023 oikaistu'!H:H),FALSE),0)</f>
        <v>194929</v>
      </c>
      <c r="AA71" s="177">
        <f>IFERROR(VLOOKUP(Vertailu[[#This Row],[Y-tunnus]],'1.2 Ohjaus-laskentataulu'!A:AT,COLUMN('1.2 Ohjaus-laskentataulu'!AO:AO),FALSE),0)</f>
        <v>192447</v>
      </c>
      <c r="AB71" s="177">
        <f>Vertailu[[#This Row],[Perusrahoitus 2024, €]]-Vertailu[[#This Row],[Perusrahoitus 2023, €]]</f>
        <v>-2482</v>
      </c>
      <c r="AC71" s="179">
        <f>IFERROR(Vertailu[[#This Row],[Perusrahoituksen muutos, €]]/Vertailu[[#This Row],[Perusrahoitus 2023, €]],0)</f>
        <v>-1.273284118833011E-2</v>
      </c>
      <c r="AD71" s="177">
        <f>IFERROR(VLOOKUP(Vertailu[[#This Row],[Y-tunnus]],'Suoritepäätös 2023 oikaistu'!$O:$Y,COLUMN('Suoritepäätös 2023 oikaistu'!D:D),FALSE),0)</f>
        <v>74849</v>
      </c>
      <c r="AE71" s="177">
        <f>IFERROR(VLOOKUP(Vertailu[[#This Row],[Y-tunnus]],'1.2 Ohjaus-laskentataulu'!A:AT,COLUMN('1.2 Ohjaus-laskentataulu'!O:O),FALSE),0)</f>
        <v>87791</v>
      </c>
      <c r="AF71" s="177">
        <f>Vertailu[[#This Row],[Suoritusrahoitus 2024, €]]-Vertailu[[#This Row],[Suoritusrahoitus 2023, €]]</f>
        <v>12942</v>
      </c>
      <c r="AG71" s="179">
        <f>IFERROR(Vertailu[[#This Row],[Suoritusrahoituksen muutos, €]]/Vertailu[[#This Row],[Suoritusrahoitus 2023, €]],0)</f>
        <v>0.17290812168499245</v>
      </c>
      <c r="AH71" s="177">
        <f>IFERROR(VLOOKUP(Vertailu[[#This Row],[Y-tunnus]],'Suoritepäätös 2023 oikaistu'!$AB:$AL,COLUMN('Suoritepäätös 2023 oikaistu'!I:I),FALSE),0)</f>
        <v>64725</v>
      </c>
      <c r="AI7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77583</v>
      </c>
      <c r="AJ71" s="177">
        <f>Vertailu[[#This Row],[Vaikuttavuusrahoitus 2024, €]]-Vertailu[[#This Row],[Vaikuttavuusrahoitus 2023, €]]</f>
        <v>12858</v>
      </c>
      <c r="AK71" s="179">
        <f>IFERROR(Vertailu[[#This Row],[Vaikuttavuusrahoituksen muutos, €]]/Vertailu[[#This Row],[Vaikuttavuusrahoitus 2023, €]],0)</f>
        <v>0.1986558516801854</v>
      </c>
    </row>
    <row r="72" spans="1:37" s="1" customFormat="1" ht="12.75" customHeight="1" x14ac:dyDescent="0.25">
      <c r="A72" s="3" t="s">
        <v>258</v>
      </c>
      <c r="B72" s="151" t="s">
        <v>66</v>
      </c>
      <c r="C72" s="151" t="s">
        <v>185</v>
      </c>
      <c r="D72" s="7" t="s">
        <v>325</v>
      </c>
      <c r="E7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0.57083568877797231</v>
      </c>
      <c r="F7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0.57083568877797231</v>
      </c>
      <c r="G7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0.21152122657768832</v>
      </c>
      <c r="H7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0.21764308464433935</v>
      </c>
      <c r="I7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0.15636475611381509</v>
      </c>
      <c r="J7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9.9089534472219538E-3</v>
      </c>
      <c r="K7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2.0488921367214967E-2</v>
      </c>
      <c r="L7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2.3669346128568212E-2</v>
      </c>
      <c r="M7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7.211107587519131E-3</v>
      </c>
      <c r="N7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196567</v>
      </c>
      <c r="O72" s="177">
        <f>IFERROR(VLOOKUP(Vertailu[[#This Row],[Y-tunnus]],'1.2 Ohjaus-laskentataulu'!A:AT,COLUMN('1.2 Ohjaus-laskentataulu'!AF:AF),FALSE),0)</f>
        <v>217581</v>
      </c>
      <c r="P72" s="177">
        <f>IFERROR(Vertailu[[#This Row],[Rahoitus pl. hark. kor. 2024 ilman alv, €]]-Vertailu[[#This Row],[Rahoitus pl. hark. kor. 2023 ilman alv, €]],0)</f>
        <v>21014</v>
      </c>
      <c r="Q72" s="179">
        <f>IFERROR(Vertailu[[#This Row],[Muutos, € 1]]/Vertailu[[#This Row],[Rahoitus pl. hark. kor. 2023 ilman alv, €]],0)</f>
        <v>0.10690502474983085</v>
      </c>
      <c r="R72" s="182">
        <f>IFERROR(VLOOKUP(Vertailu[[#This Row],[Y-tunnus]],'Suoritepäätös 2023 oikaistu'!$AB:$AL,COLUMN('Suoritepäätös 2023 oikaistu'!J:J),FALSE),0)</f>
        <v>196567</v>
      </c>
      <c r="S72" s="183">
        <f>IFERROR(VLOOKUP(Vertailu[[#This Row],[Y-tunnus]],'1.2 Ohjaus-laskentataulu'!A:AT,COLUMN('1.2 Ohjaus-laskentataulu'!AR:AR),FALSE),0)</f>
        <v>217581</v>
      </c>
      <c r="T72" s="177">
        <f>IFERROR(Vertailu[[#This Row],[Rahoitus ml. hark. kor. 
2024 ilman alv, €]]-Vertailu[[#This Row],[Rahoitus ml. hark. kor. 
2023 ilman alv, €]],0)</f>
        <v>21014</v>
      </c>
      <c r="U72" s="181">
        <f>IFERROR(Vertailu[[#This Row],[Muutos, € 2]]/Vertailu[[#This Row],[Rahoitus ml. hark. kor. 
2023 ilman alv, €]],0)</f>
        <v>0.10690502474983085</v>
      </c>
      <c r="V7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205018</v>
      </c>
      <c r="W72" s="182">
        <f>IFERROR(VLOOKUP(Vertailu[[#This Row],[Y-tunnus]],'1.2 Ohjaus-laskentataulu'!A:AT,COLUMN('1.2 Ohjaus-laskentataulu'!AT:AT),FALSE),0)</f>
        <v>222187</v>
      </c>
      <c r="X72" s="184">
        <f>IFERROR(Vertailu[[#This Row],[Rahoitus ml. hark. kor. + alv 2024, €]]-Vertailu[[#This Row],[Rahoitus ml. hark. kor. + alv 2023, €]],0)</f>
        <v>17169</v>
      </c>
      <c r="Y72" s="179">
        <f>IFERROR(Vertailu[[#This Row],[Muutos, € 3]]/Vertailu[[#This Row],[Rahoitus ml. hark. kor. + alv 2023, €]],0)</f>
        <v>8.3743866392219216E-2</v>
      </c>
      <c r="Z72" s="177">
        <f>IFERROR(VLOOKUP(Vertailu[[#This Row],[Y-tunnus]],'Suoritepäätös 2023 oikaistu'!$B:$N,COLUMN('Suoritepäätös 2023 oikaistu'!H:H),FALSE),0)</f>
        <v>113059</v>
      </c>
      <c r="AA72" s="177">
        <f>IFERROR(VLOOKUP(Vertailu[[#This Row],[Y-tunnus]],'1.2 Ohjaus-laskentataulu'!A:AT,COLUMN('1.2 Ohjaus-laskentataulu'!AO:AO),FALSE),0)</f>
        <v>124203</v>
      </c>
      <c r="AB72" s="177">
        <f>Vertailu[[#This Row],[Perusrahoitus 2024, €]]-Vertailu[[#This Row],[Perusrahoitus 2023, €]]</f>
        <v>11144</v>
      </c>
      <c r="AC72" s="179">
        <f>IFERROR(Vertailu[[#This Row],[Perusrahoituksen muutos, €]]/Vertailu[[#This Row],[Perusrahoitus 2023, €]],0)</f>
        <v>9.8568004316330407E-2</v>
      </c>
      <c r="AD72" s="177">
        <f>IFERROR(VLOOKUP(Vertailu[[#This Row],[Y-tunnus]],'Suoritepäätös 2023 oikaistu'!$O:$Y,COLUMN('Suoritepäätös 2023 oikaistu'!D:D),FALSE),0)</f>
        <v>43245</v>
      </c>
      <c r="AE72" s="177">
        <f>IFERROR(VLOOKUP(Vertailu[[#This Row],[Y-tunnus]],'1.2 Ohjaus-laskentataulu'!A:AT,COLUMN('1.2 Ohjaus-laskentataulu'!O:O),FALSE),0)</f>
        <v>46023</v>
      </c>
      <c r="AF72" s="177">
        <f>Vertailu[[#This Row],[Suoritusrahoitus 2024, €]]-Vertailu[[#This Row],[Suoritusrahoitus 2023, €]]</f>
        <v>2778</v>
      </c>
      <c r="AG72" s="179">
        <f>IFERROR(Vertailu[[#This Row],[Suoritusrahoituksen muutos, €]]/Vertailu[[#This Row],[Suoritusrahoitus 2023, €]],0)</f>
        <v>6.4238640305237599E-2</v>
      </c>
      <c r="AH72" s="177">
        <f>IFERROR(VLOOKUP(Vertailu[[#This Row],[Y-tunnus]],'Suoritepäätös 2023 oikaistu'!$AB:$AL,COLUMN('Suoritepäätös 2023 oikaistu'!I:I),FALSE),0)</f>
        <v>40263</v>
      </c>
      <c r="AI7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47355</v>
      </c>
      <c r="AJ72" s="177">
        <f>Vertailu[[#This Row],[Vaikuttavuusrahoitus 2024, €]]-Vertailu[[#This Row],[Vaikuttavuusrahoitus 2023, €]]</f>
        <v>7092</v>
      </c>
      <c r="AK72" s="179">
        <f>IFERROR(Vertailu[[#This Row],[Vaikuttavuusrahoituksen muutos, €]]/Vertailu[[#This Row],[Vaikuttavuusrahoitus 2023, €]],0)</f>
        <v>0.17614186722300873</v>
      </c>
    </row>
    <row r="73" spans="1:37" s="1" customFormat="1" ht="12.75" customHeight="1" x14ac:dyDescent="0.25">
      <c r="A73" s="3" t="s">
        <v>257</v>
      </c>
      <c r="B73" s="151" t="s">
        <v>67</v>
      </c>
      <c r="C73" s="151" t="s">
        <v>185</v>
      </c>
      <c r="D73" s="7" t="s">
        <v>325</v>
      </c>
      <c r="E7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0.67832406933925582</v>
      </c>
      <c r="F7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0.67832406933925582</v>
      </c>
      <c r="G7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0.2479069021546729</v>
      </c>
      <c r="H7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7.3769028506071269E-2</v>
      </c>
      <c r="I7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3.6837614337455485E-2</v>
      </c>
      <c r="J7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3.1256524383417401E-3</v>
      </c>
      <c r="K7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1.3050279735302928E-2</v>
      </c>
      <c r="L7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1.7057953166652044E-2</v>
      </c>
      <c r="M7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3.6975288283190768E-3</v>
      </c>
      <c r="N7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598485</v>
      </c>
      <c r="O73" s="177">
        <f>IFERROR(VLOOKUP(Vertailu[[#This Row],[Y-tunnus]],'1.2 Ohjaus-laskentataulu'!A:AT,COLUMN('1.2 Ohjaus-laskentataulu'!AF:AF),FALSE),0)</f>
        <v>660982</v>
      </c>
      <c r="P73" s="177">
        <f>IFERROR(Vertailu[[#This Row],[Rahoitus pl. hark. kor. 2024 ilman alv, €]]-Vertailu[[#This Row],[Rahoitus pl. hark. kor. 2023 ilman alv, €]],0)</f>
        <v>62497</v>
      </c>
      <c r="Q73" s="179">
        <f>IFERROR(Vertailu[[#This Row],[Muutos, € 1]]/Vertailu[[#This Row],[Rahoitus pl. hark. kor. 2023 ilman alv, €]],0)</f>
        <v>0.1044253406518125</v>
      </c>
      <c r="R73" s="182">
        <f>IFERROR(VLOOKUP(Vertailu[[#This Row],[Y-tunnus]],'Suoritepäätös 2023 oikaistu'!$AB:$AL,COLUMN('Suoritepäätös 2023 oikaistu'!J:J),FALSE),0)</f>
        <v>598485</v>
      </c>
      <c r="S73" s="183">
        <f>IFERROR(VLOOKUP(Vertailu[[#This Row],[Y-tunnus]],'1.2 Ohjaus-laskentataulu'!A:AT,COLUMN('1.2 Ohjaus-laskentataulu'!AR:AR),FALSE),0)</f>
        <v>660982</v>
      </c>
      <c r="T73" s="177">
        <f>IFERROR(Vertailu[[#This Row],[Rahoitus ml. hark. kor. 
2024 ilman alv, €]]-Vertailu[[#This Row],[Rahoitus ml. hark. kor. 
2023 ilman alv, €]],0)</f>
        <v>62497</v>
      </c>
      <c r="U73" s="181">
        <f>IFERROR(Vertailu[[#This Row],[Muutos, € 2]]/Vertailu[[#This Row],[Rahoitus ml. hark. kor. 
2023 ilman alv, €]],0)</f>
        <v>0.1044253406518125</v>
      </c>
      <c r="V7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615029</v>
      </c>
      <c r="W73" s="182">
        <f>IFERROR(VLOOKUP(Vertailu[[#This Row],[Y-tunnus]],'1.2 Ohjaus-laskentataulu'!A:AT,COLUMN('1.2 Ohjaus-laskentataulu'!AT:AT),FALSE),0)</f>
        <v>676708</v>
      </c>
      <c r="X73" s="184">
        <f>IFERROR(Vertailu[[#This Row],[Rahoitus ml. hark. kor. + alv 2024, €]]-Vertailu[[#This Row],[Rahoitus ml. hark. kor. + alv 2023, €]],0)</f>
        <v>61679</v>
      </c>
      <c r="Y73" s="179">
        <f>IFERROR(Vertailu[[#This Row],[Muutos, € 3]]/Vertailu[[#This Row],[Rahoitus ml. hark. kor. + alv 2023, €]],0)</f>
        <v>0.10028632796177091</v>
      </c>
      <c r="Z73" s="177">
        <f>IFERROR(VLOOKUP(Vertailu[[#This Row],[Y-tunnus]],'Suoritepäätös 2023 oikaistu'!$B:$N,COLUMN('Suoritepäätös 2023 oikaistu'!H:H),FALSE),0)</f>
        <v>425594</v>
      </c>
      <c r="AA73" s="177">
        <f>IFERROR(VLOOKUP(Vertailu[[#This Row],[Y-tunnus]],'1.2 Ohjaus-laskentataulu'!A:AT,COLUMN('1.2 Ohjaus-laskentataulu'!AO:AO),FALSE),0)</f>
        <v>448360</v>
      </c>
      <c r="AB73" s="177">
        <f>Vertailu[[#This Row],[Perusrahoitus 2024, €]]-Vertailu[[#This Row],[Perusrahoitus 2023, €]]</f>
        <v>22766</v>
      </c>
      <c r="AC73" s="179">
        <f>IFERROR(Vertailu[[#This Row],[Perusrahoituksen muutos, €]]/Vertailu[[#This Row],[Perusrahoitus 2023, €]],0)</f>
        <v>5.3492295474090332E-2</v>
      </c>
      <c r="AD73" s="177">
        <f>IFERROR(VLOOKUP(Vertailu[[#This Row],[Y-tunnus]],'Suoritepäätös 2023 oikaistu'!$O:$Y,COLUMN('Suoritepäätös 2023 oikaistu'!D:D),FALSE),0)</f>
        <v>134732</v>
      </c>
      <c r="AE73" s="177">
        <f>IFERROR(VLOOKUP(Vertailu[[#This Row],[Y-tunnus]],'1.2 Ohjaus-laskentataulu'!A:AT,COLUMN('1.2 Ohjaus-laskentataulu'!O:O),FALSE),0)</f>
        <v>163862</v>
      </c>
      <c r="AF73" s="177">
        <f>Vertailu[[#This Row],[Suoritusrahoitus 2024, €]]-Vertailu[[#This Row],[Suoritusrahoitus 2023, €]]</f>
        <v>29130</v>
      </c>
      <c r="AG73" s="179">
        <f>IFERROR(Vertailu[[#This Row],[Suoritusrahoituksen muutos, €]]/Vertailu[[#This Row],[Suoritusrahoitus 2023, €]],0)</f>
        <v>0.21620698868865601</v>
      </c>
      <c r="AH73" s="177">
        <f>IFERROR(VLOOKUP(Vertailu[[#This Row],[Y-tunnus]],'Suoritepäätös 2023 oikaistu'!$AB:$AL,COLUMN('Suoritepäätös 2023 oikaistu'!I:I),FALSE),0)</f>
        <v>38159</v>
      </c>
      <c r="AI7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48760</v>
      </c>
      <c r="AJ73" s="177">
        <f>Vertailu[[#This Row],[Vaikuttavuusrahoitus 2024, €]]-Vertailu[[#This Row],[Vaikuttavuusrahoitus 2023, €]]</f>
        <v>10601</v>
      </c>
      <c r="AK73" s="179">
        <f>IFERROR(Vertailu[[#This Row],[Vaikuttavuusrahoituksen muutos, €]]/Vertailu[[#This Row],[Vaikuttavuusrahoitus 2023, €]],0)</f>
        <v>0.27781126339788781</v>
      </c>
    </row>
    <row r="74" spans="1:37" s="1" customFormat="1" ht="12.75" customHeight="1" x14ac:dyDescent="0.25">
      <c r="A74" s="3" t="s">
        <v>295</v>
      </c>
      <c r="B74" s="151" t="s">
        <v>469</v>
      </c>
      <c r="C74" s="151" t="s">
        <v>173</v>
      </c>
      <c r="D74" s="7" t="s">
        <v>325</v>
      </c>
      <c r="E7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0.86684944970880873</v>
      </c>
      <c r="F7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0.86706516101375786</v>
      </c>
      <c r="G7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0.12054929647515222</v>
      </c>
      <c r="H7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1.2385542511089901E-2</v>
      </c>
      <c r="I7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8.757433727035675E-3</v>
      </c>
      <c r="J7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5.8311682467653957E-4</v>
      </c>
      <c r="K7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1.3066070468534996E-3</v>
      </c>
      <c r="L7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1.3632821843966927E-3</v>
      </c>
      <c r="M7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3.7510272812749421E-4</v>
      </c>
      <c r="N7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37237588</v>
      </c>
      <c r="O74" s="177">
        <f>IFERROR(VLOOKUP(Vertailu[[#This Row],[Y-tunnus]],'1.2 Ohjaus-laskentataulu'!A:AT,COLUMN('1.2 Ohjaus-laskentataulu'!AF:AF),FALSE),0)</f>
        <v>42213992</v>
      </c>
      <c r="P74" s="177">
        <f>IFERROR(Vertailu[[#This Row],[Rahoitus pl. hark. kor. 2024 ilman alv, €]]-Vertailu[[#This Row],[Rahoitus pl. hark. kor. 2023 ilman alv, €]],0)</f>
        <v>4976404</v>
      </c>
      <c r="Q74" s="179">
        <f>IFERROR(Vertailu[[#This Row],[Muutos, € 1]]/Vertailu[[#This Row],[Rahoitus pl. hark. kor. 2023 ilman alv, €]],0)</f>
        <v>0.13363926793539904</v>
      </c>
      <c r="R74" s="182">
        <f>IFERROR(VLOOKUP(Vertailu[[#This Row],[Y-tunnus]],'Suoritepäätös 2023 oikaistu'!$AB:$AL,COLUMN('Suoritepäätös 2023 oikaistu'!J:J),FALSE),0)</f>
        <v>37250588</v>
      </c>
      <c r="S74" s="183">
        <f>IFERROR(VLOOKUP(Vertailu[[#This Row],[Y-tunnus]],'1.2 Ohjaus-laskentataulu'!A:AT,COLUMN('1.2 Ohjaus-laskentataulu'!AR:AR),FALSE),0)</f>
        <v>42223100</v>
      </c>
      <c r="T74" s="177">
        <f>IFERROR(Vertailu[[#This Row],[Rahoitus ml. hark. kor. 
2024 ilman alv, €]]-Vertailu[[#This Row],[Rahoitus ml. hark. kor. 
2023 ilman alv, €]],0)</f>
        <v>4972512</v>
      </c>
      <c r="U74" s="181">
        <f>IFERROR(Vertailu[[#This Row],[Muutos, € 2]]/Vertailu[[#This Row],[Rahoitus ml. hark. kor. 
2023 ilman alv, €]],0)</f>
        <v>0.13348814789178629</v>
      </c>
      <c r="V7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38272183</v>
      </c>
      <c r="W74" s="182">
        <f>IFERROR(VLOOKUP(Vertailu[[#This Row],[Y-tunnus]],'1.2 Ohjaus-laskentataulu'!A:AT,COLUMN('1.2 Ohjaus-laskentataulu'!AT:AT),FALSE),0)</f>
        <v>43464661</v>
      </c>
      <c r="X74" s="184">
        <f>IFERROR(Vertailu[[#This Row],[Rahoitus ml. hark. kor. + alv 2024, €]]-Vertailu[[#This Row],[Rahoitus ml. hark. kor. + alv 2023, €]],0)</f>
        <v>5192478</v>
      </c>
      <c r="Y74" s="179">
        <f>IFERROR(Vertailu[[#This Row],[Muutos, € 3]]/Vertailu[[#This Row],[Rahoitus ml. hark. kor. + alv 2023, €]],0)</f>
        <v>0.13567237593946496</v>
      </c>
      <c r="Z74" s="177">
        <f>IFERROR(VLOOKUP(Vertailu[[#This Row],[Y-tunnus]],'Suoritepäätös 2023 oikaistu'!$B:$N,COLUMN('Suoritepäätös 2023 oikaistu'!H:H),FALSE),0)</f>
        <v>31632353</v>
      </c>
      <c r="AA74" s="177">
        <f>IFERROR(VLOOKUP(Vertailu[[#This Row],[Y-tunnus]],'1.2 Ohjaus-laskentataulu'!A:AT,COLUMN('1.2 Ohjaus-laskentataulu'!AO:AO),FALSE),0)</f>
        <v>36610179</v>
      </c>
      <c r="AB74" s="177">
        <f>Vertailu[[#This Row],[Perusrahoitus 2024, €]]-Vertailu[[#This Row],[Perusrahoitus 2023, €]]</f>
        <v>4977826</v>
      </c>
      <c r="AC74" s="179">
        <f>IFERROR(Vertailu[[#This Row],[Perusrahoituksen muutos, €]]/Vertailu[[#This Row],[Perusrahoitus 2023, €]],0)</f>
        <v>0.15736502434706642</v>
      </c>
      <c r="AD74" s="177">
        <f>IFERROR(VLOOKUP(Vertailu[[#This Row],[Y-tunnus]],'Suoritepäätös 2023 oikaistu'!$O:$Y,COLUMN('Suoritepäätös 2023 oikaistu'!D:D),FALSE),0)</f>
        <v>5090400</v>
      </c>
      <c r="AE74" s="177">
        <f>IFERROR(VLOOKUP(Vertailu[[#This Row],[Y-tunnus]],'1.2 Ohjaus-laskentataulu'!A:AT,COLUMN('1.2 Ohjaus-laskentataulu'!O:O),FALSE),0)</f>
        <v>5089965</v>
      </c>
      <c r="AF74" s="177">
        <f>Vertailu[[#This Row],[Suoritusrahoitus 2024, €]]-Vertailu[[#This Row],[Suoritusrahoitus 2023, €]]</f>
        <v>-435</v>
      </c>
      <c r="AG74" s="179">
        <f>IFERROR(Vertailu[[#This Row],[Suoritusrahoituksen muutos, €]]/Vertailu[[#This Row],[Suoritusrahoitus 2023, €]],0)</f>
        <v>-8.545497406883545E-5</v>
      </c>
      <c r="AH74" s="177">
        <f>IFERROR(VLOOKUP(Vertailu[[#This Row],[Y-tunnus]],'Suoritepäätös 2023 oikaistu'!$AB:$AL,COLUMN('Suoritepäätös 2023 oikaistu'!I:I),FALSE),0)</f>
        <v>527835</v>
      </c>
      <c r="AI7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522956</v>
      </c>
      <c r="AJ74" s="177">
        <f>Vertailu[[#This Row],[Vaikuttavuusrahoitus 2024, €]]-Vertailu[[#This Row],[Vaikuttavuusrahoitus 2023, €]]</f>
        <v>-4879</v>
      </c>
      <c r="AK74" s="179">
        <f>IFERROR(Vertailu[[#This Row],[Vaikuttavuusrahoituksen muutos, €]]/Vertailu[[#This Row],[Vaikuttavuusrahoitus 2023, €]],0)</f>
        <v>-9.2434188714276243E-3</v>
      </c>
    </row>
    <row r="75" spans="1:37" s="1" customFormat="1" ht="12.75" customHeight="1" x14ac:dyDescent="0.25">
      <c r="A75" s="3" t="s">
        <v>256</v>
      </c>
      <c r="B75" s="151" t="s">
        <v>68</v>
      </c>
      <c r="C75" s="151" t="s">
        <v>255</v>
      </c>
      <c r="D75" s="7" t="s">
        <v>324</v>
      </c>
      <c r="E7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0.66856886972965013</v>
      </c>
      <c r="F7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0.68494821385150151</v>
      </c>
      <c r="G7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0.20468871593332244</v>
      </c>
      <c r="H7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0.11036307021517604</v>
      </c>
      <c r="I7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6.9797535155720916E-2</v>
      </c>
      <c r="J7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4.7259015268545585E-3</v>
      </c>
      <c r="K7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1.3246670649369937E-2</v>
      </c>
      <c r="L7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1.7533579662209826E-2</v>
      </c>
      <c r="M7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5.0593832210208073E-3</v>
      </c>
      <c r="N7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12958517</v>
      </c>
      <c r="O75" s="177">
        <f>IFERROR(VLOOKUP(Vertailu[[#This Row],[Y-tunnus]],'1.2 Ohjaus-laskentataulu'!A:AT,COLUMN('1.2 Ohjaus-laskentataulu'!AF:AF),FALSE),0)</f>
        <v>13405701</v>
      </c>
      <c r="P75" s="177">
        <f>IFERROR(Vertailu[[#This Row],[Rahoitus pl. hark. kor. 2024 ilman alv, €]]-Vertailu[[#This Row],[Rahoitus pl. hark. kor. 2023 ilman alv, €]],0)</f>
        <v>447184</v>
      </c>
      <c r="Q75" s="179">
        <f>IFERROR(Vertailu[[#This Row],[Muutos, € 1]]/Vertailu[[#This Row],[Rahoitus pl. hark. kor. 2023 ilman alv, €]],0)</f>
        <v>3.4508887089471738E-2</v>
      </c>
      <c r="R75" s="182">
        <f>IFERROR(VLOOKUP(Vertailu[[#This Row],[Y-tunnus]],'Suoritepäätös 2023 oikaistu'!$AB:$AL,COLUMN('Suoritepäätös 2023 oikaistu'!J:J),FALSE),0)</f>
        <v>13202517</v>
      </c>
      <c r="S75" s="183">
        <f>IFERROR(VLOOKUP(Vertailu[[#This Row],[Y-tunnus]],'1.2 Ohjaus-laskentataulu'!A:AT,COLUMN('1.2 Ohjaus-laskentataulu'!AR:AR),FALSE),0)</f>
        <v>13628934</v>
      </c>
      <c r="T75" s="177">
        <f>IFERROR(Vertailu[[#This Row],[Rahoitus ml. hark. kor. 
2024 ilman alv, €]]-Vertailu[[#This Row],[Rahoitus ml. hark. kor. 
2023 ilman alv, €]],0)</f>
        <v>426417</v>
      </c>
      <c r="U75" s="181">
        <f>IFERROR(Vertailu[[#This Row],[Muutos, € 2]]/Vertailu[[#This Row],[Rahoitus ml. hark. kor. 
2023 ilman alv, €]],0)</f>
        <v>3.2298159510038879E-2</v>
      </c>
      <c r="V7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13202517</v>
      </c>
      <c r="W75" s="182">
        <f>IFERROR(VLOOKUP(Vertailu[[#This Row],[Y-tunnus]],'1.2 Ohjaus-laskentataulu'!A:AT,COLUMN('1.2 Ohjaus-laskentataulu'!AT:AT),FALSE),0)</f>
        <v>13628934</v>
      </c>
      <c r="X75" s="184">
        <f>IFERROR(Vertailu[[#This Row],[Rahoitus ml. hark. kor. + alv 2024, €]]-Vertailu[[#This Row],[Rahoitus ml. hark. kor. + alv 2023, €]],0)</f>
        <v>426417</v>
      </c>
      <c r="Y75" s="179">
        <f>IFERROR(Vertailu[[#This Row],[Muutos, € 3]]/Vertailu[[#This Row],[Rahoitus ml. hark. kor. + alv 2023, €]],0)</f>
        <v>3.2298159510038879E-2</v>
      </c>
      <c r="Z75" s="177">
        <f>IFERROR(VLOOKUP(Vertailu[[#This Row],[Y-tunnus]],'Suoritepäätös 2023 oikaistu'!$B:$N,COLUMN('Suoritepäätös 2023 oikaistu'!H:H),FALSE),0)</f>
        <v>9026179</v>
      </c>
      <c r="AA75" s="177">
        <f>IFERROR(VLOOKUP(Vertailu[[#This Row],[Y-tunnus]],'1.2 Ohjaus-laskentataulu'!A:AT,COLUMN('1.2 Ohjaus-laskentataulu'!AO:AO),FALSE),0)</f>
        <v>9335114</v>
      </c>
      <c r="AB75" s="177">
        <f>Vertailu[[#This Row],[Perusrahoitus 2024, €]]-Vertailu[[#This Row],[Perusrahoitus 2023, €]]</f>
        <v>308935</v>
      </c>
      <c r="AC75" s="179">
        <f>IFERROR(Vertailu[[#This Row],[Perusrahoituksen muutos, €]]/Vertailu[[#This Row],[Perusrahoitus 2023, €]],0)</f>
        <v>3.4226553672378979E-2</v>
      </c>
      <c r="AD75" s="177">
        <f>IFERROR(VLOOKUP(Vertailu[[#This Row],[Y-tunnus]],'Suoritepäätös 2023 oikaistu'!$O:$Y,COLUMN('Suoritepäätös 2023 oikaistu'!D:D),FALSE),0)</f>
        <v>2594368</v>
      </c>
      <c r="AE75" s="177">
        <f>IFERROR(VLOOKUP(Vertailu[[#This Row],[Y-tunnus]],'1.2 Ohjaus-laskentataulu'!A:AT,COLUMN('1.2 Ohjaus-laskentataulu'!O:O),FALSE),0)</f>
        <v>2789689</v>
      </c>
      <c r="AF75" s="177">
        <f>Vertailu[[#This Row],[Suoritusrahoitus 2024, €]]-Vertailu[[#This Row],[Suoritusrahoitus 2023, €]]</f>
        <v>195321</v>
      </c>
      <c r="AG75" s="179">
        <f>IFERROR(Vertailu[[#This Row],[Suoritusrahoituksen muutos, €]]/Vertailu[[#This Row],[Suoritusrahoitus 2023, €]],0)</f>
        <v>7.5286543774822995E-2</v>
      </c>
      <c r="AH75" s="177">
        <f>IFERROR(VLOOKUP(Vertailu[[#This Row],[Y-tunnus]],'Suoritepäätös 2023 oikaistu'!$AB:$AL,COLUMN('Suoritepäätös 2023 oikaistu'!I:I),FALSE),0)</f>
        <v>1581970</v>
      </c>
      <c r="AI7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1504131</v>
      </c>
      <c r="AJ75" s="177">
        <f>Vertailu[[#This Row],[Vaikuttavuusrahoitus 2024, €]]-Vertailu[[#This Row],[Vaikuttavuusrahoitus 2023, €]]</f>
        <v>-77839</v>
      </c>
      <c r="AK75" s="179">
        <f>IFERROR(Vertailu[[#This Row],[Vaikuttavuusrahoituksen muutos, €]]/Vertailu[[#This Row],[Vaikuttavuusrahoitus 2023, €]],0)</f>
        <v>-4.9203840780798626E-2</v>
      </c>
    </row>
    <row r="76" spans="1:37" s="1" customFormat="1" ht="12.75" customHeight="1" x14ac:dyDescent="0.25">
      <c r="A76" s="3" t="s">
        <v>254</v>
      </c>
      <c r="B76" s="151" t="s">
        <v>69</v>
      </c>
      <c r="C76" s="151" t="s">
        <v>186</v>
      </c>
      <c r="D76" s="7" t="s">
        <v>324</v>
      </c>
      <c r="E7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0.64612326356661254</v>
      </c>
      <c r="F7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0.65129382286886683</v>
      </c>
      <c r="G7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0.23148263048713763</v>
      </c>
      <c r="H7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0.11722354664399556</v>
      </c>
      <c r="I7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8.5042940917700399E-2</v>
      </c>
      <c r="J7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3.5423261413778384E-3</v>
      </c>
      <c r="K7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1.2382807628831892E-2</v>
      </c>
      <c r="L7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1.3664099378074644E-2</v>
      </c>
      <c r="M7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2.5913725780107892E-3</v>
      </c>
      <c r="N7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19811982</v>
      </c>
      <c r="O76" s="177">
        <f>IFERROR(VLOOKUP(Vertailu[[#This Row],[Y-tunnus]],'1.2 Ohjaus-laskentataulu'!A:AT,COLUMN('1.2 Ohjaus-laskentataulu'!AF:AF),FALSE),0)</f>
        <v>19593134</v>
      </c>
      <c r="P76" s="177">
        <f>IFERROR(Vertailu[[#This Row],[Rahoitus pl. hark. kor. 2024 ilman alv, €]]-Vertailu[[#This Row],[Rahoitus pl. hark. kor. 2023 ilman alv, €]],0)</f>
        <v>-218848</v>
      </c>
      <c r="Q76" s="179">
        <f>IFERROR(Vertailu[[#This Row],[Muutos, € 1]]/Vertailu[[#This Row],[Rahoitus pl. hark. kor. 2023 ilman alv, €]],0)</f>
        <v>-1.1046244641247907E-2</v>
      </c>
      <c r="R76" s="182">
        <f>IFERROR(VLOOKUP(Vertailu[[#This Row],[Y-tunnus]],'Suoritepäätös 2023 oikaistu'!$AB:$AL,COLUMN('Suoritepäätös 2023 oikaistu'!J:J),FALSE),0)</f>
        <v>19811982</v>
      </c>
      <c r="S76" s="183">
        <f>IFERROR(VLOOKUP(Vertailu[[#This Row],[Y-tunnus]],'1.2 Ohjaus-laskentataulu'!A:AT,COLUMN('1.2 Ohjaus-laskentataulu'!AR:AR),FALSE),0)</f>
        <v>19694968</v>
      </c>
      <c r="T76" s="177">
        <f>IFERROR(Vertailu[[#This Row],[Rahoitus ml. hark. kor. 
2024 ilman alv, €]]-Vertailu[[#This Row],[Rahoitus ml. hark. kor. 
2023 ilman alv, €]],0)</f>
        <v>-117014</v>
      </c>
      <c r="U76" s="181">
        <f>IFERROR(Vertailu[[#This Row],[Muutos, € 2]]/Vertailu[[#This Row],[Rahoitus ml. hark. kor. 
2023 ilman alv, €]],0)</f>
        <v>-5.9062238195047821E-3</v>
      </c>
      <c r="V7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19811982</v>
      </c>
      <c r="W76" s="182">
        <f>IFERROR(VLOOKUP(Vertailu[[#This Row],[Y-tunnus]],'1.2 Ohjaus-laskentataulu'!A:AT,COLUMN('1.2 Ohjaus-laskentataulu'!AT:AT),FALSE),0)</f>
        <v>19694968</v>
      </c>
      <c r="X76" s="184">
        <f>IFERROR(Vertailu[[#This Row],[Rahoitus ml. hark. kor. + alv 2024, €]]-Vertailu[[#This Row],[Rahoitus ml. hark. kor. + alv 2023, €]],0)</f>
        <v>-117014</v>
      </c>
      <c r="Y76" s="179">
        <f>IFERROR(Vertailu[[#This Row],[Muutos, € 3]]/Vertailu[[#This Row],[Rahoitus ml. hark. kor. + alv 2023, €]],0)</f>
        <v>-5.9062238195047821E-3</v>
      </c>
      <c r="Z76" s="177">
        <f>IFERROR(VLOOKUP(Vertailu[[#This Row],[Y-tunnus]],'Suoritepäätös 2023 oikaistu'!$B:$N,COLUMN('Suoritepäätös 2023 oikaistu'!H:H),FALSE),0)</f>
        <v>13002381</v>
      </c>
      <c r="AA76" s="177">
        <f>IFERROR(VLOOKUP(Vertailu[[#This Row],[Y-tunnus]],'1.2 Ohjaus-laskentataulu'!A:AT,COLUMN('1.2 Ohjaus-laskentataulu'!AO:AO),FALSE),0)</f>
        <v>12827211</v>
      </c>
      <c r="AB76" s="177">
        <f>Vertailu[[#This Row],[Perusrahoitus 2024, €]]-Vertailu[[#This Row],[Perusrahoitus 2023, €]]</f>
        <v>-175170</v>
      </c>
      <c r="AC76" s="179">
        <f>IFERROR(Vertailu[[#This Row],[Perusrahoituksen muutos, €]]/Vertailu[[#This Row],[Perusrahoitus 2023, €]],0)</f>
        <v>-1.3472147908909915E-2</v>
      </c>
      <c r="AD76" s="177">
        <f>IFERROR(VLOOKUP(Vertailu[[#This Row],[Y-tunnus]],'Suoritepäätös 2023 oikaistu'!$O:$Y,COLUMN('Suoritepäätös 2023 oikaistu'!D:D),FALSE),0)</f>
        <v>4534797</v>
      </c>
      <c r="AE76" s="177">
        <f>IFERROR(VLOOKUP(Vertailu[[#This Row],[Y-tunnus]],'1.2 Ohjaus-laskentataulu'!A:AT,COLUMN('1.2 Ohjaus-laskentataulu'!O:O),FALSE),0)</f>
        <v>4559043</v>
      </c>
      <c r="AF76" s="177">
        <f>Vertailu[[#This Row],[Suoritusrahoitus 2024, €]]-Vertailu[[#This Row],[Suoritusrahoitus 2023, €]]</f>
        <v>24246</v>
      </c>
      <c r="AG76" s="179">
        <f>IFERROR(Vertailu[[#This Row],[Suoritusrahoituksen muutos, €]]/Vertailu[[#This Row],[Suoritusrahoitus 2023, €]],0)</f>
        <v>5.3466560906695491E-3</v>
      </c>
      <c r="AH76" s="177">
        <f>IFERROR(VLOOKUP(Vertailu[[#This Row],[Y-tunnus]],'Suoritepäätös 2023 oikaistu'!$AB:$AL,COLUMN('Suoritepäätös 2023 oikaistu'!I:I),FALSE),0)</f>
        <v>2274804</v>
      </c>
      <c r="AI7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2308714</v>
      </c>
      <c r="AJ76" s="177">
        <f>Vertailu[[#This Row],[Vaikuttavuusrahoitus 2024, €]]-Vertailu[[#This Row],[Vaikuttavuusrahoitus 2023, €]]</f>
        <v>33910</v>
      </c>
      <c r="AK76" s="179">
        <f>IFERROR(Vertailu[[#This Row],[Vaikuttavuusrahoituksen muutos, €]]/Vertailu[[#This Row],[Vaikuttavuusrahoitus 2023, €]],0)</f>
        <v>1.4906778781820324E-2</v>
      </c>
    </row>
    <row r="77" spans="1:37" s="1" customFormat="1" ht="12.75" customHeight="1" x14ac:dyDescent="0.25">
      <c r="A77" s="3" t="s">
        <v>253</v>
      </c>
      <c r="B77" s="151" t="s">
        <v>70</v>
      </c>
      <c r="C77" s="151" t="s">
        <v>173</v>
      </c>
      <c r="D77" s="7" t="s">
        <v>324</v>
      </c>
      <c r="E7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0.69082059449839894</v>
      </c>
      <c r="F7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0.69181914267821087</v>
      </c>
      <c r="G7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0.19992614875392895</v>
      </c>
      <c r="H7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0.10825470856786017</v>
      </c>
      <c r="I7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8.2300891903234211E-2</v>
      </c>
      <c r="J7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2.9564945642480359E-3</v>
      </c>
      <c r="K7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1.0395816234630449E-2</v>
      </c>
      <c r="L7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1.0886757612139371E-2</v>
      </c>
      <c r="M7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1.7147482536080988E-3</v>
      </c>
      <c r="N7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28949484</v>
      </c>
      <c r="O77" s="177">
        <f>IFERROR(VLOOKUP(Vertailu[[#This Row],[Y-tunnus]],'1.2 Ohjaus-laskentataulu'!A:AT,COLUMN('1.2 Ohjaus-laskentataulu'!AF:AF),FALSE),0)</f>
        <v>29013164</v>
      </c>
      <c r="P77" s="177">
        <f>IFERROR(Vertailu[[#This Row],[Rahoitus pl. hark. kor. 2024 ilman alv, €]]-Vertailu[[#This Row],[Rahoitus pl. hark. kor. 2023 ilman alv, €]],0)</f>
        <v>63680</v>
      </c>
      <c r="Q77" s="179">
        <f>IFERROR(Vertailu[[#This Row],[Muutos, € 1]]/Vertailu[[#This Row],[Rahoitus pl. hark. kor. 2023 ilman alv, €]],0)</f>
        <v>2.1996937838339365E-3</v>
      </c>
      <c r="R77" s="182">
        <f>IFERROR(VLOOKUP(Vertailu[[#This Row],[Y-tunnus]],'Suoritepäätös 2023 oikaistu'!$AB:$AL,COLUMN('Suoritepäätös 2023 oikaistu'!J:J),FALSE),0)</f>
        <v>28979484</v>
      </c>
      <c r="S77" s="183">
        <f>IFERROR(VLOOKUP(Vertailu[[#This Row],[Y-tunnus]],'1.2 Ohjaus-laskentataulu'!A:AT,COLUMN('1.2 Ohjaus-laskentataulu'!AR:AR),FALSE),0)</f>
        <v>29042164</v>
      </c>
      <c r="T77" s="177">
        <f>IFERROR(Vertailu[[#This Row],[Rahoitus ml. hark. kor. 
2024 ilman alv, €]]-Vertailu[[#This Row],[Rahoitus ml. hark. kor. 
2023 ilman alv, €]],0)</f>
        <v>62680</v>
      </c>
      <c r="U77" s="181">
        <f>IFERROR(Vertailu[[#This Row],[Muutos, € 2]]/Vertailu[[#This Row],[Rahoitus ml. hark. kor. 
2023 ilman alv, €]],0)</f>
        <v>2.162909456910965E-3</v>
      </c>
      <c r="V7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28979484</v>
      </c>
      <c r="W77" s="182">
        <f>IFERROR(VLOOKUP(Vertailu[[#This Row],[Y-tunnus]],'1.2 Ohjaus-laskentataulu'!A:AT,COLUMN('1.2 Ohjaus-laskentataulu'!AT:AT),FALSE),0)</f>
        <v>29042164</v>
      </c>
      <c r="X77" s="184">
        <f>IFERROR(Vertailu[[#This Row],[Rahoitus ml. hark. kor. + alv 2024, €]]-Vertailu[[#This Row],[Rahoitus ml. hark. kor. + alv 2023, €]],0)</f>
        <v>62680</v>
      </c>
      <c r="Y77" s="179">
        <f>IFERROR(Vertailu[[#This Row],[Muutos, € 3]]/Vertailu[[#This Row],[Rahoitus ml. hark. kor. + alv 2023, €]],0)</f>
        <v>2.162909456910965E-3</v>
      </c>
      <c r="Z77" s="177">
        <f>IFERROR(VLOOKUP(Vertailu[[#This Row],[Y-tunnus]],'Suoritepäätös 2023 oikaistu'!$B:$N,COLUMN('Suoritepäätös 2023 oikaistu'!H:H),FALSE),0)</f>
        <v>20042010</v>
      </c>
      <c r="AA77" s="177">
        <f>IFERROR(VLOOKUP(Vertailu[[#This Row],[Y-tunnus]],'1.2 Ohjaus-laskentataulu'!A:AT,COLUMN('1.2 Ohjaus-laskentataulu'!AO:AO),FALSE),0)</f>
        <v>20091925</v>
      </c>
      <c r="AB77" s="177">
        <f>Vertailu[[#This Row],[Perusrahoitus 2024, €]]-Vertailu[[#This Row],[Perusrahoitus 2023, €]]</f>
        <v>49915</v>
      </c>
      <c r="AC77" s="179">
        <f>IFERROR(Vertailu[[#This Row],[Perusrahoituksen muutos, €]]/Vertailu[[#This Row],[Perusrahoitus 2023, €]],0)</f>
        <v>2.4905186655430267E-3</v>
      </c>
      <c r="AD77" s="177">
        <f>IFERROR(VLOOKUP(Vertailu[[#This Row],[Y-tunnus]],'Suoritepäätös 2023 oikaistu'!$O:$Y,COLUMN('Suoritepäätös 2023 oikaistu'!D:D),FALSE),0)</f>
        <v>5904133</v>
      </c>
      <c r="AE77" s="177">
        <f>IFERROR(VLOOKUP(Vertailu[[#This Row],[Y-tunnus]],'1.2 Ohjaus-laskentataulu'!A:AT,COLUMN('1.2 Ohjaus-laskentataulu'!O:O),FALSE),0)</f>
        <v>5806288</v>
      </c>
      <c r="AF77" s="177">
        <f>Vertailu[[#This Row],[Suoritusrahoitus 2024, €]]-Vertailu[[#This Row],[Suoritusrahoitus 2023, €]]</f>
        <v>-97845</v>
      </c>
      <c r="AG77" s="179">
        <f>IFERROR(Vertailu[[#This Row],[Suoritusrahoituksen muutos, €]]/Vertailu[[#This Row],[Suoritusrahoitus 2023, €]],0)</f>
        <v>-1.6572289276003776E-2</v>
      </c>
      <c r="AH77" s="177">
        <f>IFERROR(VLOOKUP(Vertailu[[#This Row],[Y-tunnus]],'Suoritepäätös 2023 oikaistu'!$AB:$AL,COLUMN('Suoritepäätös 2023 oikaistu'!I:I),FALSE),0)</f>
        <v>3033341</v>
      </c>
      <c r="AI7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3143951</v>
      </c>
      <c r="AJ77" s="177">
        <f>Vertailu[[#This Row],[Vaikuttavuusrahoitus 2024, €]]-Vertailu[[#This Row],[Vaikuttavuusrahoitus 2023, €]]</f>
        <v>110610</v>
      </c>
      <c r="AK77" s="179">
        <f>IFERROR(Vertailu[[#This Row],[Vaikuttavuusrahoituksen muutos, €]]/Vertailu[[#This Row],[Vaikuttavuusrahoitus 2023, €]],0)</f>
        <v>3.6464743001199007E-2</v>
      </c>
    </row>
    <row r="78" spans="1:37" s="1" customFormat="1" ht="12.75" customHeight="1" x14ac:dyDescent="0.25">
      <c r="A78" s="3" t="s">
        <v>252</v>
      </c>
      <c r="B78" s="151" t="s">
        <v>71</v>
      </c>
      <c r="C78" s="151" t="s">
        <v>214</v>
      </c>
      <c r="D78" s="7" t="s">
        <v>325</v>
      </c>
      <c r="E7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0.66668672485382485</v>
      </c>
      <c r="F7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0.67275507500784926</v>
      </c>
      <c r="G7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0.22079853034166133</v>
      </c>
      <c r="H7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0.10644639465048944</v>
      </c>
      <c r="I7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7.6089381640204734E-2</v>
      </c>
      <c r="J7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4.4035736137886554E-3</v>
      </c>
      <c r="K7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1.3663460887439249E-2</v>
      </c>
      <c r="L7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8.6241195818774173E-3</v>
      </c>
      <c r="M7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3.6658589271793807E-3</v>
      </c>
      <c r="N7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47460070</v>
      </c>
      <c r="O78" s="177">
        <f>IFERROR(VLOOKUP(Vertailu[[#This Row],[Y-tunnus]],'1.2 Ohjaus-laskentataulu'!A:AT,COLUMN('1.2 Ohjaus-laskentataulu'!AF:AF),FALSE),0)</f>
        <v>50014906</v>
      </c>
      <c r="P78" s="177">
        <f>IFERROR(Vertailu[[#This Row],[Rahoitus pl. hark. kor. 2024 ilman alv, €]]-Vertailu[[#This Row],[Rahoitus pl. hark. kor. 2023 ilman alv, €]],0)</f>
        <v>2554836</v>
      </c>
      <c r="Q78" s="179">
        <f>IFERROR(Vertailu[[#This Row],[Muutos, € 1]]/Vertailu[[#This Row],[Rahoitus pl. hark. kor. 2023 ilman alv, €]],0)</f>
        <v>5.3831273320920088E-2</v>
      </c>
      <c r="R78" s="182">
        <f>IFERROR(VLOOKUP(Vertailu[[#This Row],[Y-tunnus]],'Suoritepäätös 2023 oikaistu'!$AB:$AL,COLUMN('Suoritepäätös 2023 oikaistu'!J:J),FALSE),0)</f>
        <v>47483070</v>
      </c>
      <c r="S78" s="183">
        <f>IFERROR(VLOOKUP(Vertailu[[#This Row],[Y-tunnus]],'1.2 Ohjaus-laskentataulu'!A:AT,COLUMN('1.2 Ohjaus-laskentataulu'!AR:AR),FALSE),0)</f>
        <v>50320267</v>
      </c>
      <c r="T78" s="177">
        <f>IFERROR(Vertailu[[#This Row],[Rahoitus ml. hark. kor. 
2024 ilman alv, €]]-Vertailu[[#This Row],[Rahoitus ml. hark. kor. 
2023 ilman alv, €]],0)</f>
        <v>2837197</v>
      </c>
      <c r="U78" s="181">
        <f>IFERROR(Vertailu[[#This Row],[Muutos, € 2]]/Vertailu[[#This Row],[Rahoitus ml. hark. kor. 
2023 ilman alv, €]],0)</f>
        <v>5.9751759943070235E-2</v>
      </c>
      <c r="V7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50837771</v>
      </c>
      <c r="W78" s="182">
        <f>IFERROR(VLOOKUP(Vertailu[[#This Row],[Y-tunnus]],'1.2 Ohjaus-laskentataulu'!A:AT,COLUMN('1.2 Ohjaus-laskentataulu'!AT:AT),FALSE),0)</f>
        <v>54588428</v>
      </c>
      <c r="X78" s="184">
        <f>IFERROR(Vertailu[[#This Row],[Rahoitus ml. hark. kor. + alv 2024, €]]-Vertailu[[#This Row],[Rahoitus ml. hark. kor. + alv 2023, €]],0)</f>
        <v>3750657</v>
      </c>
      <c r="Y78" s="179">
        <f>IFERROR(Vertailu[[#This Row],[Muutos, € 3]]/Vertailu[[#This Row],[Rahoitus ml. hark. kor. + alv 2023, €]],0)</f>
        <v>7.377697578440251E-2</v>
      </c>
      <c r="Z78" s="177">
        <f>IFERROR(VLOOKUP(Vertailu[[#This Row],[Y-tunnus]],'Suoritepäätös 2023 oikaistu'!$B:$N,COLUMN('Suoritepäätös 2023 oikaistu'!H:H),FALSE),0)</f>
        <v>32686520</v>
      </c>
      <c r="AA78" s="177">
        <f>IFERROR(VLOOKUP(Vertailu[[#This Row],[Y-tunnus]],'1.2 Ohjaus-laskentataulu'!A:AT,COLUMN('1.2 Ohjaus-laskentataulu'!AO:AO),FALSE),0)</f>
        <v>33853215</v>
      </c>
      <c r="AB78" s="177">
        <f>Vertailu[[#This Row],[Perusrahoitus 2024, €]]-Vertailu[[#This Row],[Perusrahoitus 2023, €]]</f>
        <v>1166695</v>
      </c>
      <c r="AC78" s="179">
        <f>IFERROR(Vertailu[[#This Row],[Perusrahoituksen muutos, €]]/Vertailu[[#This Row],[Perusrahoitus 2023, €]],0)</f>
        <v>3.5693460178691398E-2</v>
      </c>
      <c r="AD78" s="177">
        <f>IFERROR(VLOOKUP(Vertailu[[#This Row],[Y-tunnus]],'Suoritepäätös 2023 oikaistu'!$O:$Y,COLUMN('Suoritepäätös 2023 oikaistu'!D:D),FALSE),0)</f>
        <v>10390108</v>
      </c>
      <c r="AE78" s="177">
        <f>IFERROR(VLOOKUP(Vertailu[[#This Row],[Y-tunnus]],'1.2 Ohjaus-laskentataulu'!A:AT,COLUMN('1.2 Ohjaus-laskentataulu'!O:O),FALSE),0)</f>
        <v>11110641</v>
      </c>
      <c r="AF78" s="177">
        <f>Vertailu[[#This Row],[Suoritusrahoitus 2024, €]]-Vertailu[[#This Row],[Suoritusrahoitus 2023, €]]</f>
        <v>720533</v>
      </c>
      <c r="AG78" s="179">
        <f>IFERROR(Vertailu[[#This Row],[Suoritusrahoituksen muutos, €]]/Vertailu[[#This Row],[Suoritusrahoitus 2023, €]],0)</f>
        <v>6.9347979828506115E-2</v>
      </c>
      <c r="AH78" s="177">
        <f>IFERROR(VLOOKUP(Vertailu[[#This Row],[Y-tunnus]],'Suoritepäätös 2023 oikaistu'!$AB:$AL,COLUMN('Suoritepäätös 2023 oikaistu'!I:I),FALSE),0)</f>
        <v>4406442</v>
      </c>
      <c r="AI7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5356411</v>
      </c>
      <c r="AJ78" s="177">
        <f>Vertailu[[#This Row],[Vaikuttavuusrahoitus 2024, €]]-Vertailu[[#This Row],[Vaikuttavuusrahoitus 2023, €]]</f>
        <v>949969</v>
      </c>
      <c r="AK78" s="179">
        <f>IFERROR(Vertailu[[#This Row],[Vaikuttavuusrahoituksen muutos, €]]/Vertailu[[#This Row],[Vaikuttavuusrahoitus 2023, €]],0)</f>
        <v>0.21558640735541282</v>
      </c>
    </row>
    <row r="79" spans="1:37" s="1" customFormat="1" ht="12.75" customHeight="1" x14ac:dyDescent="0.25">
      <c r="A79" s="3" t="s">
        <v>250</v>
      </c>
      <c r="B79" s="151" t="s">
        <v>72</v>
      </c>
      <c r="C79" s="151" t="s">
        <v>173</v>
      </c>
      <c r="D79" s="7" t="s">
        <v>325</v>
      </c>
      <c r="E7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0.65875558500595788</v>
      </c>
      <c r="F7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0.66086580264671613</v>
      </c>
      <c r="G7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0.26779488317218053</v>
      </c>
      <c r="H7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7.1339314181103328E-2</v>
      </c>
      <c r="I7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4.524975132857393E-2</v>
      </c>
      <c r="J7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3.598940373220181E-3</v>
      </c>
      <c r="K7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1.3101347747705392E-2</v>
      </c>
      <c r="L7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6.7119246213362283E-3</v>
      </c>
      <c r="M7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2.6773501102675956E-3</v>
      </c>
      <c r="N7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2538845</v>
      </c>
      <c r="O79" s="177">
        <f>IFERROR(VLOOKUP(Vertailu[[#This Row],[Y-tunnus]],'1.2 Ohjaus-laskentataulu'!A:AT,COLUMN('1.2 Ohjaus-laskentataulu'!AF:AF),FALSE),0)</f>
        <v>2716723</v>
      </c>
      <c r="P79" s="177">
        <f>IFERROR(Vertailu[[#This Row],[Rahoitus pl. hark. kor. 2024 ilman alv, €]]-Vertailu[[#This Row],[Rahoitus pl. hark. kor. 2023 ilman alv, €]],0)</f>
        <v>177878</v>
      </c>
      <c r="Q79" s="179">
        <f>IFERROR(Vertailu[[#This Row],[Muutos, € 1]]/Vertailu[[#This Row],[Rahoitus pl. hark. kor. 2023 ilman alv, €]],0)</f>
        <v>7.0062567821194285E-2</v>
      </c>
      <c r="R79" s="182">
        <f>IFERROR(VLOOKUP(Vertailu[[#This Row],[Y-tunnus]],'Suoritepäätös 2023 oikaistu'!$AB:$AL,COLUMN('Suoritepäätös 2023 oikaistu'!J:J),FALSE),0)</f>
        <v>2542845</v>
      </c>
      <c r="S79" s="183">
        <f>IFERROR(VLOOKUP(Vertailu[[#This Row],[Y-tunnus]],'1.2 Ohjaus-laskentataulu'!A:AT,COLUMN('1.2 Ohjaus-laskentataulu'!AR:AR),FALSE),0)</f>
        <v>2722468</v>
      </c>
      <c r="T79" s="177">
        <f>IFERROR(Vertailu[[#This Row],[Rahoitus ml. hark. kor. 
2024 ilman alv, €]]-Vertailu[[#This Row],[Rahoitus ml. hark. kor. 
2023 ilman alv, €]],0)</f>
        <v>179623</v>
      </c>
      <c r="U79" s="181">
        <f>IFERROR(Vertailu[[#This Row],[Muutos, € 2]]/Vertailu[[#This Row],[Rahoitus ml. hark. kor. 
2023 ilman alv, €]],0)</f>
        <v>7.0638595746103289E-2</v>
      </c>
      <c r="V7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2693479</v>
      </c>
      <c r="W79" s="182">
        <f>IFERROR(VLOOKUP(Vertailu[[#This Row],[Y-tunnus]],'1.2 Ohjaus-laskentataulu'!A:AT,COLUMN('1.2 Ohjaus-laskentataulu'!AT:AT),FALSE),0)</f>
        <v>2843124</v>
      </c>
      <c r="X79" s="184">
        <f>IFERROR(Vertailu[[#This Row],[Rahoitus ml. hark. kor. + alv 2024, €]]-Vertailu[[#This Row],[Rahoitus ml. hark. kor. + alv 2023, €]],0)</f>
        <v>149645</v>
      </c>
      <c r="Y79" s="179">
        <f>IFERROR(Vertailu[[#This Row],[Muutos, € 3]]/Vertailu[[#This Row],[Rahoitus ml. hark. kor. + alv 2023, €]],0)</f>
        <v>5.5558257554634734E-2</v>
      </c>
      <c r="Z79" s="177">
        <f>IFERROR(VLOOKUP(Vertailu[[#This Row],[Y-tunnus]],'Suoritepäätös 2023 oikaistu'!$B:$N,COLUMN('Suoritepäätös 2023 oikaistu'!H:H),FALSE),0)</f>
        <v>1592667</v>
      </c>
      <c r="AA79" s="177">
        <f>IFERROR(VLOOKUP(Vertailu[[#This Row],[Y-tunnus]],'1.2 Ohjaus-laskentataulu'!A:AT,COLUMN('1.2 Ohjaus-laskentataulu'!AO:AO),FALSE),0)</f>
        <v>1799186</v>
      </c>
      <c r="AB79" s="177">
        <f>Vertailu[[#This Row],[Perusrahoitus 2024, €]]-Vertailu[[#This Row],[Perusrahoitus 2023, €]]</f>
        <v>206519</v>
      </c>
      <c r="AC79" s="179">
        <f>IFERROR(Vertailu[[#This Row],[Perusrahoituksen muutos, €]]/Vertailu[[#This Row],[Perusrahoitus 2023, €]],0)</f>
        <v>0.12966866268968968</v>
      </c>
      <c r="AD79" s="177">
        <f>IFERROR(VLOOKUP(Vertailu[[#This Row],[Y-tunnus]],'Suoritepäätös 2023 oikaistu'!$O:$Y,COLUMN('Suoritepäätös 2023 oikaistu'!D:D),FALSE),0)</f>
        <v>751560</v>
      </c>
      <c r="AE79" s="177">
        <f>IFERROR(VLOOKUP(Vertailu[[#This Row],[Y-tunnus]],'1.2 Ohjaus-laskentataulu'!A:AT,COLUMN('1.2 Ohjaus-laskentataulu'!O:O),FALSE),0)</f>
        <v>729063</v>
      </c>
      <c r="AF79" s="177">
        <f>Vertailu[[#This Row],[Suoritusrahoitus 2024, €]]-Vertailu[[#This Row],[Suoritusrahoitus 2023, €]]</f>
        <v>-22497</v>
      </c>
      <c r="AG79" s="179">
        <f>IFERROR(Vertailu[[#This Row],[Suoritusrahoituksen muutos, €]]/Vertailu[[#This Row],[Suoritusrahoitus 2023, €]],0)</f>
        <v>-2.9933737825323329E-2</v>
      </c>
      <c r="AH79" s="177">
        <f>IFERROR(VLOOKUP(Vertailu[[#This Row],[Y-tunnus]],'Suoritepäätös 2023 oikaistu'!$AB:$AL,COLUMN('Suoritepäätös 2023 oikaistu'!I:I),FALSE),0)</f>
        <v>198618</v>
      </c>
      <c r="AI7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194219</v>
      </c>
      <c r="AJ79" s="177">
        <f>Vertailu[[#This Row],[Vaikuttavuusrahoitus 2024, €]]-Vertailu[[#This Row],[Vaikuttavuusrahoitus 2023, €]]</f>
        <v>-4399</v>
      </c>
      <c r="AK79" s="179">
        <f>IFERROR(Vertailu[[#This Row],[Vaikuttavuusrahoituksen muutos, €]]/Vertailu[[#This Row],[Vaikuttavuusrahoitus 2023, €]],0)</f>
        <v>-2.2148042976970869E-2</v>
      </c>
    </row>
    <row r="80" spans="1:37" s="1" customFormat="1" ht="12.75" customHeight="1" x14ac:dyDescent="0.25">
      <c r="A80" s="3" t="s">
        <v>246</v>
      </c>
      <c r="B80" s="151" t="s">
        <v>73</v>
      </c>
      <c r="C80" s="151" t="s">
        <v>173</v>
      </c>
      <c r="D80" s="7" t="s">
        <v>325</v>
      </c>
      <c r="E8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0.54930157619727382</v>
      </c>
      <c r="F8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0.55605419925370014</v>
      </c>
      <c r="G8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0.22276228200844619</v>
      </c>
      <c r="H8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0.22118351873785372</v>
      </c>
      <c r="I8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0.11171674637012748</v>
      </c>
      <c r="J8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1.0505730951187989E-2</v>
      </c>
      <c r="K8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4.6062342917106147E-2</v>
      </c>
      <c r="L8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4.2556381026209629E-2</v>
      </c>
      <c r="M8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1.0342317473222474E-2</v>
      </c>
      <c r="N8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745273</v>
      </c>
      <c r="O80" s="177">
        <f>IFERROR(VLOOKUP(Vertailu[[#This Row],[Y-tunnus]],'1.2 Ohjaus-laskentataulu'!A:AT,COLUMN('1.2 Ohjaus-laskentataulu'!AF:AF),FALSE),0)</f>
        <v>735453</v>
      </c>
      <c r="P80" s="177">
        <f>IFERROR(Vertailu[[#This Row],[Rahoitus pl. hark. kor. 2024 ilman alv, €]]-Vertailu[[#This Row],[Rahoitus pl. hark. kor. 2023 ilman alv, €]],0)</f>
        <v>-9820</v>
      </c>
      <c r="Q80" s="179">
        <f>IFERROR(Vertailu[[#This Row],[Muutos, € 1]]/Vertailu[[#This Row],[Rahoitus pl. hark. kor. 2023 ilman alv, €]],0)</f>
        <v>-1.3176379662217737E-2</v>
      </c>
      <c r="R80" s="182">
        <f>IFERROR(VLOOKUP(Vertailu[[#This Row],[Y-tunnus]],'Suoritepäätös 2023 oikaistu'!$AB:$AL,COLUMN('Suoritepäätös 2023 oikaistu'!J:J),FALSE),0)</f>
        <v>750273</v>
      </c>
      <c r="S80" s="183">
        <f>IFERROR(VLOOKUP(Vertailu[[#This Row],[Y-tunnus]],'1.2 Ohjaus-laskentataulu'!A:AT,COLUMN('1.2 Ohjaus-laskentataulu'!AR:AR),FALSE),0)</f>
        <v>740453</v>
      </c>
      <c r="T80" s="177">
        <f>IFERROR(Vertailu[[#This Row],[Rahoitus ml. hark. kor. 
2024 ilman alv, €]]-Vertailu[[#This Row],[Rahoitus ml. hark. kor. 
2023 ilman alv, €]],0)</f>
        <v>-9820</v>
      </c>
      <c r="U80" s="181">
        <f>IFERROR(Vertailu[[#This Row],[Muutos, € 2]]/Vertailu[[#This Row],[Rahoitus ml. hark. kor. 
2023 ilman alv, €]],0)</f>
        <v>-1.3088569094183052E-2</v>
      </c>
      <c r="V8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948271</v>
      </c>
      <c r="W80" s="182">
        <f>IFERROR(VLOOKUP(Vertailu[[#This Row],[Y-tunnus]],'1.2 Ohjaus-laskentataulu'!A:AT,COLUMN('1.2 Ohjaus-laskentataulu'!AT:AT),FALSE),0)</f>
        <v>976970</v>
      </c>
      <c r="X80" s="184">
        <f>IFERROR(Vertailu[[#This Row],[Rahoitus ml. hark. kor. + alv 2024, €]]-Vertailu[[#This Row],[Rahoitus ml. hark. kor. + alv 2023, €]],0)</f>
        <v>28699</v>
      </c>
      <c r="Y80" s="179">
        <f>IFERROR(Vertailu[[#This Row],[Muutos, € 3]]/Vertailu[[#This Row],[Rahoitus ml. hark. kor. + alv 2023, €]],0)</f>
        <v>3.0264555174628349E-2</v>
      </c>
      <c r="Z80" s="177">
        <f>IFERROR(VLOOKUP(Vertailu[[#This Row],[Y-tunnus]],'Suoritepäätös 2023 oikaistu'!$B:$N,COLUMN('Suoritepäätös 2023 oikaistu'!H:H),FALSE),0)</f>
        <v>391608</v>
      </c>
      <c r="AA80" s="177">
        <f>IFERROR(VLOOKUP(Vertailu[[#This Row],[Y-tunnus]],'1.2 Ohjaus-laskentataulu'!A:AT,COLUMN('1.2 Ohjaus-laskentataulu'!AO:AO),FALSE),0)</f>
        <v>411732</v>
      </c>
      <c r="AB80" s="177">
        <f>Vertailu[[#This Row],[Perusrahoitus 2024, €]]-Vertailu[[#This Row],[Perusrahoitus 2023, €]]</f>
        <v>20124</v>
      </c>
      <c r="AC80" s="179">
        <f>IFERROR(Vertailu[[#This Row],[Perusrahoituksen muutos, €]]/Vertailu[[#This Row],[Perusrahoitus 2023, €]],0)</f>
        <v>5.1388122816694248E-2</v>
      </c>
      <c r="AD80" s="177">
        <f>IFERROR(VLOOKUP(Vertailu[[#This Row],[Y-tunnus]],'Suoritepäätös 2023 oikaistu'!$O:$Y,COLUMN('Suoritepäätös 2023 oikaistu'!D:D),FALSE),0)</f>
        <v>161672</v>
      </c>
      <c r="AE80" s="177">
        <f>IFERROR(VLOOKUP(Vertailu[[#This Row],[Y-tunnus]],'1.2 Ohjaus-laskentataulu'!A:AT,COLUMN('1.2 Ohjaus-laskentataulu'!O:O),FALSE),0)</f>
        <v>164945</v>
      </c>
      <c r="AF80" s="177">
        <f>Vertailu[[#This Row],[Suoritusrahoitus 2024, €]]-Vertailu[[#This Row],[Suoritusrahoitus 2023, €]]</f>
        <v>3273</v>
      </c>
      <c r="AG80" s="179">
        <f>IFERROR(Vertailu[[#This Row],[Suoritusrahoituksen muutos, €]]/Vertailu[[#This Row],[Suoritusrahoitus 2023, €]],0)</f>
        <v>2.0244692958582809E-2</v>
      </c>
      <c r="AH80" s="177">
        <f>IFERROR(VLOOKUP(Vertailu[[#This Row],[Y-tunnus]],'Suoritepäätös 2023 oikaistu'!$AB:$AL,COLUMN('Suoritepäätös 2023 oikaistu'!I:I),FALSE),0)</f>
        <v>196993</v>
      </c>
      <c r="AI8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163776</v>
      </c>
      <c r="AJ80" s="177">
        <f>Vertailu[[#This Row],[Vaikuttavuusrahoitus 2024, €]]-Vertailu[[#This Row],[Vaikuttavuusrahoitus 2023, €]]</f>
        <v>-33217</v>
      </c>
      <c r="AK80" s="179">
        <f>IFERROR(Vertailu[[#This Row],[Vaikuttavuusrahoituksen muutos, €]]/Vertailu[[#This Row],[Vaikuttavuusrahoitus 2023, €]],0)</f>
        <v>-0.16862020477885001</v>
      </c>
    </row>
    <row r="81" spans="1:37" s="1" customFormat="1" ht="12.75" customHeight="1" x14ac:dyDescent="0.25">
      <c r="A81" s="3" t="s">
        <v>248</v>
      </c>
      <c r="B81" s="151" t="s">
        <v>74</v>
      </c>
      <c r="C81" s="151" t="s">
        <v>180</v>
      </c>
      <c r="D81" s="7" t="s">
        <v>325</v>
      </c>
      <c r="E8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0.62444783461899589</v>
      </c>
      <c r="F8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0.62803780629137751</v>
      </c>
      <c r="G8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0.21608430588301561</v>
      </c>
      <c r="H8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0.15587788782560688</v>
      </c>
      <c r="I8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9.6989280565638408E-2</v>
      </c>
      <c r="J8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4.7398678682125436E-3</v>
      </c>
      <c r="K8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1.3944351188075512E-2</v>
      </c>
      <c r="L8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2.8441864085883006E-2</v>
      </c>
      <c r="M8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1.1762524117797407E-2</v>
      </c>
      <c r="N8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1929324</v>
      </c>
      <c r="O81" s="177">
        <f>IFERROR(VLOOKUP(Vertailu[[#This Row],[Y-tunnus]],'1.2 Ohjaus-laskentataulu'!A:AT,COLUMN('1.2 Ohjaus-laskentataulu'!AF:AF),FALSE),0)</f>
        <v>1875153</v>
      </c>
      <c r="P81" s="177">
        <f>IFERROR(Vertailu[[#This Row],[Rahoitus pl. hark. kor. 2024 ilman alv, €]]-Vertailu[[#This Row],[Rahoitus pl. hark. kor. 2023 ilman alv, €]],0)</f>
        <v>-54171</v>
      </c>
      <c r="Q81" s="179">
        <f>IFERROR(Vertailu[[#This Row],[Muutos, € 1]]/Vertailu[[#This Row],[Rahoitus pl. hark. kor. 2023 ilman alv, €]],0)</f>
        <v>-2.8077710120228638E-2</v>
      </c>
      <c r="R81" s="182">
        <f>IFERROR(VLOOKUP(Vertailu[[#This Row],[Y-tunnus]],'Suoritepäätös 2023 oikaistu'!$AB:$AL,COLUMN('Suoritepäätös 2023 oikaistu'!J:J),FALSE),0)</f>
        <v>1936324</v>
      </c>
      <c r="S81" s="183">
        <f>IFERROR(VLOOKUP(Vertailu[[#This Row],[Y-tunnus]],'1.2 Ohjaus-laskentataulu'!A:AT,COLUMN('1.2 Ohjaus-laskentataulu'!AR:AR),FALSE),0)</f>
        <v>1881909</v>
      </c>
      <c r="T81" s="177">
        <f>IFERROR(Vertailu[[#This Row],[Rahoitus ml. hark. kor. 
2024 ilman alv, €]]-Vertailu[[#This Row],[Rahoitus ml. hark. kor. 
2023 ilman alv, €]],0)</f>
        <v>-54415</v>
      </c>
      <c r="U81" s="181">
        <f>IFERROR(Vertailu[[#This Row],[Muutos, € 2]]/Vertailu[[#This Row],[Rahoitus ml. hark. kor. 
2023 ilman alv, €]],0)</f>
        <v>-2.8102218430386652E-2</v>
      </c>
      <c r="V8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2011906</v>
      </c>
      <c r="W81" s="182">
        <f>IFERROR(VLOOKUP(Vertailu[[#This Row],[Y-tunnus]],'1.2 Ohjaus-laskentataulu'!A:AT,COLUMN('1.2 Ohjaus-laskentataulu'!AT:AT),FALSE),0)</f>
        <v>1965848</v>
      </c>
      <c r="X81" s="184">
        <f>IFERROR(Vertailu[[#This Row],[Rahoitus ml. hark. kor. + alv 2024, €]]-Vertailu[[#This Row],[Rahoitus ml. hark. kor. + alv 2023, €]],0)</f>
        <v>-46058</v>
      </c>
      <c r="Y81" s="179">
        <f>IFERROR(Vertailu[[#This Row],[Muutos, € 3]]/Vertailu[[#This Row],[Rahoitus ml. hark. kor. + alv 2023, €]],0)</f>
        <v>-2.289271963998318E-2</v>
      </c>
      <c r="Z81" s="177">
        <f>IFERROR(VLOOKUP(Vertailu[[#This Row],[Y-tunnus]],'Suoritepäätös 2023 oikaistu'!$B:$N,COLUMN('Suoritepäätös 2023 oikaistu'!H:H),FALSE),0)</f>
        <v>1140184</v>
      </c>
      <c r="AA81" s="177">
        <f>IFERROR(VLOOKUP(Vertailu[[#This Row],[Y-tunnus]],'1.2 Ohjaus-laskentataulu'!A:AT,COLUMN('1.2 Ohjaus-laskentataulu'!AO:AO),FALSE),0)</f>
        <v>1181910</v>
      </c>
      <c r="AB81" s="177">
        <f>Vertailu[[#This Row],[Perusrahoitus 2024, €]]-Vertailu[[#This Row],[Perusrahoitus 2023, €]]</f>
        <v>41726</v>
      </c>
      <c r="AC81" s="179">
        <f>IFERROR(Vertailu[[#This Row],[Perusrahoituksen muutos, €]]/Vertailu[[#This Row],[Perusrahoitus 2023, €]],0)</f>
        <v>3.6595847687741628E-2</v>
      </c>
      <c r="AD81" s="177">
        <f>IFERROR(VLOOKUP(Vertailu[[#This Row],[Y-tunnus]],'Suoritepäätös 2023 oikaistu'!$O:$Y,COLUMN('Suoritepäätös 2023 oikaistu'!D:D),FALSE),0)</f>
        <v>474142</v>
      </c>
      <c r="AE81" s="177">
        <f>IFERROR(VLOOKUP(Vertailu[[#This Row],[Y-tunnus]],'1.2 Ohjaus-laskentataulu'!A:AT,COLUMN('1.2 Ohjaus-laskentataulu'!O:O),FALSE),0)</f>
        <v>406651</v>
      </c>
      <c r="AF81" s="177">
        <f>Vertailu[[#This Row],[Suoritusrahoitus 2024, €]]-Vertailu[[#This Row],[Suoritusrahoitus 2023, €]]</f>
        <v>-67491</v>
      </c>
      <c r="AG81" s="179">
        <f>IFERROR(Vertailu[[#This Row],[Suoritusrahoituksen muutos, €]]/Vertailu[[#This Row],[Suoritusrahoitus 2023, €]],0)</f>
        <v>-0.14234343297999333</v>
      </c>
      <c r="AH81" s="177">
        <f>IFERROR(VLOOKUP(Vertailu[[#This Row],[Y-tunnus]],'Suoritepäätös 2023 oikaistu'!$AB:$AL,COLUMN('Suoritepäätös 2023 oikaistu'!I:I),FALSE),0)</f>
        <v>321998</v>
      </c>
      <c r="AI8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293348</v>
      </c>
      <c r="AJ81" s="177">
        <f>Vertailu[[#This Row],[Vaikuttavuusrahoitus 2024, €]]-Vertailu[[#This Row],[Vaikuttavuusrahoitus 2023, €]]</f>
        <v>-28650</v>
      </c>
      <c r="AK81" s="179">
        <f>IFERROR(Vertailu[[#This Row],[Vaikuttavuusrahoituksen muutos, €]]/Vertailu[[#This Row],[Vaikuttavuusrahoitus 2023, €]],0)</f>
        <v>-8.8975707923651698E-2</v>
      </c>
    </row>
    <row r="82" spans="1:37" s="1" customFormat="1" ht="12.75" customHeight="1" x14ac:dyDescent="0.25">
      <c r="A82" s="3" t="s">
        <v>279</v>
      </c>
      <c r="B82" s="151" t="s">
        <v>442</v>
      </c>
      <c r="C82" s="151" t="s">
        <v>173</v>
      </c>
      <c r="D82" s="7" t="s">
        <v>325</v>
      </c>
      <c r="E8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0.60173284114279857</v>
      </c>
      <c r="F8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0.60173284114279857</v>
      </c>
      <c r="G8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0.2400350646076384</v>
      </c>
      <c r="H8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0.15823209424956305</v>
      </c>
      <c r="I8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0.10920854956202816</v>
      </c>
      <c r="J8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5.3696953640120166E-3</v>
      </c>
      <c r="K8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1.6275862742572426E-2</v>
      </c>
      <c r="L8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2.1989000799087246E-2</v>
      </c>
      <c r="M8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5.3889857818632224E-3</v>
      </c>
      <c r="N8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7436384</v>
      </c>
      <c r="O82" s="177">
        <f>IFERROR(VLOOKUP(Vertailu[[#This Row],[Y-tunnus]],'1.2 Ohjaus-laskentataulu'!A:AT,COLUMN('1.2 Ohjaus-laskentataulu'!AF:AF),FALSE),0)</f>
        <v>8190595</v>
      </c>
      <c r="P82" s="177">
        <f>IFERROR(Vertailu[[#This Row],[Rahoitus pl. hark. kor. 2024 ilman alv, €]]-Vertailu[[#This Row],[Rahoitus pl. hark. kor. 2023 ilman alv, €]],0)</f>
        <v>754211</v>
      </c>
      <c r="Q82" s="179">
        <f>IFERROR(Vertailu[[#This Row],[Muutos, € 1]]/Vertailu[[#This Row],[Rahoitus pl. hark. kor. 2023 ilman alv, €]],0)</f>
        <v>0.10142173938301195</v>
      </c>
      <c r="R82" s="182">
        <f>IFERROR(VLOOKUP(Vertailu[[#This Row],[Y-tunnus]],'Suoritepäätös 2023 oikaistu'!$AB:$AL,COLUMN('Suoritepäätös 2023 oikaistu'!J:J),FALSE),0)</f>
        <v>7436384</v>
      </c>
      <c r="S82" s="183">
        <f>IFERROR(VLOOKUP(Vertailu[[#This Row],[Y-tunnus]],'1.2 Ohjaus-laskentataulu'!A:AT,COLUMN('1.2 Ohjaus-laskentataulu'!AR:AR),FALSE),0)</f>
        <v>8190595</v>
      </c>
      <c r="T82" s="177">
        <f>IFERROR(Vertailu[[#This Row],[Rahoitus ml. hark. kor. 
2024 ilman alv, €]]-Vertailu[[#This Row],[Rahoitus ml. hark. kor. 
2023 ilman alv, €]],0)</f>
        <v>754211</v>
      </c>
      <c r="U82" s="181">
        <f>IFERROR(Vertailu[[#This Row],[Muutos, € 2]]/Vertailu[[#This Row],[Rahoitus ml. hark. kor. 
2023 ilman alv, €]],0)</f>
        <v>0.10142173938301195</v>
      </c>
      <c r="V8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7796400</v>
      </c>
      <c r="W82" s="182">
        <f>IFERROR(VLOOKUP(Vertailu[[#This Row],[Y-tunnus]],'1.2 Ohjaus-laskentataulu'!A:AT,COLUMN('1.2 Ohjaus-laskentataulu'!AT:AT),FALSE),0)</f>
        <v>8561266</v>
      </c>
      <c r="X82" s="184">
        <f>IFERROR(Vertailu[[#This Row],[Rahoitus ml. hark. kor. + alv 2024, €]]-Vertailu[[#This Row],[Rahoitus ml. hark. kor. + alv 2023, €]],0)</f>
        <v>764866</v>
      </c>
      <c r="Y82" s="179">
        <f>IFERROR(Vertailu[[#This Row],[Muutos, € 3]]/Vertailu[[#This Row],[Rahoitus ml. hark. kor. + alv 2023, €]],0)</f>
        <v>9.8105022831050229E-2</v>
      </c>
      <c r="Z82" s="177">
        <f>IFERROR(VLOOKUP(Vertailu[[#This Row],[Y-tunnus]],'Suoritepäätös 2023 oikaistu'!$B:$N,COLUMN('Suoritepäätös 2023 oikaistu'!H:H),FALSE),0)</f>
        <v>4565875</v>
      </c>
      <c r="AA82" s="177">
        <f>IFERROR(VLOOKUP(Vertailu[[#This Row],[Y-tunnus]],'1.2 Ohjaus-laskentataulu'!A:AT,COLUMN('1.2 Ohjaus-laskentataulu'!AO:AO),FALSE),0)</f>
        <v>4928550</v>
      </c>
      <c r="AB82" s="177">
        <f>Vertailu[[#This Row],[Perusrahoitus 2024, €]]-Vertailu[[#This Row],[Perusrahoitus 2023, €]]</f>
        <v>362675</v>
      </c>
      <c r="AC82" s="179">
        <f>IFERROR(Vertailu[[#This Row],[Perusrahoituksen muutos, €]]/Vertailu[[#This Row],[Perusrahoitus 2023, €]],0)</f>
        <v>7.9431653297560703E-2</v>
      </c>
      <c r="AD82" s="177">
        <f>IFERROR(VLOOKUP(Vertailu[[#This Row],[Y-tunnus]],'Suoritepäätös 2023 oikaistu'!$O:$Y,COLUMN('Suoritepäätös 2023 oikaistu'!D:D),FALSE),0)</f>
        <v>1666655</v>
      </c>
      <c r="AE82" s="177">
        <f>IFERROR(VLOOKUP(Vertailu[[#This Row],[Y-tunnus]],'1.2 Ohjaus-laskentataulu'!A:AT,COLUMN('1.2 Ohjaus-laskentataulu'!O:O),FALSE),0)</f>
        <v>1966030</v>
      </c>
      <c r="AF82" s="177">
        <f>Vertailu[[#This Row],[Suoritusrahoitus 2024, €]]-Vertailu[[#This Row],[Suoritusrahoitus 2023, €]]</f>
        <v>299375</v>
      </c>
      <c r="AG82" s="179">
        <f>IFERROR(Vertailu[[#This Row],[Suoritusrahoituksen muutos, €]]/Vertailu[[#This Row],[Suoritusrahoitus 2023, €]],0)</f>
        <v>0.1796262573838017</v>
      </c>
      <c r="AH82" s="177">
        <f>IFERROR(VLOOKUP(Vertailu[[#This Row],[Y-tunnus]],'Suoritepäätös 2023 oikaistu'!$AB:$AL,COLUMN('Suoritepäätös 2023 oikaistu'!I:I),FALSE),0)</f>
        <v>1203854</v>
      </c>
      <c r="AI8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1296015</v>
      </c>
      <c r="AJ82" s="177">
        <f>Vertailu[[#This Row],[Vaikuttavuusrahoitus 2024, €]]-Vertailu[[#This Row],[Vaikuttavuusrahoitus 2023, €]]</f>
        <v>92161</v>
      </c>
      <c r="AK82" s="179">
        <f>IFERROR(Vertailu[[#This Row],[Vaikuttavuusrahoituksen muutos, €]]/Vertailu[[#This Row],[Vaikuttavuusrahoitus 2023, €]],0)</f>
        <v>7.6554964306302931E-2</v>
      </c>
    </row>
    <row r="83" spans="1:37" s="1" customFormat="1" ht="12.75" customHeight="1" x14ac:dyDescent="0.25">
      <c r="A83" s="3" t="s">
        <v>247</v>
      </c>
      <c r="B83" s="151" t="s">
        <v>145</v>
      </c>
      <c r="C83" s="151" t="s">
        <v>186</v>
      </c>
      <c r="D83" s="7" t="s">
        <v>325</v>
      </c>
      <c r="E8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</v>
      </c>
      <c r="F8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</v>
      </c>
      <c r="G8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0.40525982256020276</v>
      </c>
      <c r="H8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0.59474017743979724</v>
      </c>
      <c r="I8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0.59474017743979724</v>
      </c>
      <c r="J8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0</v>
      </c>
      <c r="K8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0</v>
      </c>
      <c r="L8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0</v>
      </c>
      <c r="M8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8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1985</v>
      </c>
      <c r="O83" s="177">
        <f>IFERROR(VLOOKUP(Vertailu[[#This Row],[Y-tunnus]],'1.2 Ohjaus-laskentataulu'!A:AT,COLUMN('1.2 Ohjaus-laskentataulu'!AF:AF),FALSE),0)</f>
        <v>3156</v>
      </c>
      <c r="P83" s="177">
        <f>IFERROR(Vertailu[[#This Row],[Rahoitus pl. hark. kor. 2024 ilman alv, €]]-Vertailu[[#This Row],[Rahoitus pl. hark. kor. 2023 ilman alv, €]],0)</f>
        <v>1171</v>
      </c>
      <c r="Q83" s="179">
        <f>IFERROR(Vertailu[[#This Row],[Muutos, € 1]]/Vertailu[[#This Row],[Rahoitus pl. hark. kor. 2023 ilman alv, €]],0)</f>
        <v>0.58992443324937027</v>
      </c>
      <c r="R83" s="182">
        <f>IFERROR(VLOOKUP(Vertailu[[#This Row],[Y-tunnus]],'Suoritepäätös 2023 oikaistu'!$AB:$AL,COLUMN('Suoritepäätös 2023 oikaistu'!J:J),FALSE),0)</f>
        <v>1985</v>
      </c>
      <c r="S83" s="183">
        <f>IFERROR(VLOOKUP(Vertailu[[#This Row],[Y-tunnus]],'1.2 Ohjaus-laskentataulu'!A:AT,COLUMN('1.2 Ohjaus-laskentataulu'!AR:AR),FALSE),0)</f>
        <v>3156</v>
      </c>
      <c r="T83" s="177">
        <f>IFERROR(Vertailu[[#This Row],[Rahoitus ml. hark. kor. 
2024 ilman alv, €]]-Vertailu[[#This Row],[Rahoitus ml. hark. kor. 
2023 ilman alv, €]],0)</f>
        <v>1171</v>
      </c>
      <c r="U83" s="181">
        <f>IFERROR(Vertailu[[#This Row],[Muutos, € 2]]/Vertailu[[#This Row],[Rahoitus ml. hark. kor. 
2023 ilman alv, €]],0)</f>
        <v>0.58992443324937027</v>
      </c>
      <c r="V8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1985</v>
      </c>
      <c r="W83" s="182">
        <f>IFERROR(VLOOKUP(Vertailu[[#This Row],[Y-tunnus]],'1.2 Ohjaus-laskentataulu'!A:AT,COLUMN('1.2 Ohjaus-laskentataulu'!AT:AT),FALSE),0)</f>
        <v>3156</v>
      </c>
      <c r="X83" s="184">
        <f>IFERROR(Vertailu[[#This Row],[Rahoitus ml. hark. kor. + alv 2024, €]]-Vertailu[[#This Row],[Rahoitus ml. hark. kor. + alv 2023, €]],0)</f>
        <v>1171</v>
      </c>
      <c r="Y83" s="179">
        <f>IFERROR(Vertailu[[#This Row],[Muutos, € 3]]/Vertailu[[#This Row],[Rahoitus ml. hark. kor. + alv 2023, €]],0)</f>
        <v>0.58992443324937027</v>
      </c>
      <c r="Z83" s="177">
        <f>IFERROR(VLOOKUP(Vertailu[[#This Row],[Y-tunnus]],'Suoritepäätös 2023 oikaistu'!$B:$N,COLUMN('Suoritepäätös 2023 oikaistu'!H:H),FALSE),0)</f>
        <v>0</v>
      </c>
      <c r="AA83" s="177">
        <f>IFERROR(VLOOKUP(Vertailu[[#This Row],[Y-tunnus]],'1.2 Ohjaus-laskentataulu'!A:AT,COLUMN('1.2 Ohjaus-laskentataulu'!AO:AO),FALSE),0)</f>
        <v>0</v>
      </c>
      <c r="AB83" s="177">
        <f>Vertailu[[#This Row],[Perusrahoitus 2024, €]]-Vertailu[[#This Row],[Perusrahoitus 2023, €]]</f>
        <v>0</v>
      </c>
      <c r="AC83" s="179">
        <f>IFERROR(Vertailu[[#This Row],[Perusrahoituksen muutos, €]]/Vertailu[[#This Row],[Perusrahoitus 2023, €]],0)</f>
        <v>0</v>
      </c>
      <c r="AD83" s="177">
        <f>IFERROR(VLOOKUP(Vertailu[[#This Row],[Y-tunnus]],'Suoritepäätös 2023 oikaistu'!$O:$Y,COLUMN('Suoritepäätös 2023 oikaistu'!D:D),FALSE),0)</f>
        <v>0</v>
      </c>
      <c r="AE83" s="177">
        <f>IFERROR(VLOOKUP(Vertailu[[#This Row],[Y-tunnus]],'1.2 Ohjaus-laskentataulu'!A:AT,COLUMN('1.2 Ohjaus-laskentataulu'!O:O),FALSE),0)</f>
        <v>1279</v>
      </c>
      <c r="AF83" s="177">
        <f>Vertailu[[#This Row],[Suoritusrahoitus 2024, €]]-Vertailu[[#This Row],[Suoritusrahoitus 2023, €]]</f>
        <v>1279</v>
      </c>
      <c r="AG83" s="179">
        <f>IFERROR(Vertailu[[#This Row],[Suoritusrahoituksen muutos, €]]/Vertailu[[#This Row],[Suoritusrahoitus 2023, €]],0)</f>
        <v>0</v>
      </c>
      <c r="AH83" s="177">
        <f>IFERROR(VLOOKUP(Vertailu[[#This Row],[Y-tunnus]],'Suoritepäätös 2023 oikaistu'!$AB:$AL,COLUMN('Suoritepäätös 2023 oikaistu'!I:I),FALSE),0)</f>
        <v>1985</v>
      </c>
      <c r="AI8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1877</v>
      </c>
      <c r="AJ83" s="177">
        <f>Vertailu[[#This Row],[Vaikuttavuusrahoitus 2024, €]]-Vertailu[[#This Row],[Vaikuttavuusrahoitus 2023, €]]</f>
        <v>-108</v>
      </c>
      <c r="AK83" s="179">
        <f>IFERROR(Vertailu[[#This Row],[Vaikuttavuusrahoituksen muutos, €]]/Vertailu[[#This Row],[Vaikuttavuusrahoitus 2023, €]],0)</f>
        <v>-5.4408060453400506E-2</v>
      </c>
    </row>
    <row r="84" spans="1:37" s="1" customFormat="1" ht="12.75" customHeight="1" x14ac:dyDescent="0.25">
      <c r="A84" s="3" t="s">
        <v>245</v>
      </c>
      <c r="B84" s="151" t="s">
        <v>75</v>
      </c>
      <c r="C84" s="151" t="s">
        <v>179</v>
      </c>
      <c r="D84" s="7" t="s">
        <v>324</v>
      </c>
      <c r="E8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0.7098023548031388</v>
      </c>
      <c r="F8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0.71632806742842881</v>
      </c>
      <c r="G8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0.18488803130646755</v>
      </c>
      <c r="H8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9.8783901265103627E-2</v>
      </c>
      <c r="I8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6.8914008391180892E-2</v>
      </c>
      <c r="J8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2.5408835265417927E-3</v>
      </c>
      <c r="K8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9.5233033236431109E-3</v>
      </c>
      <c r="L8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1.4160110558723149E-2</v>
      </c>
      <c r="M8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3.6455954650146814E-3</v>
      </c>
      <c r="N8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16256607</v>
      </c>
      <c r="O84" s="177">
        <f>IFERROR(VLOOKUP(Vertailu[[#This Row],[Y-tunnus]],'1.2 Ohjaus-laskentataulu'!A:AT,COLUMN('1.2 Ohjaus-laskentataulu'!AF:AF),FALSE),0)</f>
        <v>17252290</v>
      </c>
      <c r="P84" s="177">
        <f>IFERROR(Vertailu[[#This Row],[Rahoitus pl. hark. kor. 2024 ilman alv, €]]-Vertailu[[#This Row],[Rahoitus pl. hark. kor. 2023 ilman alv, €]],0)</f>
        <v>995683</v>
      </c>
      <c r="Q84" s="179">
        <f>IFERROR(Vertailu[[#This Row],[Muutos, € 1]]/Vertailu[[#This Row],[Rahoitus pl. hark. kor. 2023 ilman alv, €]],0)</f>
        <v>6.1247897547132682E-2</v>
      </c>
      <c r="R84" s="182">
        <f>IFERROR(VLOOKUP(Vertailu[[#This Row],[Y-tunnus]],'Suoritepäätös 2023 oikaistu'!$AB:$AL,COLUMN('Suoritepäätös 2023 oikaistu'!J:J),FALSE),0)</f>
        <v>16283607</v>
      </c>
      <c r="S84" s="183">
        <f>IFERROR(VLOOKUP(Vertailu[[#This Row],[Y-tunnus]],'1.2 Ohjaus-laskentataulu'!A:AT,COLUMN('1.2 Ohjaus-laskentataulu'!AR:AR),FALSE),0)</f>
        <v>17365613</v>
      </c>
      <c r="T84" s="177">
        <f>IFERROR(Vertailu[[#This Row],[Rahoitus ml. hark. kor. 
2024 ilman alv, €]]-Vertailu[[#This Row],[Rahoitus ml. hark. kor. 
2023 ilman alv, €]],0)</f>
        <v>1082006</v>
      </c>
      <c r="U84" s="181">
        <f>IFERROR(Vertailu[[#This Row],[Muutos, € 2]]/Vertailu[[#This Row],[Rahoitus ml. hark. kor. 
2023 ilman alv, €]],0)</f>
        <v>6.6447562877193E-2</v>
      </c>
      <c r="V8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16283607</v>
      </c>
      <c r="W84" s="182">
        <f>IFERROR(VLOOKUP(Vertailu[[#This Row],[Y-tunnus]],'1.2 Ohjaus-laskentataulu'!A:AT,COLUMN('1.2 Ohjaus-laskentataulu'!AT:AT),FALSE),0)</f>
        <v>17365613</v>
      </c>
      <c r="X84" s="184">
        <f>IFERROR(Vertailu[[#This Row],[Rahoitus ml. hark. kor. + alv 2024, €]]-Vertailu[[#This Row],[Rahoitus ml. hark. kor. + alv 2023, €]],0)</f>
        <v>1082006</v>
      </c>
      <c r="Y84" s="179">
        <f>IFERROR(Vertailu[[#This Row],[Muutos, € 3]]/Vertailu[[#This Row],[Rahoitus ml. hark. kor. + alv 2023, €]],0)</f>
        <v>6.6447562877193E-2</v>
      </c>
      <c r="Z84" s="177">
        <f>IFERROR(VLOOKUP(Vertailu[[#This Row],[Y-tunnus]],'Suoritepäätös 2023 oikaistu'!$B:$N,COLUMN('Suoritepäätös 2023 oikaistu'!H:H),FALSE),0)</f>
        <v>11775991</v>
      </c>
      <c r="AA84" s="177">
        <f>IFERROR(VLOOKUP(Vertailu[[#This Row],[Y-tunnus]],'1.2 Ohjaus-laskentataulu'!A:AT,COLUMN('1.2 Ohjaus-laskentataulu'!AO:AO),FALSE),0)</f>
        <v>12439476</v>
      </c>
      <c r="AB84" s="177">
        <f>Vertailu[[#This Row],[Perusrahoitus 2024, €]]-Vertailu[[#This Row],[Perusrahoitus 2023, €]]</f>
        <v>663485</v>
      </c>
      <c r="AC84" s="179">
        <f>IFERROR(Vertailu[[#This Row],[Perusrahoituksen muutos, €]]/Vertailu[[#This Row],[Perusrahoitus 2023, €]],0)</f>
        <v>5.634217960934243E-2</v>
      </c>
      <c r="AD84" s="177">
        <f>IFERROR(VLOOKUP(Vertailu[[#This Row],[Y-tunnus]],'Suoritepäätös 2023 oikaistu'!$O:$Y,COLUMN('Suoritepäätös 2023 oikaistu'!D:D),FALSE),0)</f>
        <v>2806291</v>
      </c>
      <c r="AE84" s="177">
        <f>IFERROR(VLOOKUP(Vertailu[[#This Row],[Y-tunnus]],'1.2 Ohjaus-laskentataulu'!A:AT,COLUMN('1.2 Ohjaus-laskentataulu'!O:O),FALSE),0)</f>
        <v>3210694</v>
      </c>
      <c r="AF84" s="177">
        <f>Vertailu[[#This Row],[Suoritusrahoitus 2024, €]]-Vertailu[[#This Row],[Suoritusrahoitus 2023, €]]</f>
        <v>404403</v>
      </c>
      <c r="AG84" s="179">
        <f>IFERROR(Vertailu[[#This Row],[Suoritusrahoituksen muutos, €]]/Vertailu[[#This Row],[Suoritusrahoitus 2023, €]],0)</f>
        <v>0.14410586785190843</v>
      </c>
      <c r="AH84" s="177">
        <f>IFERROR(VLOOKUP(Vertailu[[#This Row],[Y-tunnus]],'Suoritepäätös 2023 oikaistu'!$AB:$AL,COLUMN('Suoritepäätös 2023 oikaistu'!I:I),FALSE),0)</f>
        <v>1701325</v>
      </c>
      <c r="AI8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1715443</v>
      </c>
      <c r="AJ84" s="177">
        <f>Vertailu[[#This Row],[Vaikuttavuusrahoitus 2024, €]]-Vertailu[[#This Row],[Vaikuttavuusrahoitus 2023, €]]</f>
        <v>14118</v>
      </c>
      <c r="AK84" s="179">
        <f>IFERROR(Vertailu[[#This Row],[Vaikuttavuusrahoituksen muutos, €]]/Vertailu[[#This Row],[Vaikuttavuusrahoitus 2023, €]],0)</f>
        <v>8.2982381379219147E-3</v>
      </c>
    </row>
    <row r="85" spans="1:37" s="1" customFormat="1" ht="12.75" customHeight="1" x14ac:dyDescent="0.25">
      <c r="A85" s="3" t="s">
        <v>244</v>
      </c>
      <c r="B85" s="151" t="s">
        <v>76</v>
      </c>
      <c r="C85" s="151" t="s">
        <v>180</v>
      </c>
      <c r="D85" s="7" t="s">
        <v>326</v>
      </c>
      <c r="E8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0.65776795424828616</v>
      </c>
      <c r="F8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0.65776795424828616</v>
      </c>
      <c r="G8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0.25573271174220669</v>
      </c>
      <c r="H8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8.649933400950717E-2</v>
      </c>
      <c r="I8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7.4975865482140455E-2</v>
      </c>
      <c r="J8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3.7576527806630578E-3</v>
      </c>
      <c r="K8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7.6436156562755854E-3</v>
      </c>
      <c r="L8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1.2220009042806691E-4</v>
      </c>
      <c r="M8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8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687743</v>
      </c>
      <c r="O85" s="177">
        <f>IFERROR(VLOOKUP(Vertailu[[#This Row],[Y-tunnus]],'1.2 Ohjaus-laskentataulu'!A:AT,COLUMN('1.2 Ohjaus-laskentataulu'!AF:AF),FALSE),0)</f>
        <v>654664</v>
      </c>
      <c r="P85" s="177">
        <f>IFERROR(Vertailu[[#This Row],[Rahoitus pl. hark. kor. 2024 ilman alv, €]]-Vertailu[[#This Row],[Rahoitus pl. hark. kor. 2023 ilman alv, €]],0)</f>
        <v>-33079</v>
      </c>
      <c r="Q85" s="179">
        <f>IFERROR(Vertailu[[#This Row],[Muutos, € 1]]/Vertailu[[#This Row],[Rahoitus pl. hark. kor. 2023 ilman alv, €]],0)</f>
        <v>-4.8097908666464073E-2</v>
      </c>
      <c r="R85" s="182">
        <f>IFERROR(VLOOKUP(Vertailu[[#This Row],[Y-tunnus]],'Suoritepäätös 2023 oikaistu'!$AB:$AL,COLUMN('Suoritepäätös 2023 oikaistu'!J:J),FALSE),0)</f>
        <v>687743</v>
      </c>
      <c r="S85" s="183">
        <f>IFERROR(VLOOKUP(Vertailu[[#This Row],[Y-tunnus]],'1.2 Ohjaus-laskentataulu'!A:AT,COLUMN('1.2 Ohjaus-laskentataulu'!AR:AR),FALSE),0)</f>
        <v>654664</v>
      </c>
      <c r="T85" s="177">
        <f>IFERROR(Vertailu[[#This Row],[Rahoitus ml. hark. kor. 
2024 ilman alv, €]]-Vertailu[[#This Row],[Rahoitus ml. hark. kor. 
2023 ilman alv, €]],0)</f>
        <v>-33079</v>
      </c>
      <c r="U85" s="181">
        <f>IFERROR(Vertailu[[#This Row],[Muutos, € 2]]/Vertailu[[#This Row],[Rahoitus ml. hark. kor. 
2023 ilman alv, €]],0)</f>
        <v>-4.8097908666464073E-2</v>
      </c>
      <c r="V8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687743</v>
      </c>
      <c r="W85" s="182">
        <f>IFERROR(VLOOKUP(Vertailu[[#This Row],[Y-tunnus]],'1.2 Ohjaus-laskentataulu'!A:AT,COLUMN('1.2 Ohjaus-laskentataulu'!AT:AT),FALSE),0)</f>
        <v>654664</v>
      </c>
      <c r="X85" s="184">
        <f>IFERROR(Vertailu[[#This Row],[Rahoitus ml. hark. kor. + alv 2024, €]]-Vertailu[[#This Row],[Rahoitus ml. hark. kor. + alv 2023, €]],0)</f>
        <v>-33079</v>
      </c>
      <c r="Y85" s="179">
        <f>IFERROR(Vertailu[[#This Row],[Muutos, € 3]]/Vertailu[[#This Row],[Rahoitus ml. hark. kor. + alv 2023, €]],0)</f>
        <v>-4.8097908666464073E-2</v>
      </c>
      <c r="Z85" s="177">
        <f>IFERROR(VLOOKUP(Vertailu[[#This Row],[Y-tunnus]],'Suoritepäätös 2023 oikaistu'!$B:$N,COLUMN('Suoritepäätös 2023 oikaistu'!H:H),FALSE),0)</f>
        <v>406751</v>
      </c>
      <c r="AA85" s="177">
        <f>IFERROR(VLOOKUP(Vertailu[[#This Row],[Y-tunnus]],'1.2 Ohjaus-laskentataulu'!A:AT,COLUMN('1.2 Ohjaus-laskentataulu'!AO:AO),FALSE),0)</f>
        <v>430617</v>
      </c>
      <c r="AB85" s="177">
        <f>Vertailu[[#This Row],[Perusrahoitus 2024, €]]-Vertailu[[#This Row],[Perusrahoitus 2023, €]]</f>
        <v>23866</v>
      </c>
      <c r="AC85" s="179">
        <f>IFERROR(Vertailu[[#This Row],[Perusrahoituksen muutos, €]]/Vertailu[[#This Row],[Perusrahoitus 2023, €]],0)</f>
        <v>5.8674717456134097E-2</v>
      </c>
      <c r="AD85" s="177">
        <f>IFERROR(VLOOKUP(Vertailu[[#This Row],[Y-tunnus]],'Suoritepäätös 2023 oikaistu'!$O:$Y,COLUMN('Suoritepäätös 2023 oikaistu'!D:D),FALSE),0)</f>
        <v>217974</v>
      </c>
      <c r="AE85" s="177">
        <f>IFERROR(VLOOKUP(Vertailu[[#This Row],[Y-tunnus]],'1.2 Ohjaus-laskentataulu'!A:AT,COLUMN('1.2 Ohjaus-laskentataulu'!O:O),FALSE),0)</f>
        <v>167419</v>
      </c>
      <c r="AF85" s="177">
        <f>Vertailu[[#This Row],[Suoritusrahoitus 2024, €]]-Vertailu[[#This Row],[Suoritusrahoitus 2023, €]]</f>
        <v>-50555</v>
      </c>
      <c r="AG85" s="179">
        <f>IFERROR(Vertailu[[#This Row],[Suoritusrahoituksen muutos, €]]/Vertailu[[#This Row],[Suoritusrahoitus 2023, €]],0)</f>
        <v>-0.23193133125969154</v>
      </c>
      <c r="AH85" s="177">
        <f>IFERROR(VLOOKUP(Vertailu[[#This Row],[Y-tunnus]],'Suoritepäätös 2023 oikaistu'!$AB:$AL,COLUMN('Suoritepäätös 2023 oikaistu'!I:I),FALSE),0)</f>
        <v>63018</v>
      </c>
      <c r="AI8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56628</v>
      </c>
      <c r="AJ85" s="177">
        <f>Vertailu[[#This Row],[Vaikuttavuusrahoitus 2024, €]]-Vertailu[[#This Row],[Vaikuttavuusrahoitus 2023, €]]</f>
        <v>-6390</v>
      </c>
      <c r="AK85" s="179">
        <f>IFERROR(Vertailu[[#This Row],[Vaikuttavuusrahoituksen muutos, €]]/Vertailu[[#This Row],[Vaikuttavuusrahoitus 2023, €]],0)</f>
        <v>-0.10139960011425307</v>
      </c>
    </row>
    <row r="86" spans="1:37" s="1" customFormat="1" ht="12.75" customHeight="1" x14ac:dyDescent="0.25">
      <c r="A86" s="3" t="s">
        <v>240</v>
      </c>
      <c r="B86" s="151" t="s">
        <v>77</v>
      </c>
      <c r="C86" s="151" t="s">
        <v>173</v>
      </c>
      <c r="D86" s="7" t="s">
        <v>325</v>
      </c>
      <c r="E8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0.76011232457697409</v>
      </c>
      <c r="F8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0.76011232457697409</v>
      </c>
      <c r="G8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0.14280498494992</v>
      </c>
      <c r="H8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9.7082690473105873E-2</v>
      </c>
      <c r="I8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8.9629157279645461E-2</v>
      </c>
      <c r="J8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0</v>
      </c>
      <c r="K8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7.4535331934604083E-3</v>
      </c>
      <c r="L8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0</v>
      </c>
      <c r="M8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8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548016</v>
      </c>
      <c r="O86" s="177">
        <f>IFERROR(VLOOKUP(Vertailu[[#This Row],[Y-tunnus]],'1.2 Ohjaus-laskentataulu'!A:AT,COLUMN('1.2 Ohjaus-laskentataulu'!AF:AF),FALSE),0)</f>
        <v>594349</v>
      </c>
      <c r="P86" s="177">
        <f>IFERROR(Vertailu[[#This Row],[Rahoitus pl. hark. kor. 2024 ilman alv, €]]-Vertailu[[#This Row],[Rahoitus pl. hark. kor. 2023 ilman alv, €]],0)</f>
        <v>46333</v>
      </c>
      <c r="Q86" s="179">
        <f>IFERROR(Vertailu[[#This Row],[Muutos, € 1]]/Vertailu[[#This Row],[Rahoitus pl. hark. kor. 2023 ilman alv, €]],0)</f>
        <v>8.454680155323932E-2</v>
      </c>
      <c r="R86" s="182">
        <f>IFERROR(VLOOKUP(Vertailu[[#This Row],[Y-tunnus]],'Suoritepäätös 2023 oikaistu'!$AB:$AL,COLUMN('Suoritepäätös 2023 oikaistu'!J:J),FALSE),0)</f>
        <v>548016</v>
      </c>
      <c r="S86" s="183">
        <f>IFERROR(VLOOKUP(Vertailu[[#This Row],[Y-tunnus]],'1.2 Ohjaus-laskentataulu'!A:AT,COLUMN('1.2 Ohjaus-laskentataulu'!AR:AR),FALSE),0)</f>
        <v>594349</v>
      </c>
      <c r="T86" s="177">
        <f>IFERROR(Vertailu[[#This Row],[Rahoitus ml. hark. kor. 
2024 ilman alv, €]]-Vertailu[[#This Row],[Rahoitus ml. hark. kor. 
2023 ilman alv, €]],0)</f>
        <v>46333</v>
      </c>
      <c r="U86" s="181">
        <f>IFERROR(Vertailu[[#This Row],[Muutos, € 2]]/Vertailu[[#This Row],[Rahoitus ml. hark. kor. 
2023 ilman alv, €]],0)</f>
        <v>8.454680155323932E-2</v>
      </c>
      <c r="V8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587056</v>
      </c>
      <c r="W86" s="182">
        <f>IFERROR(VLOOKUP(Vertailu[[#This Row],[Y-tunnus]],'1.2 Ohjaus-laskentataulu'!A:AT,COLUMN('1.2 Ohjaus-laskentataulu'!AT:AT),FALSE),0)</f>
        <v>622512</v>
      </c>
      <c r="X86" s="184">
        <f>IFERROR(Vertailu[[#This Row],[Rahoitus ml. hark. kor. + alv 2024, €]]-Vertailu[[#This Row],[Rahoitus ml. hark. kor. + alv 2023, €]],0)</f>
        <v>35456</v>
      </c>
      <c r="Y86" s="179">
        <f>IFERROR(Vertailu[[#This Row],[Muutos, € 3]]/Vertailu[[#This Row],[Rahoitus ml. hark. kor. + alv 2023, €]],0)</f>
        <v>6.0396282467090022E-2</v>
      </c>
      <c r="Z86" s="177">
        <f>IFERROR(VLOOKUP(Vertailu[[#This Row],[Y-tunnus]],'Suoritepäätös 2023 oikaistu'!$B:$N,COLUMN('Suoritepäätös 2023 oikaistu'!H:H),FALSE),0)</f>
        <v>435340</v>
      </c>
      <c r="AA86" s="177">
        <f>IFERROR(VLOOKUP(Vertailu[[#This Row],[Y-tunnus]],'1.2 Ohjaus-laskentataulu'!A:AT,COLUMN('1.2 Ohjaus-laskentataulu'!AO:AO),FALSE),0)</f>
        <v>451772</v>
      </c>
      <c r="AB86" s="177">
        <f>Vertailu[[#This Row],[Perusrahoitus 2024, €]]-Vertailu[[#This Row],[Perusrahoitus 2023, €]]</f>
        <v>16432</v>
      </c>
      <c r="AC86" s="179">
        <f>IFERROR(Vertailu[[#This Row],[Perusrahoituksen muutos, €]]/Vertailu[[#This Row],[Perusrahoitus 2023, €]],0)</f>
        <v>3.7745210639959573E-2</v>
      </c>
      <c r="AD86" s="177">
        <f>IFERROR(VLOOKUP(Vertailu[[#This Row],[Y-tunnus]],'Suoritepäätös 2023 oikaistu'!$O:$Y,COLUMN('Suoritepäätös 2023 oikaistu'!D:D),FALSE),0)</f>
        <v>68505</v>
      </c>
      <c r="AE86" s="177">
        <f>IFERROR(VLOOKUP(Vertailu[[#This Row],[Y-tunnus]],'1.2 Ohjaus-laskentataulu'!A:AT,COLUMN('1.2 Ohjaus-laskentataulu'!O:O),FALSE),0)</f>
        <v>84876</v>
      </c>
      <c r="AF86" s="177">
        <f>Vertailu[[#This Row],[Suoritusrahoitus 2024, €]]-Vertailu[[#This Row],[Suoritusrahoitus 2023, €]]</f>
        <v>16371</v>
      </c>
      <c r="AG86" s="179">
        <f>IFERROR(Vertailu[[#This Row],[Suoritusrahoituksen muutos, €]]/Vertailu[[#This Row],[Suoritusrahoitus 2023, €]],0)</f>
        <v>0.23897525728049049</v>
      </c>
      <c r="AH86" s="177">
        <f>IFERROR(VLOOKUP(Vertailu[[#This Row],[Y-tunnus]],'Suoritepäätös 2023 oikaistu'!$AB:$AL,COLUMN('Suoritepäätös 2023 oikaistu'!I:I),FALSE),0)</f>
        <v>44171</v>
      </c>
      <c r="AI8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57701</v>
      </c>
      <c r="AJ86" s="177">
        <f>Vertailu[[#This Row],[Vaikuttavuusrahoitus 2024, €]]-Vertailu[[#This Row],[Vaikuttavuusrahoitus 2023, €]]</f>
        <v>13530</v>
      </c>
      <c r="AK86" s="179">
        <f>IFERROR(Vertailu[[#This Row],[Vaikuttavuusrahoituksen muutos, €]]/Vertailu[[#This Row],[Vaikuttavuusrahoitus 2023, €]],0)</f>
        <v>0.30630956962713091</v>
      </c>
    </row>
    <row r="87" spans="1:37" s="1" customFormat="1" ht="12.75" customHeight="1" x14ac:dyDescent="0.25">
      <c r="A87" s="3" t="s">
        <v>239</v>
      </c>
      <c r="B87" s="151" t="s">
        <v>78</v>
      </c>
      <c r="C87" s="151" t="s">
        <v>173</v>
      </c>
      <c r="D87" s="7" t="s">
        <v>325</v>
      </c>
      <c r="E8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0.58521970705725701</v>
      </c>
      <c r="F8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0.58521970705725701</v>
      </c>
      <c r="G8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0.25390621834849003</v>
      </c>
      <c r="H8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0.16087407459425296</v>
      </c>
      <c r="I8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0.11801573561147678</v>
      </c>
      <c r="J8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7.5747549582301354E-3</v>
      </c>
      <c r="K8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2.7600791912338652E-2</v>
      </c>
      <c r="L8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6.6172756811067324E-3</v>
      </c>
      <c r="M8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1.0655164311006555E-3</v>
      </c>
      <c r="N8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742840</v>
      </c>
      <c r="O87" s="177">
        <f>IFERROR(VLOOKUP(Vertailu[[#This Row],[Y-tunnus]],'1.2 Ohjaus-laskentataulu'!A:AT,COLUMN('1.2 Ohjaus-laskentataulu'!AF:AF),FALSE),0)</f>
        <v>740486</v>
      </c>
      <c r="P87" s="177">
        <f>IFERROR(Vertailu[[#This Row],[Rahoitus pl. hark. kor. 2024 ilman alv, €]]-Vertailu[[#This Row],[Rahoitus pl. hark. kor. 2023 ilman alv, €]],0)</f>
        <v>-2354</v>
      </c>
      <c r="Q87" s="179">
        <f>IFERROR(Vertailu[[#This Row],[Muutos, € 1]]/Vertailu[[#This Row],[Rahoitus pl. hark. kor. 2023 ilman alv, €]],0)</f>
        <v>-3.168919282752679E-3</v>
      </c>
      <c r="R87" s="182">
        <f>IFERROR(VLOOKUP(Vertailu[[#This Row],[Y-tunnus]],'Suoritepäätös 2023 oikaistu'!$AB:$AL,COLUMN('Suoritepäätös 2023 oikaistu'!J:J),FALSE),0)</f>
        <v>742840</v>
      </c>
      <c r="S87" s="183">
        <f>IFERROR(VLOOKUP(Vertailu[[#This Row],[Y-tunnus]],'1.2 Ohjaus-laskentataulu'!A:AT,COLUMN('1.2 Ohjaus-laskentataulu'!AR:AR),FALSE),0)</f>
        <v>740486</v>
      </c>
      <c r="T87" s="177">
        <f>IFERROR(Vertailu[[#This Row],[Rahoitus ml. hark. kor. 
2024 ilman alv, €]]-Vertailu[[#This Row],[Rahoitus ml. hark. kor. 
2023 ilman alv, €]],0)</f>
        <v>-2354</v>
      </c>
      <c r="U87" s="181">
        <f>IFERROR(Vertailu[[#This Row],[Muutos, € 2]]/Vertailu[[#This Row],[Rahoitus ml. hark. kor. 
2023 ilman alv, €]],0)</f>
        <v>-3.168919282752679E-3</v>
      </c>
      <c r="V8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793663</v>
      </c>
      <c r="W87" s="182">
        <f>IFERROR(VLOOKUP(Vertailu[[#This Row],[Y-tunnus]],'1.2 Ohjaus-laskentataulu'!A:AT,COLUMN('1.2 Ohjaus-laskentataulu'!AT:AT),FALSE),0)</f>
        <v>784488</v>
      </c>
      <c r="X87" s="184">
        <f>IFERROR(Vertailu[[#This Row],[Rahoitus ml. hark. kor. + alv 2024, €]]-Vertailu[[#This Row],[Rahoitus ml. hark. kor. + alv 2023, €]],0)</f>
        <v>-9175</v>
      </c>
      <c r="Y87" s="179">
        <f>IFERROR(Vertailu[[#This Row],[Muutos, € 3]]/Vertailu[[#This Row],[Rahoitus ml. hark. kor. + alv 2023, €]],0)</f>
        <v>-1.156032220224453E-2</v>
      </c>
      <c r="Z87" s="177">
        <f>IFERROR(VLOOKUP(Vertailu[[#This Row],[Y-tunnus]],'Suoritepäätös 2023 oikaistu'!$B:$N,COLUMN('Suoritepäätös 2023 oikaistu'!H:H),FALSE),0)</f>
        <v>417147</v>
      </c>
      <c r="AA87" s="177">
        <f>IFERROR(VLOOKUP(Vertailu[[#This Row],[Y-tunnus]],'1.2 Ohjaus-laskentataulu'!A:AT,COLUMN('1.2 Ohjaus-laskentataulu'!AO:AO),FALSE),0)</f>
        <v>433347</v>
      </c>
      <c r="AB87" s="177">
        <f>Vertailu[[#This Row],[Perusrahoitus 2024, €]]-Vertailu[[#This Row],[Perusrahoitus 2023, €]]</f>
        <v>16200</v>
      </c>
      <c r="AC87" s="179">
        <f>IFERROR(Vertailu[[#This Row],[Perusrahoituksen muutos, €]]/Vertailu[[#This Row],[Perusrahoitus 2023, €]],0)</f>
        <v>3.8835230745996013E-2</v>
      </c>
      <c r="AD87" s="177">
        <f>IFERROR(VLOOKUP(Vertailu[[#This Row],[Y-tunnus]],'Suoritepäätös 2023 oikaistu'!$O:$Y,COLUMN('Suoritepäätös 2023 oikaistu'!D:D),FALSE),0)</f>
        <v>177854</v>
      </c>
      <c r="AE87" s="177">
        <f>IFERROR(VLOOKUP(Vertailu[[#This Row],[Y-tunnus]],'1.2 Ohjaus-laskentataulu'!A:AT,COLUMN('1.2 Ohjaus-laskentataulu'!O:O),FALSE),0)</f>
        <v>188014</v>
      </c>
      <c r="AF87" s="177">
        <f>Vertailu[[#This Row],[Suoritusrahoitus 2024, €]]-Vertailu[[#This Row],[Suoritusrahoitus 2023, €]]</f>
        <v>10160</v>
      </c>
      <c r="AG87" s="179">
        <f>IFERROR(Vertailu[[#This Row],[Suoritusrahoituksen muutos, €]]/Vertailu[[#This Row],[Suoritusrahoitus 2023, €]],0)</f>
        <v>5.7125507438685663E-2</v>
      </c>
      <c r="AH87" s="177">
        <f>IFERROR(VLOOKUP(Vertailu[[#This Row],[Y-tunnus]],'Suoritepäätös 2023 oikaistu'!$AB:$AL,COLUMN('Suoritepäätös 2023 oikaistu'!I:I),FALSE),0)</f>
        <v>147839</v>
      </c>
      <c r="AI8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119125</v>
      </c>
      <c r="AJ87" s="177">
        <f>Vertailu[[#This Row],[Vaikuttavuusrahoitus 2024, €]]-Vertailu[[#This Row],[Vaikuttavuusrahoitus 2023, €]]</f>
        <v>-28714</v>
      </c>
      <c r="AK87" s="179">
        <f>IFERROR(Vertailu[[#This Row],[Vaikuttavuusrahoituksen muutos, €]]/Vertailu[[#This Row],[Vaikuttavuusrahoitus 2023, €]],0)</f>
        <v>-0.19422479859847536</v>
      </c>
    </row>
    <row r="88" spans="1:37" s="1" customFormat="1" ht="12.75" customHeight="1" x14ac:dyDescent="0.25">
      <c r="A88" s="3" t="s">
        <v>238</v>
      </c>
      <c r="B88" s="151" t="s">
        <v>79</v>
      </c>
      <c r="C88" s="151" t="s">
        <v>255</v>
      </c>
      <c r="D88" s="7" t="s">
        <v>325</v>
      </c>
      <c r="E8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0.48739019073845513</v>
      </c>
      <c r="F8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0.48739019073845513</v>
      </c>
      <c r="G8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0.22865990068836034</v>
      </c>
      <c r="H8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0.28394990857318453</v>
      </c>
      <c r="I8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0.16794000104680748</v>
      </c>
      <c r="J8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5.208711464399259E-3</v>
      </c>
      <c r="K8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4.2101921904784415E-2</v>
      </c>
      <c r="L8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5.7802345861818032E-2</v>
      </c>
      <c r="M8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1.0896928295375306E-2</v>
      </c>
      <c r="N8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511623</v>
      </c>
      <c r="O88" s="177">
        <f>IFERROR(VLOOKUP(Vertailu[[#This Row],[Y-tunnus]],'1.2 Ohjaus-laskentataulu'!A:AT,COLUMN('1.2 Ohjaus-laskentataulu'!AF:AF),FALSE),0)</f>
        <v>592277</v>
      </c>
      <c r="P88" s="177">
        <f>IFERROR(Vertailu[[#This Row],[Rahoitus pl. hark. kor. 2024 ilman alv, €]]-Vertailu[[#This Row],[Rahoitus pl. hark. kor. 2023 ilman alv, €]],0)</f>
        <v>80654</v>
      </c>
      <c r="Q88" s="179">
        <f>IFERROR(Vertailu[[#This Row],[Muutos, € 1]]/Vertailu[[#This Row],[Rahoitus pl. hark. kor. 2023 ilman alv, €]],0)</f>
        <v>0.15764342103462903</v>
      </c>
      <c r="R88" s="182">
        <f>IFERROR(VLOOKUP(Vertailu[[#This Row],[Y-tunnus]],'Suoritepäätös 2023 oikaistu'!$AB:$AL,COLUMN('Suoritepäätös 2023 oikaistu'!J:J),FALSE),0)</f>
        <v>516623</v>
      </c>
      <c r="S88" s="183">
        <f>IFERROR(VLOOKUP(Vertailu[[#This Row],[Y-tunnus]],'1.2 Ohjaus-laskentataulu'!A:AT,COLUMN('1.2 Ohjaus-laskentataulu'!AR:AR),FALSE),0)</f>
        <v>592277</v>
      </c>
      <c r="T88" s="177">
        <f>IFERROR(Vertailu[[#This Row],[Rahoitus ml. hark. kor. 
2024 ilman alv, €]]-Vertailu[[#This Row],[Rahoitus ml. hark. kor. 
2023 ilman alv, €]],0)</f>
        <v>75654</v>
      </c>
      <c r="U88" s="181">
        <f>IFERROR(Vertailu[[#This Row],[Muutos, € 2]]/Vertailu[[#This Row],[Rahoitus ml. hark. kor. 
2023 ilman alv, €]],0)</f>
        <v>0.146439473271612</v>
      </c>
      <c r="V8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556475</v>
      </c>
      <c r="W88" s="182">
        <f>IFERROR(VLOOKUP(Vertailu[[#This Row],[Y-tunnus]],'1.2 Ohjaus-laskentataulu'!A:AT,COLUMN('1.2 Ohjaus-laskentataulu'!AT:AT),FALSE),0)</f>
        <v>632844</v>
      </c>
      <c r="X88" s="184">
        <f>IFERROR(Vertailu[[#This Row],[Rahoitus ml. hark. kor. + alv 2024, €]]-Vertailu[[#This Row],[Rahoitus ml. hark. kor. + alv 2023, €]],0)</f>
        <v>76369</v>
      </c>
      <c r="Y88" s="179">
        <f>IFERROR(Vertailu[[#This Row],[Muutos, € 3]]/Vertailu[[#This Row],[Rahoitus ml. hark. kor. + alv 2023, €]],0)</f>
        <v>0.13723707264477289</v>
      </c>
      <c r="Z88" s="177">
        <f>IFERROR(VLOOKUP(Vertailu[[#This Row],[Y-tunnus]],'Suoritepäätös 2023 oikaistu'!$B:$N,COLUMN('Suoritepäätös 2023 oikaistu'!H:H),FALSE),0)</f>
        <v>295443</v>
      </c>
      <c r="AA88" s="177">
        <f>IFERROR(VLOOKUP(Vertailu[[#This Row],[Y-tunnus]],'1.2 Ohjaus-laskentataulu'!A:AT,COLUMN('1.2 Ohjaus-laskentataulu'!AO:AO),FALSE),0)</f>
        <v>288670</v>
      </c>
      <c r="AB88" s="177">
        <f>Vertailu[[#This Row],[Perusrahoitus 2024, €]]-Vertailu[[#This Row],[Perusrahoitus 2023, €]]</f>
        <v>-6773</v>
      </c>
      <c r="AC88" s="179">
        <f>IFERROR(Vertailu[[#This Row],[Perusrahoituksen muutos, €]]/Vertailu[[#This Row],[Perusrahoitus 2023, €]],0)</f>
        <v>-2.2924895834391067E-2</v>
      </c>
      <c r="AD88" s="177">
        <f>IFERROR(VLOOKUP(Vertailu[[#This Row],[Y-tunnus]],'Suoritepäätös 2023 oikaistu'!$O:$Y,COLUMN('Suoritepäätös 2023 oikaistu'!D:D),FALSE),0)</f>
        <v>116124</v>
      </c>
      <c r="AE88" s="177">
        <f>IFERROR(VLOOKUP(Vertailu[[#This Row],[Y-tunnus]],'1.2 Ohjaus-laskentataulu'!A:AT,COLUMN('1.2 Ohjaus-laskentataulu'!O:O),FALSE),0)</f>
        <v>135430</v>
      </c>
      <c r="AF88" s="177">
        <f>Vertailu[[#This Row],[Suoritusrahoitus 2024, €]]-Vertailu[[#This Row],[Suoritusrahoitus 2023, €]]</f>
        <v>19306</v>
      </c>
      <c r="AG88" s="179">
        <f>IFERROR(Vertailu[[#This Row],[Suoritusrahoituksen muutos, €]]/Vertailu[[#This Row],[Suoritusrahoitus 2023, €]],0)</f>
        <v>0.16625331542144603</v>
      </c>
      <c r="AH88" s="177">
        <f>IFERROR(VLOOKUP(Vertailu[[#This Row],[Y-tunnus]],'Suoritepäätös 2023 oikaistu'!$AB:$AL,COLUMN('Suoritepäätös 2023 oikaistu'!I:I),FALSE),0)</f>
        <v>105056</v>
      </c>
      <c r="AI8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168177</v>
      </c>
      <c r="AJ88" s="177">
        <f>Vertailu[[#This Row],[Vaikuttavuusrahoitus 2024, €]]-Vertailu[[#This Row],[Vaikuttavuusrahoitus 2023, €]]</f>
        <v>63121</v>
      </c>
      <c r="AK88" s="179">
        <f>IFERROR(Vertailu[[#This Row],[Vaikuttavuusrahoituksen muutos, €]]/Vertailu[[#This Row],[Vaikuttavuusrahoitus 2023, €]],0)</f>
        <v>0.60083193725251294</v>
      </c>
    </row>
    <row r="89" spans="1:37" s="1" customFormat="1" ht="12.75" customHeight="1" x14ac:dyDescent="0.25">
      <c r="A89" s="3" t="s">
        <v>237</v>
      </c>
      <c r="B89" s="151" t="s">
        <v>80</v>
      </c>
      <c r="C89" s="151" t="s">
        <v>186</v>
      </c>
      <c r="D89" s="7" t="s">
        <v>324</v>
      </c>
      <c r="E8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0.73552959982542565</v>
      </c>
      <c r="F8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0.73751139611551142</v>
      </c>
      <c r="G8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0.17422112118542682</v>
      </c>
      <c r="H8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8.8267482699061761E-2</v>
      </c>
      <c r="I8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6.5340788878720149E-2</v>
      </c>
      <c r="J8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4.0797831249713675E-3</v>
      </c>
      <c r="K8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8.3931713181935336E-3</v>
      </c>
      <c r="L8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8.7822216751231932E-3</v>
      </c>
      <c r="M8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1.6715177020535214E-3</v>
      </c>
      <c r="N8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11227773</v>
      </c>
      <c r="O89" s="177">
        <f>IFERROR(VLOOKUP(Vertailu[[#This Row],[Y-tunnus]],'1.2 Ohjaus-laskentataulu'!A:AT,COLUMN('1.2 Ohjaus-laskentataulu'!AF:AF),FALSE),0)</f>
        <v>11415440</v>
      </c>
      <c r="P89" s="177">
        <f>IFERROR(Vertailu[[#This Row],[Rahoitus pl. hark. kor. 2024 ilman alv, €]]-Vertailu[[#This Row],[Rahoitus pl. hark. kor. 2023 ilman alv, €]],0)</f>
        <v>187667</v>
      </c>
      <c r="Q89" s="179">
        <f>IFERROR(Vertailu[[#This Row],[Muutos, € 1]]/Vertailu[[#This Row],[Rahoitus pl. hark. kor. 2023 ilman alv, €]],0)</f>
        <v>1.6714534574220553E-2</v>
      </c>
      <c r="R89" s="182">
        <f>IFERROR(VLOOKUP(Vertailu[[#This Row],[Y-tunnus]],'Suoritepäätös 2023 oikaistu'!$AB:$AL,COLUMN('Suoritepäätös 2023 oikaistu'!J:J),FALSE),0)</f>
        <v>11227773</v>
      </c>
      <c r="S89" s="183">
        <f>IFERROR(VLOOKUP(Vertailu[[#This Row],[Y-tunnus]],'1.2 Ohjaus-laskentataulu'!A:AT,COLUMN('1.2 Ohjaus-laskentataulu'!AR:AR),FALSE),0)</f>
        <v>11438108</v>
      </c>
      <c r="T89" s="177">
        <f>IFERROR(Vertailu[[#This Row],[Rahoitus ml. hark. kor. 
2024 ilman alv, €]]-Vertailu[[#This Row],[Rahoitus ml. hark. kor. 
2023 ilman alv, €]],0)</f>
        <v>210335</v>
      </c>
      <c r="U89" s="181">
        <f>IFERROR(Vertailu[[#This Row],[Muutos, € 2]]/Vertailu[[#This Row],[Rahoitus ml. hark. kor. 
2023 ilman alv, €]],0)</f>
        <v>1.8733456759412574E-2</v>
      </c>
      <c r="V8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11227773</v>
      </c>
      <c r="W89" s="182">
        <f>IFERROR(VLOOKUP(Vertailu[[#This Row],[Y-tunnus]],'1.2 Ohjaus-laskentataulu'!A:AT,COLUMN('1.2 Ohjaus-laskentataulu'!AT:AT),FALSE),0)</f>
        <v>11438108</v>
      </c>
      <c r="X89" s="184">
        <f>IFERROR(Vertailu[[#This Row],[Rahoitus ml. hark. kor. + alv 2024, €]]-Vertailu[[#This Row],[Rahoitus ml. hark. kor. + alv 2023, €]],0)</f>
        <v>210335</v>
      </c>
      <c r="Y89" s="179">
        <f>IFERROR(Vertailu[[#This Row],[Muutos, € 3]]/Vertailu[[#This Row],[Rahoitus ml. hark. kor. + alv 2023, €]],0)</f>
        <v>1.8733456759412574E-2</v>
      </c>
      <c r="Z89" s="177">
        <f>IFERROR(VLOOKUP(Vertailu[[#This Row],[Y-tunnus]],'Suoritepäätös 2023 oikaistu'!$B:$N,COLUMN('Suoritepäätös 2023 oikaistu'!H:H),FALSE),0)</f>
        <v>7970627</v>
      </c>
      <c r="AA89" s="177">
        <f>IFERROR(VLOOKUP(Vertailu[[#This Row],[Y-tunnus]],'1.2 Ohjaus-laskentataulu'!A:AT,COLUMN('1.2 Ohjaus-laskentataulu'!AO:AO),FALSE),0)</f>
        <v>8435735</v>
      </c>
      <c r="AB89" s="177">
        <f>Vertailu[[#This Row],[Perusrahoitus 2024, €]]-Vertailu[[#This Row],[Perusrahoitus 2023, €]]</f>
        <v>465108</v>
      </c>
      <c r="AC89" s="179">
        <f>IFERROR(Vertailu[[#This Row],[Perusrahoituksen muutos, €]]/Vertailu[[#This Row],[Perusrahoitus 2023, €]],0)</f>
        <v>5.835274941356558E-2</v>
      </c>
      <c r="AD89" s="177">
        <f>IFERROR(VLOOKUP(Vertailu[[#This Row],[Y-tunnus]],'Suoritepäätös 2023 oikaistu'!$O:$Y,COLUMN('Suoritepäätös 2023 oikaistu'!D:D),FALSE),0)</f>
        <v>2187959</v>
      </c>
      <c r="AE89" s="177">
        <f>IFERROR(VLOOKUP(Vertailu[[#This Row],[Y-tunnus]],'1.2 Ohjaus-laskentataulu'!A:AT,COLUMN('1.2 Ohjaus-laskentataulu'!O:O),FALSE),0)</f>
        <v>1992760</v>
      </c>
      <c r="AF89" s="177">
        <f>Vertailu[[#This Row],[Suoritusrahoitus 2024, €]]-Vertailu[[#This Row],[Suoritusrahoitus 2023, €]]</f>
        <v>-195199</v>
      </c>
      <c r="AG89" s="179">
        <f>IFERROR(Vertailu[[#This Row],[Suoritusrahoituksen muutos, €]]/Vertailu[[#This Row],[Suoritusrahoitus 2023, €]],0)</f>
        <v>-8.9215108692621753E-2</v>
      </c>
      <c r="AH89" s="177">
        <f>IFERROR(VLOOKUP(Vertailu[[#This Row],[Y-tunnus]],'Suoritepäätös 2023 oikaistu'!$AB:$AL,COLUMN('Suoritepäätös 2023 oikaistu'!I:I),FALSE),0)</f>
        <v>1069187</v>
      </c>
      <c r="AI8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1009613</v>
      </c>
      <c r="AJ89" s="177">
        <f>Vertailu[[#This Row],[Vaikuttavuusrahoitus 2024, €]]-Vertailu[[#This Row],[Vaikuttavuusrahoitus 2023, €]]</f>
        <v>-59574</v>
      </c>
      <c r="AK89" s="179">
        <f>IFERROR(Vertailu[[#This Row],[Vaikuttavuusrahoituksen muutos, €]]/Vertailu[[#This Row],[Vaikuttavuusrahoitus 2023, €]],0)</f>
        <v>-5.5718971517611043E-2</v>
      </c>
    </row>
    <row r="90" spans="1:37" s="1" customFormat="1" ht="12.75" customHeight="1" x14ac:dyDescent="0.25">
      <c r="A90" s="3" t="s">
        <v>236</v>
      </c>
      <c r="B90" s="151" t="s">
        <v>81</v>
      </c>
      <c r="C90" s="151" t="s">
        <v>173</v>
      </c>
      <c r="D90" s="7" t="s">
        <v>325</v>
      </c>
      <c r="E9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0.6492611645710592</v>
      </c>
      <c r="F9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0.65454943309046842</v>
      </c>
      <c r="G9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0.20508091122297784</v>
      </c>
      <c r="H9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0.14036965568655374</v>
      </c>
      <c r="I9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9.4270889982718792E-2</v>
      </c>
      <c r="J9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5.2511791766851959E-3</v>
      </c>
      <c r="K9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1.5110941441859276E-2</v>
      </c>
      <c r="L9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1.8090451974017735E-2</v>
      </c>
      <c r="M9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7.6461931112727444E-3</v>
      </c>
      <c r="N9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13005112</v>
      </c>
      <c r="O90" s="177">
        <f>IFERROR(VLOOKUP(Vertailu[[#This Row],[Y-tunnus]],'1.2 Ohjaus-laskentataulu'!A:AT,COLUMN('1.2 Ohjaus-laskentataulu'!AF:AF),FALSE),0)</f>
        <v>13919238</v>
      </c>
      <c r="P90" s="177">
        <f>IFERROR(Vertailu[[#This Row],[Rahoitus pl. hark. kor. 2024 ilman alv, €]]-Vertailu[[#This Row],[Rahoitus pl. hark. kor. 2023 ilman alv, €]],0)</f>
        <v>914126</v>
      </c>
      <c r="Q90" s="179">
        <f>IFERROR(Vertailu[[#This Row],[Muutos, € 1]]/Vertailu[[#This Row],[Rahoitus pl. hark. kor. 2023 ilman alv, €]],0)</f>
        <v>7.0289744525075984E-2</v>
      </c>
      <c r="R90" s="182">
        <f>IFERROR(VLOOKUP(Vertailu[[#This Row],[Y-tunnus]],'Suoritepäätös 2023 oikaistu'!$AB:$AL,COLUMN('Suoritepäätös 2023 oikaistu'!J:J),FALSE),0)</f>
        <v>13052112</v>
      </c>
      <c r="S90" s="183">
        <f>IFERROR(VLOOKUP(Vertailu[[#This Row],[Y-tunnus]],'1.2 Ohjaus-laskentataulu'!A:AT,COLUMN('1.2 Ohjaus-laskentataulu'!AR:AR),FALSE),0)</f>
        <v>13993238</v>
      </c>
      <c r="T90" s="177">
        <f>IFERROR(Vertailu[[#This Row],[Rahoitus ml. hark. kor. 
2024 ilman alv, €]]-Vertailu[[#This Row],[Rahoitus ml. hark. kor. 
2023 ilman alv, €]],0)</f>
        <v>941126</v>
      </c>
      <c r="U90" s="181">
        <f>IFERROR(Vertailu[[#This Row],[Muutos, € 2]]/Vertailu[[#This Row],[Rahoitus ml. hark. kor. 
2023 ilman alv, €]],0)</f>
        <v>7.2105265416049141E-2</v>
      </c>
      <c r="V9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13779272</v>
      </c>
      <c r="W90" s="182">
        <f>IFERROR(VLOOKUP(Vertailu[[#This Row],[Y-tunnus]],'1.2 Ohjaus-laskentataulu'!A:AT,COLUMN('1.2 Ohjaus-laskentataulu'!AT:AT),FALSE),0)</f>
        <v>14746216</v>
      </c>
      <c r="X90" s="184">
        <f>IFERROR(Vertailu[[#This Row],[Rahoitus ml. hark. kor. + alv 2024, €]]-Vertailu[[#This Row],[Rahoitus ml. hark. kor. + alv 2023, €]],0)</f>
        <v>966944</v>
      </c>
      <c r="Y90" s="179">
        <f>IFERROR(Vertailu[[#This Row],[Muutos, € 3]]/Vertailu[[#This Row],[Rahoitus ml. hark. kor. + alv 2023, €]],0)</f>
        <v>7.0173808892080802E-2</v>
      </c>
      <c r="Z90" s="177">
        <f>IFERROR(VLOOKUP(Vertailu[[#This Row],[Y-tunnus]],'Suoritepäätös 2023 oikaistu'!$B:$N,COLUMN('Suoritepäätös 2023 oikaistu'!H:H),FALSE),0)</f>
        <v>8653743</v>
      </c>
      <c r="AA90" s="177">
        <f>IFERROR(VLOOKUP(Vertailu[[#This Row],[Y-tunnus]],'1.2 Ohjaus-laskentataulu'!A:AT,COLUMN('1.2 Ohjaus-laskentataulu'!AO:AO),FALSE),0)</f>
        <v>9159266</v>
      </c>
      <c r="AB90" s="177">
        <f>Vertailu[[#This Row],[Perusrahoitus 2024, €]]-Vertailu[[#This Row],[Perusrahoitus 2023, €]]</f>
        <v>505523</v>
      </c>
      <c r="AC90" s="179">
        <f>IFERROR(Vertailu[[#This Row],[Perusrahoituksen muutos, €]]/Vertailu[[#This Row],[Perusrahoitus 2023, €]],0)</f>
        <v>5.8416687438025375E-2</v>
      </c>
      <c r="AD90" s="177">
        <f>IFERROR(VLOOKUP(Vertailu[[#This Row],[Y-tunnus]],'Suoritepäätös 2023 oikaistu'!$O:$Y,COLUMN('Suoritepäätös 2023 oikaistu'!D:D),FALSE),0)</f>
        <v>2695247</v>
      </c>
      <c r="AE90" s="177">
        <f>IFERROR(VLOOKUP(Vertailu[[#This Row],[Y-tunnus]],'1.2 Ohjaus-laskentataulu'!A:AT,COLUMN('1.2 Ohjaus-laskentataulu'!O:O),FALSE),0)</f>
        <v>2869746</v>
      </c>
      <c r="AF90" s="177">
        <f>Vertailu[[#This Row],[Suoritusrahoitus 2024, €]]-Vertailu[[#This Row],[Suoritusrahoitus 2023, €]]</f>
        <v>174499</v>
      </c>
      <c r="AG90" s="179">
        <f>IFERROR(Vertailu[[#This Row],[Suoritusrahoituksen muutos, €]]/Vertailu[[#This Row],[Suoritusrahoitus 2023, €]],0)</f>
        <v>6.4743231325366468E-2</v>
      </c>
      <c r="AH90" s="177">
        <f>IFERROR(VLOOKUP(Vertailu[[#This Row],[Y-tunnus]],'Suoritepäätös 2023 oikaistu'!$AB:$AL,COLUMN('Suoritepäätös 2023 oikaistu'!I:I),FALSE),0)</f>
        <v>1703122</v>
      </c>
      <c r="AI9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1964226</v>
      </c>
      <c r="AJ90" s="177">
        <f>Vertailu[[#This Row],[Vaikuttavuusrahoitus 2024, €]]-Vertailu[[#This Row],[Vaikuttavuusrahoitus 2023, €]]</f>
        <v>261104</v>
      </c>
      <c r="AK90" s="179">
        <f>IFERROR(Vertailu[[#This Row],[Vaikuttavuusrahoituksen muutos, €]]/Vertailu[[#This Row],[Vaikuttavuusrahoitus 2023, €]],0)</f>
        <v>0.15330904069115425</v>
      </c>
    </row>
    <row r="91" spans="1:37" s="1" customFormat="1" ht="12.75" customHeight="1" x14ac:dyDescent="0.25">
      <c r="A91" s="3" t="s">
        <v>235</v>
      </c>
      <c r="B91" s="151" t="s">
        <v>82</v>
      </c>
      <c r="C91" s="151" t="s">
        <v>222</v>
      </c>
      <c r="D91" s="7" t="s">
        <v>325</v>
      </c>
      <c r="E9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0.69680121040166343</v>
      </c>
      <c r="F9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0.69680121040166343</v>
      </c>
      <c r="G9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0.22508189989689098</v>
      </c>
      <c r="H9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7.8116889701445633E-2</v>
      </c>
      <c r="I9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4.1838975214676624E-2</v>
      </c>
      <c r="J9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2.8101478565469218E-3</v>
      </c>
      <c r="K9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1.3447345620074836E-2</v>
      </c>
      <c r="L9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1.5380012509625686E-2</v>
      </c>
      <c r="M9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4.640408500521569E-3</v>
      </c>
      <c r="N9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965013</v>
      </c>
      <c r="O91" s="177">
        <f>IFERROR(VLOOKUP(Vertailu[[#This Row],[Y-tunnus]],'1.2 Ohjaus-laskentataulu'!A:AT,COLUMN('1.2 Ohjaus-laskentataulu'!AF:AF),FALSE),0)</f>
        <v>996033</v>
      </c>
      <c r="P91" s="177">
        <f>IFERROR(Vertailu[[#This Row],[Rahoitus pl. hark. kor. 2024 ilman alv, €]]-Vertailu[[#This Row],[Rahoitus pl. hark. kor. 2023 ilman alv, €]],0)</f>
        <v>31020</v>
      </c>
      <c r="Q91" s="179">
        <f>IFERROR(Vertailu[[#This Row],[Muutos, € 1]]/Vertailu[[#This Row],[Rahoitus pl. hark. kor. 2023 ilman alv, €]],0)</f>
        <v>3.2144644683543125E-2</v>
      </c>
      <c r="R91" s="182">
        <f>IFERROR(VLOOKUP(Vertailu[[#This Row],[Y-tunnus]],'Suoritepäätös 2023 oikaistu'!$AB:$AL,COLUMN('Suoritepäätös 2023 oikaistu'!J:J),FALSE),0)</f>
        <v>970013</v>
      </c>
      <c r="S91" s="183">
        <f>IFERROR(VLOOKUP(Vertailu[[#This Row],[Y-tunnus]],'1.2 Ohjaus-laskentataulu'!A:AT,COLUMN('1.2 Ohjaus-laskentataulu'!AR:AR),FALSE),0)</f>
        <v>996033</v>
      </c>
      <c r="T91" s="177">
        <f>IFERROR(Vertailu[[#This Row],[Rahoitus ml. hark. kor. 
2024 ilman alv, €]]-Vertailu[[#This Row],[Rahoitus ml. hark. kor. 
2023 ilman alv, €]],0)</f>
        <v>26020</v>
      </c>
      <c r="U91" s="181">
        <f>IFERROR(Vertailu[[#This Row],[Muutos, € 2]]/Vertailu[[#This Row],[Rahoitus ml. hark. kor. 
2023 ilman alv, €]],0)</f>
        <v>2.6824382766004167E-2</v>
      </c>
      <c r="V9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1027606</v>
      </c>
      <c r="W91" s="182">
        <f>IFERROR(VLOOKUP(Vertailu[[#This Row],[Y-tunnus]],'1.2 Ohjaus-laskentataulu'!A:AT,COLUMN('1.2 Ohjaus-laskentataulu'!AT:AT),FALSE),0)</f>
        <v>1050433</v>
      </c>
      <c r="X91" s="184">
        <f>IFERROR(Vertailu[[#This Row],[Rahoitus ml. hark. kor. + alv 2024, €]]-Vertailu[[#This Row],[Rahoitus ml. hark. kor. + alv 2023, €]],0)</f>
        <v>22827</v>
      </c>
      <c r="Y91" s="179">
        <f>IFERROR(Vertailu[[#This Row],[Muutos, € 3]]/Vertailu[[#This Row],[Rahoitus ml. hark. kor. + alv 2023, €]],0)</f>
        <v>2.2213766754962505E-2</v>
      </c>
      <c r="Z91" s="177">
        <f>IFERROR(VLOOKUP(Vertailu[[#This Row],[Y-tunnus]],'Suoritepäätös 2023 oikaistu'!$B:$N,COLUMN('Suoritepäätös 2023 oikaistu'!H:H),FALSE),0)</f>
        <v>722987</v>
      </c>
      <c r="AA91" s="177">
        <f>IFERROR(VLOOKUP(Vertailu[[#This Row],[Y-tunnus]],'1.2 Ohjaus-laskentataulu'!A:AT,COLUMN('1.2 Ohjaus-laskentataulu'!AO:AO),FALSE),0)</f>
        <v>694037</v>
      </c>
      <c r="AB91" s="177">
        <f>Vertailu[[#This Row],[Perusrahoitus 2024, €]]-Vertailu[[#This Row],[Perusrahoitus 2023, €]]</f>
        <v>-28950</v>
      </c>
      <c r="AC91" s="179">
        <f>IFERROR(Vertailu[[#This Row],[Perusrahoituksen muutos, €]]/Vertailu[[#This Row],[Perusrahoitus 2023, €]],0)</f>
        <v>-4.0042213760413399E-2</v>
      </c>
      <c r="AD91" s="177">
        <f>IFERROR(VLOOKUP(Vertailu[[#This Row],[Y-tunnus]],'Suoritepäätös 2023 oikaistu'!$O:$Y,COLUMN('Suoritepäätös 2023 oikaistu'!D:D),FALSE),0)</f>
        <v>167245</v>
      </c>
      <c r="AE91" s="177">
        <f>IFERROR(VLOOKUP(Vertailu[[#This Row],[Y-tunnus]],'1.2 Ohjaus-laskentataulu'!A:AT,COLUMN('1.2 Ohjaus-laskentataulu'!O:O),FALSE),0)</f>
        <v>224189</v>
      </c>
      <c r="AF91" s="177">
        <f>Vertailu[[#This Row],[Suoritusrahoitus 2024, €]]-Vertailu[[#This Row],[Suoritusrahoitus 2023, €]]</f>
        <v>56944</v>
      </c>
      <c r="AG91" s="179">
        <f>IFERROR(Vertailu[[#This Row],[Suoritusrahoituksen muutos, €]]/Vertailu[[#This Row],[Suoritusrahoitus 2023, €]],0)</f>
        <v>0.34048252563604292</v>
      </c>
      <c r="AH91" s="177">
        <f>IFERROR(VLOOKUP(Vertailu[[#This Row],[Y-tunnus]],'Suoritepäätös 2023 oikaistu'!$AB:$AL,COLUMN('Suoritepäätös 2023 oikaistu'!I:I),FALSE),0)</f>
        <v>79781</v>
      </c>
      <c r="AI9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77807</v>
      </c>
      <c r="AJ91" s="177">
        <f>Vertailu[[#This Row],[Vaikuttavuusrahoitus 2024, €]]-Vertailu[[#This Row],[Vaikuttavuusrahoitus 2023, €]]</f>
        <v>-1974</v>
      </c>
      <c r="AK91" s="179">
        <f>IFERROR(Vertailu[[#This Row],[Vaikuttavuusrahoituksen muutos, €]]/Vertailu[[#This Row],[Vaikuttavuusrahoitus 2023, €]],0)</f>
        <v>-2.4742733232223212E-2</v>
      </c>
    </row>
    <row r="92" spans="1:37" s="1" customFormat="1" ht="12.75" customHeight="1" x14ac:dyDescent="0.25">
      <c r="A92" s="3" t="s">
        <v>242</v>
      </c>
      <c r="B92" s="151" t="s">
        <v>83</v>
      </c>
      <c r="C92" s="151" t="s">
        <v>241</v>
      </c>
      <c r="D92" s="7" t="s">
        <v>324</v>
      </c>
      <c r="E9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0.69036932392176964</v>
      </c>
      <c r="F9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0.69518718814041314</v>
      </c>
      <c r="G9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0.19913963757391839</v>
      </c>
      <c r="H9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0.10567317428566846</v>
      </c>
      <c r="I9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7.519517480962036E-2</v>
      </c>
      <c r="J9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4.068438970555162E-3</v>
      </c>
      <c r="K9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1.2040462265375569E-2</v>
      </c>
      <c r="L9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1.1797570864864042E-2</v>
      </c>
      <c r="M9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2.5715273752533211E-3</v>
      </c>
      <c r="N9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59345361</v>
      </c>
      <c r="O92" s="177">
        <f>IFERROR(VLOOKUP(Vertailu[[#This Row],[Y-tunnus]],'1.2 Ohjaus-laskentataulu'!A:AT,COLUMN('1.2 Ohjaus-laskentataulu'!AF:AF),FALSE),0)</f>
        <v>62105825</v>
      </c>
      <c r="P92" s="177">
        <f>IFERROR(Vertailu[[#This Row],[Rahoitus pl. hark. kor. 2024 ilman alv, €]]-Vertailu[[#This Row],[Rahoitus pl. hark. kor. 2023 ilman alv, €]],0)</f>
        <v>2760464</v>
      </c>
      <c r="Q92" s="179">
        <f>IFERROR(Vertailu[[#This Row],[Muutos, € 1]]/Vertailu[[#This Row],[Rahoitus pl. hark. kor. 2023 ilman alv, €]],0)</f>
        <v>4.6515244889992327E-2</v>
      </c>
      <c r="R92" s="182">
        <f>IFERROR(VLOOKUP(Vertailu[[#This Row],[Y-tunnus]],'Suoritepäätös 2023 oikaistu'!$AB:$AL,COLUMN('Suoritepäätös 2023 oikaistu'!J:J),FALSE),0)</f>
        <v>59450361</v>
      </c>
      <c r="S92" s="183">
        <f>IFERROR(VLOOKUP(Vertailu[[#This Row],[Y-tunnus]],'1.2 Ohjaus-laskentataulu'!A:AT,COLUMN('1.2 Ohjaus-laskentataulu'!AR:AR),FALSE),0)</f>
        <v>62406491</v>
      </c>
      <c r="T92" s="177">
        <f>IFERROR(Vertailu[[#This Row],[Rahoitus ml. hark. kor. 
2024 ilman alv, €]]-Vertailu[[#This Row],[Rahoitus ml. hark. kor. 
2023 ilman alv, €]],0)</f>
        <v>2956130</v>
      </c>
      <c r="U92" s="181">
        <f>IFERROR(Vertailu[[#This Row],[Muutos, € 2]]/Vertailu[[#This Row],[Rahoitus ml. hark. kor. 
2023 ilman alv, €]],0)</f>
        <v>4.9724340614180629E-2</v>
      </c>
      <c r="V9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59450361</v>
      </c>
      <c r="W92" s="182">
        <f>IFERROR(VLOOKUP(Vertailu[[#This Row],[Y-tunnus]],'1.2 Ohjaus-laskentataulu'!A:AT,COLUMN('1.2 Ohjaus-laskentataulu'!AT:AT),FALSE),0)</f>
        <v>62406491</v>
      </c>
      <c r="X92" s="184">
        <f>IFERROR(Vertailu[[#This Row],[Rahoitus ml. hark. kor. + alv 2024, €]]-Vertailu[[#This Row],[Rahoitus ml. hark. kor. + alv 2023, €]],0)</f>
        <v>2956130</v>
      </c>
      <c r="Y92" s="179">
        <f>IFERROR(Vertailu[[#This Row],[Muutos, € 3]]/Vertailu[[#This Row],[Rahoitus ml. hark. kor. + alv 2023, €]],0)</f>
        <v>4.9724340614180629E-2</v>
      </c>
      <c r="Z92" s="177">
        <f>IFERROR(VLOOKUP(Vertailu[[#This Row],[Y-tunnus]],'Suoritepäätös 2023 oikaistu'!$B:$N,COLUMN('Suoritepäätös 2023 oikaistu'!H:H),FALSE),0)</f>
        <v>41622823</v>
      </c>
      <c r="AA92" s="177">
        <f>IFERROR(VLOOKUP(Vertailu[[#This Row],[Y-tunnus]],'1.2 Ohjaus-laskentataulu'!A:AT,COLUMN('1.2 Ohjaus-laskentataulu'!AO:AO),FALSE),0)</f>
        <v>43384193</v>
      </c>
      <c r="AB92" s="177">
        <f>Vertailu[[#This Row],[Perusrahoitus 2024, €]]-Vertailu[[#This Row],[Perusrahoitus 2023, €]]</f>
        <v>1761370</v>
      </c>
      <c r="AC92" s="179">
        <f>IFERROR(Vertailu[[#This Row],[Perusrahoituksen muutos, €]]/Vertailu[[#This Row],[Perusrahoitus 2023, €]],0)</f>
        <v>4.2317408408362886E-2</v>
      </c>
      <c r="AD92" s="177">
        <f>IFERROR(VLOOKUP(Vertailu[[#This Row],[Y-tunnus]],'Suoritepäätös 2023 oikaistu'!$O:$Y,COLUMN('Suoritepäätös 2023 oikaistu'!D:D),FALSE),0)</f>
        <v>11461711</v>
      </c>
      <c r="AE92" s="177">
        <f>IFERROR(VLOOKUP(Vertailu[[#This Row],[Y-tunnus]],'1.2 Ohjaus-laskentataulu'!A:AT,COLUMN('1.2 Ohjaus-laskentataulu'!O:O),FALSE),0)</f>
        <v>12427606</v>
      </c>
      <c r="AF92" s="177">
        <f>Vertailu[[#This Row],[Suoritusrahoitus 2024, €]]-Vertailu[[#This Row],[Suoritusrahoitus 2023, €]]</f>
        <v>965895</v>
      </c>
      <c r="AG92" s="179">
        <f>IFERROR(Vertailu[[#This Row],[Suoritusrahoituksen muutos, €]]/Vertailu[[#This Row],[Suoritusrahoitus 2023, €]],0)</f>
        <v>8.4271449524420922E-2</v>
      </c>
      <c r="AH92" s="177">
        <f>IFERROR(VLOOKUP(Vertailu[[#This Row],[Y-tunnus]],'Suoritepäätös 2023 oikaistu'!$AB:$AL,COLUMN('Suoritepäätös 2023 oikaistu'!I:I),FALSE),0)</f>
        <v>6365827</v>
      </c>
      <c r="AI9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6594692</v>
      </c>
      <c r="AJ92" s="177">
        <f>Vertailu[[#This Row],[Vaikuttavuusrahoitus 2024, €]]-Vertailu[[#This Row],[Vaikuttavuusrahoitus 2023, €]]</f>
        <v>228865</v>
      </c>
      <c r="AK92" s="179">
        <f>IFERROR(Vertailu[[#This Row],[Vaikuttavuusrahoituksen muutos, €]]/Vertailu[[#This Row],[Vaikuttavuusrahoitus 2023, €]],0)</f>
        <v>3.5952123738204007E-2</v>
      </c>
    </row>
    <row r="93" spans="1:37" s="1" customFormat="1" ht="12.75" customHeight="1" x14ac:dyDescent="0.25">
      <c r="A93" s="3" t="s">
        <v>232</v>
      </c>
      <c r="B93" s="151" t="s">
        <v>84</v>
      </c>
      <c r="C93" s="151" t="s">
        <v>214</v>
      </c>
      <c r="D93" s="7" t="s">
        <v>325</v>
      </c>
      <c r="E9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0.60205485563624539</v>
      </c>
      <c r="F9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0.60205485563624539</v>
      </c>
      <c r="G9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0.23705389138825805</v>
      </c>
      <c r="H9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0.16089125297549658</v>
      </c>
      <c r="I9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8.9235394521344422E-2</v>
      </c>
      <c r="J9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7.0210206061234069E-3</v>
      </c>
      <c r="K9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1.9310864916052859E-2</v>
      </c>
      <c r="L9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3.6944370087012589E-2</v>
      </c>
      <c r="M9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8.3796028449633162E-3</v>
      </c>
      <c r="N9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1332409</v>
      </c>
      <c r="O93" s="177">
        <f>IFERROR(VLOOKUP(Vertailu[[#This Row],[Y-tunnus]],'1.2 Ohjaus-laskentataulu'!A:AT,COLUMN('1.2 Ohjaus-laskentataulu'!AF:AF),FALSE),0)</f>
        <v>1389684</v>
      </c>
      <c r="P93" s="177">
        <f>IFERROR(Vertailu[[#This Row],[Rahoitus pl. hark. kor. 2024 ilman alv, €]]-Vertailu[[#This Row],[Rahoitus pl. hark. kor. 2023 ilman alv, €]],0)</f>
        <v>57275</v>
      </c>
      <c r="Q93" s="179">
        <f>IFERROR(Vertailu[[#This Row],[Muutos, € 1]]/Vertailu[[#This Row],[Rahoitus pl. hark. kor. 2023 ilman alv, €]],0)</f>
        <v>4.2986050079217415E-2</v>
      </c>
      <c r="R93" s="182">
        <f>IFERROR(VLOOKUP(Vertailu[[#This Row],[Y-tunnus]],'Suoritepäätös 2023 oikaistu'!$AB:$AL,COLUMN('Suoritepäätös 2023 oikaistu'!J:J),FALSE),0)</f>
        <v>1332409</v>
      </c>
      <c r="S93" s="183">
        <f>IFERROR(VLOOKUP(Vertailu[[#This Row],[Y-tunnus]],'1.2 Ohjaus-laskentataulu'!A:AT,COLUMN('1.2 Ohjaus-laskentataulu'!AR:AR),FALSE),0)</f>
        <v>1389684</v>
      </c>
      <c r="T93" s="177">
        <f>IFERROR(Vertailu[[#This Row],[Rahoitus ml. hark. kor. 
2024 ilman alv, €]]-Vertailu[[#This Row],[Rahoitus ml. hark. kor. 
2023 ilman alv, €]],0)</f>
        <v>57275</v>
      </c>
      <c r="U93" s="181">
        <f>IFERROR(Vertailu[[#This Row],[Muutos, € 2]]/Vertailu[[#This Row],[Rahoitus ml. hark. kor. 
2023 ilman alv, €]],0)</f>
        <v>4.2986050079217415E-2</v>
      </c>
      <c r="V9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1383963</v>
      </c>
      <c r="W93" s="182">
        <f>IFERROR(VLOOKUP(Vertailu[[#This Row],[Y-tunnus]],'1.2 Ohjaus-laskentataulu'!A:AT,COLUMN('1.2 Ohjaus-laskentataulu'!AT:AT),FALSE),0)</f>
        <v>1444949</v>
      </c>
      <c r="X93" s="184">
        <f>IFERROR(Vertailu[[#This Row],[Rahoitus ml. hark. kor. + alv 2024, €]]-Vertailu[[#This Row],[Rahoitus ml. hark. kor. + alv 2023, €]],0)</f>
        <v>60986</v>
      </c>
      <c r="Y93" s="179">
        <f>IFERROR(Vertailu[[#This Row],[Muutos, € 3]]/Vertailu[[#This Row],[Rahoitus ml. hark. kor. + alv 2023, €]],0)</f>
        <v>4.4066206972296226E-2</v>
      </c>
      <c r="Z93" s="177">
        <f>IFERROR(VLOOKUP(Vertailu[[#This Row],[Y-tunnus]],'Suoritepäätös 2023 oikaistu'!$B:$N,COLUMN('Suoritepäätös 2023 oikaistu'!H:H),FALSE),0)</f>
        <v>771917</v>
      </c>
      <c r="AA93" s="177">
        <f>IFERROR(VLOOKUP(Vertailu[[#This Row],[Y-tunnus]],'1.2 Ohjaus-laskentataulu'!A:AT,COLUMN('1.2 Ohjaus-laskentataulu'!AO:AO),FALSE),0)</f>
        <v>836666</v>
      </c>
      <c r="AB93" s="177">
        <f>Vertailu[[#This Row],[Perusrahoitus 2024, €]]-Vertailu[[#This Row],[Perusrahoitus 2023, €]]</f>
        <v>64749</v>
      </c>
      <c r="AC93" s="179">
        <f>IFERROR(Vertailu[[#This Row],[Perusrahoituksen muutos, €]]/Vertailu[[#This Row],[Perusrahoitus 2023, €]],0)</f>
        <v>8.3880779928411989E-2</v>
      </c>
      <c r="AD93" s="177">
        <f>IFERROR(VLOOKUP(Vertailu[[#This Row],[Y-tunnus]],'Suoritepäätös 2023 oikaistu'!$O:$Y,COLUMN('Suoritepäätös 2023 oikaistu'!D:D),FALSE),0)</f>
        <v>358772</v>
      </c>
      <c r="AE93" s="177">
        <f>IFERROR(VLOOKUP(Vertailu[[#This Row],[Y-tunnus]],'1.2 Ohjaus-laskentataulu'!A:AT,COLUMN('1.2 Ohjaus-laskentataulu'!O:O),FALSE),0)</f>
        <v>329430</v>
      </c>
      <c r="AF93" s="177">
        <f>Vertailu[[#This Row],[Suoritusrahoitus 2024, €]]-Vertailu[[#This Row],[Suoritusrahoitus 2023, €]]</f>
        <v>-29342</v>
      </c>
      <c r="AG93" s="179">
        <f>IFERROR(Vertailu[[#This Row],[Suoritusrahoituksen muutos, €]]/Vertailu[[#This Row],[Suoritusrahoitus 2023, €]],0)</f>
        <v>-8.1784531680287195E-2</v>
      </c>
      <c r="AH93" s="177">
        <f>IFERROR(VLOOKUP(Vertailu[[#This Row],[Y-tunnus]],'Suoritepäätös 2023 oikaistu'!$AB:$AL,COLUMN('Suoritepäätös 2023 oikaistu'!I:I),FALSE),0)</f>
        <v>201720</v>
      </c>
      <c r="AI9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223588</v>
      </c>
      <c r="AJ93" s="177">
        <f>Vertailu[[#This Row],[Vaikuttavuusrahoitus 2024, €]]-Vertailu[[#This Row],[Vaikuttavuusrahoitus 2023, €]]</f>
        <v>21868</v>
      </c>
      <c r="AK93" s="179">
        <f>IFERROR(Vertailu[[#This Row],[Vaikuttavuusrahoituksen muutos, €]]/Vertailu[[#This Row],[Vaikuttavuusrahoitus 2023, €]],0)</f>
        <v>0.10840769383303589</v>
      </c>
    </row>
    <row r="94" spans="1:37" s="1" customFormat="1" ht="12.75" customHeight="1" x14ac:dyDescent="0.25">
      <c r="A94" s="3" t="s">
        <v>231</v>
      </c>
      <c r="B94" s="151" t="s">
        <v>85</v>
      </c>
      <c r="C94" s="151" t="s">
        <v>177</v>
      </c>
      <c r="D94" s="7" t="s">
        <v>325</v>
      </c>
      <c r="E9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0.69472254225921282</v>
      </c>
      <c r="F9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0.69472254225921282</v>
      </c>
      <c r="G9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0.19593658108782006</v>
      </c>
      <c r="H9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0.10934087665296717</v>
      </c>
      <c r="I9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7.3399480680274451E-2</v>
      </c>
      <c r="J9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7.5146596048355201E-3</v>
      </c>
      <c r="K9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1.5388715973380564E-2</v>
      </c>
      <c r="L9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1.0663250391209396E-2</v>
      </c>
      <c r="M9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2.3747700032672433E-3</v>
      </c>
      <c r="N9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585975</v>
      </c>
      <c r="O94" s="177">
        <f>IFERROR(VLOOKUP(Vertailu[[#This Row],[Y-tunnus]],'1.2 Ohjaus-laskentataulu'!A:AT,COLUMN('1.2 Ohjaus-laskentataulu'!AF:AF),FALSE),0)</f>
        <v>581530</v>
      </c>
      <c r="P94" s="177">
        <f>IFERROR(Vertailu[[#This Row],[Rahoitus pl. hark. kor. 2024 ilman alv, €]]-Vertailu[[#This Row],[Rahoitus pl. hark. kor. 2023 ilman alv, €]],0)</f>
        <v>-4445</v>
      </c>
      <c r="Q94" s="179">
        <f>IFERROR(Vertailu[[#This Row],[Muutos, € 1]]/Vertailu[[#This Row],[Rahoitus pl. hark. kor. 2023 ilman alv, €]],0)</f>
        <v>-7.5856478518708135E-3</v>
      </c>
      <c r="R94" s="182">
        <f>IFERROR(VLOOKUP(Vertailu[[#This Row],[Y-tunnus]],'Suoritepäätös 2023 oikaistu'!$AB:$AL,COLUMN('Suoritepäätös 2023 oikaistu'!J:J),FALSE),0)</f>
        <v>585975</v>
      </c>
      <c r="S94" s="183">
        <f>IFERROR(VLOOKUP(Vertailu[[#This Row],[Y-tunnus]],'1.2 Ohjaus-laskentataulu'!A:AT,COLUMN('1.2 Ohjaus-laskentataulu'!AR:AR),FALSE),0)</f>
        <v>581530</v>
      </c>
      <c r="T94" s="177">
        <f>IFERROR(Vertailu[[#This Row],[Rahoitus ml. hark. kor. 
2024 ilman alv, €]]-Vertailu[[#This Row],[Rahoitus ml. hark. kor. 
2023 ilman alv, €]],0)</f>
        <v>-4445</v>
      </c>
      <c r="U94" s="181">
        <f>IFERROR(Vertailu[[#This Row],[Muutos, € 2]]/Vertailu[[#This Row],[Rahoitus ml. hark. kor. 
2023 ilman alv, €]],0)</f>
        <v>-7.5856478518708135E-3</v>
      </c>
      <c r="V9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624756</v>
      </c>
      <c r="W94" s="182">
        <f>IFERROR(VLOOKUP(Vertailu[[#This Row],[Y-tunnus]],'1.2 Ohjaus-laskentataulu'!A:AT,COLUMN('1.2 Ohjaus-laskentataulu'!AT:AT),FALSE),0)</f>
        <v>626522</v>
      </c>
      <c r="X94" s="184">
        <f>IFERROR(Vertailu[[#This Row],[Rahoitus ml. hark. kor. + alv 2024, €]]-Vertailu[[#This Row],[Rahoitus ml. hark. kor. + alv 2023, €]],0)</f>
        <v>1766</v>
      </c>
      <c r="Y94" s="179">
        <f>IFERROR(Vertailu[[#This Row],[Muutos, € 3]]/Vertailu[[#This Row],[Rahoitus ml. hark. kor. + alv 2023, €]],0)</f>
        <v>2.8267035450639929E-3</v>
      </c>
      <c r="Z94" s="177">
        <f>IFERROR(VLOOKUP(Vertailu[[#This Row],[Y-tunnus]],'Suoritepäätös 2023 oikaistu'!$B:$N,COLUMN('Suoritepäätös 2023 oikaistu'!H:H),FALSE),0)</f>
        <v>401553</v>
      </c>
      <c r="AA94" s="177">
        <f>IFERROR(VLOOKUP(Vertailu[[#This Row],[Y-tunnus]],'1.2 Ohjaus-laskentataulu'!A:AT,COLUMN('1.2 Ohjaus-laskentataulu'!AO:AO),FALSE),0)</f>
        <v>404002</v>
      </c>
      <c r="AB94" s="177">
        <f>Vertailu[[#This Row],[Perusrahoitus 2024, €]]-Vertailu[[#This Row],[Perusrahoitus 2023, €]]</f>
        <v>2449</v>
      </c>
      <c r="AC94" s="179">
        <f>IFERROR(Vertailu[[#This Row],[Perusrahoituksen muutos, €]]/Vertailu[[#This Row],[Perusrahoitus 2023, €]],0)</f>
        <v>6.0988213262010245E-3</v>
      </c>
      <c r="AD94" s="177">
        <f>IFERROR(VLOOKUP(Vertailu[[#This Row],[Y-tunnus]],'Suoritepäätös 2023 oikaistu'!$O:$Y,COLUMN('Suoritepäätös 2023 oikaistu'!D:D),FALSE),0)</f>
        <v>125962</v>
      </c>
      <c r="AE94" s="177">
        <f>IFERROR(VLOOKUP(Vertailu[[#This Row],[Y-tunnus]],'1.2 Ohjaus-laskentataulu'!A:AT,COLUMN('1.2 Ohjaus-laskentataulu'!O:O),FALSE),0)</f>
        <v>113943</v>
      </c>
      <c r="AF94" s="177">
        <f>Vertailu[[#This Row],[Suoritusrahoitus 2024, €]]-Vertailu[[#This Row],[Suoritusrahoitus 2023, €]]</f>
        <v>-12019</v>
      </c>
      <c r="AG94" s="179">
        <f>IFERROR(Vertailu[[#This Row],[Suoritusrahoituksen muutos, €]]/Vertailu[[#This Row],[Suoritusrahoitus 2023, €]],0)</f>
        <v>-9.5417665645194577E-2</v>
      </c>
      <c r="AH94" s="177">
        <f>IFERROR(VLOOKUP(Vertailu[[#This Row],[Y-tunnus]],'Suoritepäätös 2023 oikaistu'!$AB:$AL,COLUMN('Suoritepäätös 2023 oikaistu'!I:I),FALSE),0)</f>
        <v>58460</v>
      </c>
      <c r="AI9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63585</v>
      </c>
      <c r="AJ94" s="177">
        <f>Vertailu[[#This Row],[Vaikuttavuusrahoitus 2024, €]]-Vertailu[[#This Row],[Vaikuttavuusrahoitus 2023, €]]</f>
        <v>5125</v>
      </c>
      <c r="AK94" s="179">
        <f>IFERROR(Vertailu[[#This Row],[Vaikuttavuusrahoituksen muutos, €]]/Vertailu[[#This Row],[Vaikuttavuusrahoitus 2023, €]],0)</f>
        <v>8.7666780704755393E-2</v>
      </c>
    </row>
    <row r="95" spans="1:37" s="1" customFormat="1" ht="12.75" customHeight="1" x14ac:dyDescent="0.25">
      <c r="A95" s="3" t="s">
        <v>230</v>
      </c>
      <c r="B95" s="151" t="s">
        <v>86</v>
      </c>
      <c r="C95" s="151" t="s">
        <v>180</v>
      </c>
      <c r="D95" s="7" t="s">
        <v>325</v>
      </c>
      <c r="E9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0.5843877903282787</v>
      </c>
      <c r="F9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0.58673849063548156</v>
      </c>
      <c r="G9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0.27867820793354636</v>
      </c>
      <c r="H9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0.13458330143097202</v>
      </c>
      <c r="I9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8.3126471706299471E-2</v>
      </c>
      <c r="J9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8.3147628009064296E-3</v>
      </c>
      <c r="K9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2.7061261936520347E-2</v>
      </c>
      <c r="L9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1.1394851832001493E-2</v>
      </c>
      <c r="M9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4.685953155244278E-3</v>
      </c>
      <c r="N9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2116970</v>
      </c>
      <c r="O95" s="177">
        <f>IFERROR(VLOOKUP(Vertailu[[#This Row],[Y-tunnus]],'1.2 Ohjaus-laskentataulu'!A:AT,COLUMN('1.2 Ohjaus-laskentataulu'!AF:AF),FALSE),0)</f>
        <v>2970836</v>
      </c>
      <c r="P95" s="177">
        <f>IFERROR(Vertailu[[#This Row],[Rahoitus pl. hark. kor. 2024 ilman alv, €]]-Vertailu[[#This Row],[Rahoitus pl. hark. kor. 2023 ilman alv, €]],0)</f>
        <v>853866</v>
      </c>
      <c r="Q95" s="179">
        <f>IFERROR(Vertailu[[#This Row],[Muutos, € 1]]/Vertailu[[#This Row],[Rahoitus pl. hark. kor. 2023 ilman alv, €]],0)</f>
        <v>0.40334345786666792</v>
      </c>
      <c r="R95" s="182">
        <f>IFERROR(VLOOKUP(Vertailu[[#This Row],[Y-tunnus]],'Suoritepäätös 2023 oikaistu'!$AB:$AL,COLUMN('Suoritepäätös 2023 oikaistu'!J:J),FALSE),0)</f>
        <v>2116970</v>
      </c>
      <c r="S95" s="183">
        <f>IFERROR(VLOOKUP(Vertailu[[#This Row],[Y-tunnus]],'1.2 Ohjaus-laskentataulu'!A:AT,COLUMN('1.2 Ohjaus-laskentataulu'!AR:AR),FALSE),0)</f>
        <v>2977836</v>
      </c>
      <c r="T95" s="177">
        <f>IFERROR(Vertailu[[#This Row],[Rahoitus ml. hark. kor. 
2024 ilman alv, €]]-Vertailu[[#This Row],[Rahoitus ml. hark. kor. 
2023 ilman alv, €]],0)</f>
        <v>860866</v>
      </c>
      <c r="U95" s="181">
        <f>IFERROR(Vertailu[[#This Row],[Muutos, € 2]]/Vertailu[[#This Row],[Rahoitus ml. hark. kor. 
2023 ilman alv, €]],0)</f>
        <v>0.40665007061980096</v>
      </c>
      <c r="V9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2246726</v>
      </c>
      <c r="W95" s="182">
        <f>IFERROR(VLOOKUP(Vertailu[[#This Row],[Y-tunnus]],'1.2 Ohjaus-laskentataulu'!A:AT,COLUMN('1.2 Ohjaus-laskentataulu'!AT:AT),FALSE),0)</f>
        <v>3115355</v>
      </c>
      <c r="X95" s="184">
        <f>IFERROR(Vertailu[[#This Row],[Rahoitus ml. hark. kor. + alv 2024, €]]-Vertailu[[#This Row],[Rahoitus ml. hark. kor. + alv 2023, €]],0)</f>
        <v>868629</v>
      </c>
      <c r="Y95" s="179">
        <f>IFERROR(Vertailu[[#This Row],[Muutos, € 3]]/Vertailu[[#This Row],[Rahoitus ml. hark. kor. + alv 2023, €]],0)</f>
        <v>0.38661990825761577</v>
      </c>
      <c r="Z95" s="177">
        <f>IFERROR(VLOOKUP(Vertailu[[#This Row],[Y-tunnus]],'Suoritepäätös 2023 oikaistu'!$B:$N,COLUMN('Suoritepäätös 2023 oikaistu'!H:H),FALSE),0)</f>
        <v>1318366</v>
      </c>
      <c r="AA95" s="177">
        <f>IFERROR(VLOOKUP(Vertailu[[#This Row],[Y-tunnus]],'1.2 Ohjaus-laskentataulu'!A:AT,COLUMN('1.2 Ohjaus-laskentataulu'!AO:AO),FALSE),0)</f>
        <v>1747211</v>
      </c>
      <c r="AB95" s="177">
        <f>Vertailu[[#This Row],[Perusrahoitus 2024, €]]-Vertailu[[#This Row],[Perusrahoitus 2023, €]]</f>
        <v>428845</v>
      </c>
      <c r="AC95" s="179">
        <f>IFERROR(Vertailu[[#This Row],[Perusrahoituksen muutos, €]]/Vertailu[[#This Row],[Perusrahoitus 2023, €]],0)</f>
        <v>0.3252852394555078</v>
      </c>
      <c r="AD95" s="177">
        <f>IFERROR(VLOOKUP(Vertailu[[#This Row],[Y-tunnus]],'Suoritepäätös 2023 oikaistu'!$O:$Y,COLUMN('Suoritepäätös 2023 oikaistu'!D:D),FALSE),0)</f>
        <v>463760</v>
      </c>
      <c r="AE95" s="177">
        <f>IFERROR(VLOOKUP(Vertailu[[#This Row],[Y-tunnus]],'1.2 Ohjaus-laskentataulu'!A:AT,COLUMN('1.2 Ohjaus-laskentataulu'!O:O),FALSE),0)</f>
        <v>829858</v>
      </c>
      <c r="AF95" s="177">
        <f>Vertailu[[#This Row],[Suoritusrahoitus 2024, €]]-Vertailu[[#This Row],[Suoritusrahoitus 2023, €]]</f>
        <v>366098</v>
      </c>
      <c r="AG95" s="179">
        <f>IFERROR(Vertailu[[#This Row],[Suoritusrahoituksen muutos, €]]/Vertailu[[#This Row],[Suoritusrahoitus 2023, €]],0)</f>
        <v>0.78941262722097638</v>
      </c>
      <c r="AH95" s="177">
        <f>IFERROR(VLOOKUP(Vertailu[[#This Row],[Y-tunnus]],'Suoritepäätös 2023 oikaistu'!$AB:$AL,COLUMN('Suoritepäätös 2023 oikaistu'!I:I),FALSE),0)</f>
        <v>334844</v>
      </c>
      <c r="AI9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400767</v>
      </c>
      <c r="AJ95" s="177">
        <f>Vertailu[[#This Row],[Vaikuttavuusrahoitus 2024, €]]-Vertailu[[#This Row],[Vaikuttavuusrahoitus 2023, €]]</f>
        <v>65923</v>
      </c>
      <c r="AK95" s="179">
        <f>IFERROR(Vertailu[[#This Row],[Vaikuttavuusrahoituksen muutos, €]]/Vertailu[[#This Row],[Vaikuttavuusrahoitus 2023, €]],0)</f>
        <v>0.19687675454838671</v>
      </c>
    </row>
    <row r="96" spans="1:37" s="1" customFormat="1" ht="12.75" customHeight="1" x14ac:dyDescent="0.25">
      <c r="A96" s="3" t="s">
        <v>234</v>
      </c>
      <c r="B96" s="151" t="s">
        <v>87</v>
      </c>
      <c r="C96" s="151" t="s">
        <v>173</v>
      </c>
      <c r="D96" s="7" t="s">
        <v>325</v>
      </c>
      <c r="E9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0.6004875021971483</v>
      </c>
      <c r="F9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0.6004875021971483</v>
      </c>
      <c r="G9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0.27609947416683078</v>
      </c>
      <c r="H9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0.12341302363602095</v>
      </c>
      <c r="I9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8.1348487832563543E-2</v>
      </c>
      <c r="J9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3.3206057564225556E-3</v>
      </c>
      <c r="K9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1.0221769027303935E-2</v>
      </c>
      <c r="L9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1.7354824090486509E-2</v>
      </c>
      <c r="M9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1.1167336929244414E-2</v>
      </c>
      <c r="N9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1768776</v>
      </c>
      <c r="O96" s="177">
        <f>IFERROR(VLOOKUP(Vertailu[[#This Row],[Y-tunnus]],'1.2 Ohjaus-laskentataulu'!A:AT,COLUMN('1.2 Ohjaus-laskentataulu'!AF:AF),FALSE),0)</f>
        <v>1888812</v>
      </c>
      <c r="P96" s="177">
        <f>IFERROR(Vertailu[[#This Row],[Rahoitus pl. hark. kor. 2024 ilman alv, €]]-Vertailu[[#This Row],[Rahoitus pl. hark. kor. 2023 ilman alv, €]],0)</f>
        <v>120036</v>
      </c>
      <c r="Q96" s="179">
        <f>IFERROR(Vertailu[[#This Row],[Muutos, € 1]]/Vertailu[[#This Row],[Rahoitus pl. hark. kor. 2023 ilman alv, €]],0)</f>
        <v>6.7863878750050885E-2</v>
      </c>
      <c r="R96" s="182">
        <f>IFERROR(VLOOKUP(Vertailu[[#This Row],[Y-tunnus]],'Suoritepäätös 2023 oikaistu'!$AB:$AL,COLUMN('Suoritepäätös 2023 oikaistu'!J:J),FALSE),0)</f>
        <v>1768776</v>
      </c>
      <c r="S96" s="183">
        <f>IFERROR(VLOOKUP(Vertailu[[#This Row],[Y-tunnus]],'1.2 Ohjaus-laskentataulu'!A:AT,COLUMN('1.2 Ohjaus-laskentataulu'!AR:AR),FALSE),0)</f>
        <v>1888812</v>
      </c>
      <c r="T96" s="177">
        <f>IFERROR(Vertailu[[#This Row],[Rahoitus ml. hark. kor. 
2024 ilman alv, €]]-Vertailu[[#This Row],[Rahoitus ml. hark. kor. 
2023 ilman alv, €]],0)</f>
        <v>120036</v>
      </c>
      <c r="U96" s="181">
        <f>IFERROR(Vertailu[[#This Row],[Muutos, € 2]]/Vertailu[[#This Row],[Rahoitus ml. hark. kor. 
2023 ilman alv, €]],0)</f>
        <v>6.7863878750050885E-2</v>
      </c>
      <c r="V9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2026800</v>
      </c>
      <c r="W96" s="182">
        <f>IFERROR(VLOOKUP(Vertailu[[#This Row],[Y-tunnus]],'1.2 Ohjaus-laskentataulu'!A:AT,COLUMN('1.2 Ohjaus-laskentataulu'!AT:AT),FALSE),0)</f>
        <v>2019952</v>
      </c>
      <c r="X96" s="184">
        <f>IFERROR(Vertailu[[#This Row],[Rahoitus ml. hark. kor. + alv 2024, €]]-Vertailu[[#This Row],[Rahoitus ml. hark. kor. + alv 2023, €]],0)</f>
        <v>-6848</v>
      </c>
      <c r="Y96" s="179">
        <f>IFERROR(Vertailu[[#This Row],[Muutos, € 3]]/Vertailu[[#This Row],[Rahoitus ml. hark. kor. + alv 2023, €]],0)</f>
        <v>-3.378725083876061E-3</v>
      </c>
      <c r="Z96" s="177">
        <f>IFERROR(VLOOKUP(Vertailu[[#This Row],[Y-tunnus]],'Suoritepäätös 2023 oikaistu'!$B:$N,COLUMN('Suoritepäätös 2023 oikaistu'!H:H),FALSE),0)</f>
        <v>1079904</v>
      </c>
      <c r="AA96" s="177">
        <f>IFERROR(VLOOKUP(Vertailu[[#This Row],[Y-tunnus]],'1.2 Ohjaus-laskentataulu'!A:AT,COLUMN('1.2 Ohjaus-laskentataulu'!AO:AO),FALSE),0)</f>
        <v>1134208</v>
      </c>
      <c r="AB96" s="177">
        <f>Vertailu[[#This Row],[Perusrahoitus 2024, €]]-Vertailu[[#This Row],[Perusrahoitus 2023, €]]</f>
        <v>54304</v>
      </c>
      <c r="AC96" s="179">
        <f>IFERROR(Vertailu[[#This Row],[Perusrahoituksen muutos, €]]/Vertailu[[#This Row],[Perusrahoitus 2023, €]],0)</f>
        <v>5.0285951343823153E-2</v>
      </c>
      <c r="AD96" s="177">
        <f>IFERROR(VLOOKUP(Vertailu[[#This Row],[Y-tunnus]],'Suoritepäätös 2023 oikaistu'!$O:$Y,COLUMN('Suoritepäätös 2023 oikaistu'!D:D),FALSE),0)</f>
        <v>494195</v>
      </c>
      <c r="AE96" s="177">
        <f>IFERROR(VLOOKUP(Vertailu[[#This Row],[Y-tunnus]],'1.2 Ohjaus-laskentataulu'!A:AT,COLUMN('1.2 Ohjaus-laskentataulu'!O:O),FALSE),0)</f>
        <v>521500</v>
      </c>
      <c r="AF96" s="177">
        <f>Vertailu[[#This Row],[Suoritusrahoitus 2024, €]]-Vertailu[[#This Row],[Suoritusrahoitus 2023, €]]</f>
        <v>27305</v>
      </c>
      <c r="AG96" s="179">
        <f>IFERROR(Vertailu[[#This Row],[Suoritusrahoituksen muutos, €]]/Vertailu[[#This Row],[Suoritusrahoitus 2023, €]],0)</f>
        <v>5.5251469561610297E-2</v>
      </c>
      <c r="AH96" s="177">
        <f>IFERROR(VLOOKUP(Vertailu[[#This Row],[Y-tunnus]],'Suoritepäätös 2023 oikaistu'!$AB:$AL,COLUMN('Suoritepäätös 2023 oikaistu'!I:I),FALSE),0)</f>
        <v>194677</v>
      </c>
      <c r="AI9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233104</v>
      </c>
      <c r="AJ96" s="177">
        <f>Vertailu[[#This Row],[Vaikuttavuusrahoitus 2024, €]]-Vertailu[[#This Row],[Vaikuttavuusrahoitus 2023, €]]</f>
        <v>38427</v>
      </c>
      <c r="AK96" s="179">
        <f>IFERROR(Vertailu[[#This Row],[Vaikuttavuusrahoituksen muutos, €]]/Vertailu[[#This Row],[Vaikuttavuusrahoitus 2023, €]],0)</f>
        <v>0.19738849478880402</v>
      </c>
    </row>
    <row r="97" spans="1:37" s="1" customFormat="1" ht="12.75" customHeight="1" x14ac:dyDescent="0.25">
      <c r="A97" s="3" t="s">
        <v>233</v>
      </c>
      <c r="B97" s="151" t="s">
        <v>88</v>
      </c>
      <c r="C97" s="151" t="s">
        <v>177</v>
      </c>
      <c r="D97" s="7" t="s">
        <v>325</v>
      </c>
      <c r="E9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0.71758495589771876</v>
      </c>
      <c r="F9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0.71758495589771876</v>
      </c>
      <c r="G9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0.16141222770885599</v>
      </c>
      <c r="H9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0.12100281639342524</v>
      </c>
      <c r="I9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0.10439086873272904</v>
      </c>
      <c r="J9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3.3560695665087858E-3</v>
      </c>
      <c r="K9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3.3348537968271815E-3</v>
      </c>
      <c r="L9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7.1735821235924665E-3</v>
      </c>
      <c r="M9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2.7474421737677616E-3</v>
      </c>
      <c r="N9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734443</v>
      </c>
      <c r="O97" s="177">
        <f>IFERROR(VLOOKUP(Vertailu[[#This Row],[Y-tunnus]],'1.2 Ohjaus-laskentataulu'!A:AT,COLUMN('1.2 Ohjaus-laskentataulu'!AF:AF),FALSE),0)</f>
        <v>754156</v>
      </c>
      <c r="P97" s="177">
        <f>IFERROR(Vertailu[[#This Row],[Rahoitus pl. hark. kor. 2024 ilman alv, €]]-Vertailu[[#This Row],[Rahoitus pl. hark. kor. 2023 ilman alv, €]],0)</f>
        <v>19713</v>
      </c>
      <c r="Q97" s="179">
        <f>IFERROR(Vertailu[[#This Row],[Muutos, € 1]]/Vertailu[[#This Row],[Rahoitus pl. hark. kor. 2023 ilman alv, €]],0)</f>
        <v>2.6840748703439204E-2</v>
      </c>
      <c r="R97" s="182">
        <f>IFERROR(VLOOKUP(Vertailu[[#This Row],[Y-tunnus]],'Suoritepäätös 2023 oikaistu'!$AB:$AL,COLUMN('Suoritepäätös 2023 oikaistu'!J:J),FALSE),0)</f>
        <v>734443</v>
      </c>
      <c r="S97" s="183">
        <f>IFERROR(VLOOKUP(Vertailu[[#This Row],[Y-tunnus]],'1.2 Ohjaus-laskentataulu'!A:AT,COLUMN('1.2 Ohjaus-laskentataulu'!AR:AR),FALSE),0)</f>
        <v>754156</v>
      </c>
      <c r="T97" s="177">
        <f>IFERROR(Vertailu[[#This Row],[Rahoitus ml. hark. kor. 
2024 ilman alv, €]]-Vertailu[[#This Row],[Rahoitus ml. hark. kor. 
2023 ilman alv, €]],0)</f>
        <v>19713</v>
      </c>
      <c r="U97" s="181">
        <f>IFERROR(Vertailu[[#This Row],[Muutos, € 2]]/Vertailu[[#This Row],[Rahoitus ml. hark. kor. 
2023 ilman alv, €]],0)</f>
        <v>2.6840748703439204E-2</v>
      </c>
      <c r="V9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762252</v>
      </c>
      <c r="W97" s="182">
        <f>IFERROR(VLOOKUP(Vertailu[[#This Row],[Y-tunnus]],'1.2 Ohjaus-laskentataulu'!A:AT,COLUMN('1.2 Ohjaus-laskentataulu'!AT:AT),FALSE),0)</f>
        <v>781375</v>
      </c>
      <c r="X97" s="184">
        <f>IFERROR(Vertailu[[#This Row],[Rahoitus ml. hark. kor. + alv 2024, €]]-Vertailu[[#This Row],[Rahoitus ml. hark. kor. + alv 2023, €]],0)</f>
        <v>19123</v>
      </c>
      <c r="Y97" s="179">
        <f>IFERROR(Vertailu[[#This Row],[Muutos, € 3]]/Vertailu[[#This Row],[Rahoitus ml. hark. kor. + alv 2023, €]],0)</f>
        <v>2.5087503870111195E-2</v>
      </c>
      <c r="Z97" s="177">
        <f>IFERROR(VLOOKUP(Vertailu[[#This Row],[Y-tunnus]],'Suoritepäätös 2023 oikaistu'!$B:$N,COLUMN('Suoritepäätös 2023 oikaistu'!H:H),FALSE),0)</f>
        <v>486672</v>
      </c>
      <c r="AA97" s="177">
        <f>IFERROR(VLOOKUP(Vertailu[[#This Row],[Y-tunnus]],'1.2 Ohjaus-laskentataulu'!A:AT,COLUMN('1.2 Ohjaus-laskentataulu'!AO:AO),FALSE),0)</f>
        <v>541171</v>
      </c>
      <c r="AB97" s="177">
        <f>Vertailu[[#This Row],[Perusrahoitus 2024, €]]-Vertailu[[#This Row],[Perusrahoitus 2023, €]]</f>
        <v>54499</v>
      </c>
      <c r="AC97" s="179">
        <f>IFERROR(Vertailu[[#This Row],[Perusrahoituksen muutos, €]]/Vertailu[[#This Row],[Perusrahoitus 2023, €]],0)</f>
        <v>0.11198301936417135</v>
      </c>
      <c r="AD97" s="177">
        <f>IFERROR(VLOOKUP(Vertailu[[#This Row],[Y-tunnus]],'Suoritepäätös 2023 oikaistu'!$O:$Y,COLUMN('Suoritepäätös 2023 oikaistu'!D:D),FALSE),0)</f>
        <v>146029</v>
      </c>
      <c r="AE97" s="177">
        <f>IFERROR(VLOOKUP(Vertailu[[#This Row],[Y-tunnus]],'1.2 Ohjaus-laskentataulu'!A:AT,COLUMN('1.2 Ohjaus-laskentataulu'!O:O),FALSE),0)</f>
        <v>121730</v>
      </c>
      <c r="AF97" s="177">
        <f>Vertailu[[#This Row],[Suoritusrahoitus 2024, €]]-Vertailu[[#This Row],[Suoritusrahoitus 2023, €]]</f>
        <v>-24299</v>
      </c>
      <c r="AG97" s="179">
        <f>IFERROR(Vertailu[[#This Row],[Suoritusrahoituksen muutos, €]]/Vertailu[[#This Row],[Suoritusrahoitus 2023, €]],0)</f>
        <v>-0.16639845510138399</v>
      </c>
      <c r="AH97" s="177">
        <f>IFERROR(VLOOKUP(Vertailu[[#This Row],[Y-tunnus]],'Suoritepäätös 2023 oikaistu'!$AB:$AL,COLUMN('Suoritepäätös 2023 oikaistu'!I:I),FALSE),0)</f>
        <v>101742</v>
      </c>
      <c r="AI9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91255</v>
      </c>
      <c r="AJ97" s="177">
        <f>Vertailu[[#This Row],[Vaikuttavuusrahoitus 2024, €]]-Vertailu[[#This Row],[Vaikuttavuusrahoitus 2023, €]]</f>
        <v>-10487</v>
      </c>
      <c r="AK97" s="179">
        <f>IFERROR(Vertailu[[#This Row],[Vaikuttavuusrahoituksen muutos, €]]/Vertailu[[#This Row],[Vaikuttavuusrahoitus 2023, €]],0)</f>
        <v>-0.10307444319946532</v>
      </c>
    </row>
    <row r="98" spans="1:37" s="1" customFormat="1" ht="12.75" customHeight="1" x14ac:dyDescent="0.25">
      <c r="A98" s="3" t="s">
        <v>228</v>
      </c>
      <c r="B98" s="151" t="s">
        <v>89</v>
      </c>
      <c r="C98" s="151" t="s">
        <v>180</v>
      </c>
      <c r="D98" s="7" t="s">
        <v>325</v>
      </c>
      <c r="E9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0.63348209105656283</v>
      </c>
      <c r="F9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0.63877013803412286</v>
      </c>
      <c r="G9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0.19618728229536617</v>
      </c>
      <c r="H9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0.16504257967051095</v>
      </c>
      <c r="I9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8.9037924687563275E-2</v>
      </c>
      <c r="J9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6.4091334132673839E-3</v>
      </c>
      <c r="K9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2.3793651840947925E-2</v>
      </c>
      <c r="L9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3.3184954803892351E-2</v>
      </c>
      <c r="M9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1.261691492484E-2</v>
      </c>
      <c r="N9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1647447</v>
      </c>
      <c r="O98" s="177">
        <f>IFERROR(VLOOKUP(Vertailu[[#This Row],[Y-tunnus]],'1.2 Ohjaus-laskentataulu'!A:AT,COLUMN('1.2 Ohjaus-laskentataulu'!AF:AF),FALSE),0)</f>
        <v>1748819</v>
      </c>
      <c r="P98" s="177">
        <f>IFERROR(Vertailu[[#This Row],[Rahoitus pl. hark. kor. 2024 ilman alv, €]]-Vertailu[[#This Row],[Rahoitus pl. hark. kor. 2023 ilman alv, €]],0)</f>
        <v>101372</v>
      </c>
      <c r="Q98" s="179">
        <f>IFERROR(Vertailu[[#This Row],[Muutos, € 1]]/Vertailu[[#This Row],[Rahoitus pl. hark. kor. 2023 ilman alv, €]],0)</f>
        <v>6.1532783755714145E-2</v>
      </c>
      <c r="R98" s="182">
        <f>IFERROR(VLOOKUP(Vertailu[[#This Row],[Y-tunnus]],'Suoritepäätös 2023 oikaistu'!$AB:$AL,COLUMN('Suoritepäätös 2023 oikaistu'!J:J),FALSE),0)</f>
        <v>1652447</v>
      </c>
      <c r="S98" s="183">
        <f>IFERROR(VLOOKUP(Vertailu[[#This Row],[Y-tunnus]],'1.2 Ohjaus-laskentataulu'!A:AT,COLUMN('1.2 Ohjaus-laskentataulu'!AR:AR),FALSE),0)</f>
        <v>1758116</v>
      </c>
      <c r="T98" s="177">
        <f>IFERROR(Vertailu[[#This Row],[Rahoitus ml. hark. kor. 
2024 ilman alv, €]]-Vertailu[[#This Row],[Rahoitus ml. hark. kor. 
2023 ilman alv, €]],0)</f>
        <v>105669</v>
      </c>
      <c r="U98" s="181">
        <f>IFERROR(Vertailu[[#This Row],[Muutos, € 2]]/Vertailu[[#This Row],[Rahoitus ml. hark. kor. 
2023 ilman alv, €]],0)</f>
        <v>6.3946982868436933E-2</v>
      </c>
      <c r="V9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1737620</v>
      </c>
      <c r="W98" s="182">
        <f>IFERROR(VLOOKUP(Vertailu[[#This Row],[Y-tunnus]],'1.2 Ohjaus-laskentataulu'!A:AT,COLUMN('1.2 Ohjaus-laskentataulu'!AT:AT),FALSE),0)</f>
        <v>1867176</v>
      </c>
      <c r="X98" s="184">
        <f>IFERROR(Vertailu[[#This Row],[Rahoitus ml. hark. kor. + alv 2024, €]]-Vertailu[[#This Row],[Rahoitus ml. hark. kor. + alv 2023, €]],0)</f>
        <v>129556</v>
      </c>
      <c r="Y98" s="179">
        <f>IFERROR(Vertailu[[#This Row],[Muutos, € 3]]/Vertailu[[#This Row],[Rahoitus ml. hark. kor. + alv 2023, €]],0)</f>
        <v>7.4559454886568982E-2</v>
      </c>
      <c r="Z98" s="177">
        <f>IFERROR(VLOOKUP(Vertailu[[#This Row],[Y-tunnus]],'Suoritepäätös 2023 oikaistu'!$B:$N,COLUMN('Suoritepäätös 2023 oikaistu'!H:H),FALSE),0)</f>
        <v>1070609</v>
      </c>
      <c r="AA98" s="177">
        <f>IFERROR(VLOOKUP(Vertailu[[#This Row],[Y-tunnus]],'1.2 Ohjaus-laskentataulu'!A:AT,COLUMN('1.2 Ohjaus-laskentataulu'!AO:AO),FALSE),0)</f>
        <v>1123032</v>
      </c>
      <c r="AB98" s="177">
        <f>Vertailu[[#This Row],[Perusrahoitus 2024, €]]-Vertailu[[#This Row],[Perusrahoitus 2023, €]]</f>
        <v>52423</v>
      </c>
      <c r="AC98" s="179">
        <f>IFERROR(Vertailu[[#This Row],[Perusrahoituksen muutos, €]]/Vertailu[[#This Row],[Perusrahoitus 2023, €]],0)</f>
        <v>4.8965588744350176E-2</v>
      </c>
      <c r="AD98" s="177">
        <f>IFERROR(VLOOKUP(Vertailu[[#This Row],[Y-tunnus]],'Suoritepäätös 2023 oikaistu'!$O:$Y,COLUMN('Suoritepäätös 2023 oikaistu'!D:D),FALSE),0)</f>
        <v>367526</v>
      </c>
      <c r="AE98" s="177">
        <f>IFERROR(VLOOKUP(Vertailu[[#This Row],[Y-tunnus]],'1.2 Ohjaus-laskentataulu'!A:AT,COLUMN('1.2 Ohjaus-laskentataulu'!O:O),FALSE),0)</f>
        <v>344920</v>
      </c>
      <c r="AF98" s="177">
        <f>Vertailu[[#This Row],[Suoritusrahoitus 2024, €]]-Vertailu[[#This Row],[Suoritusrahoitus 2023, €]]</f>
        <v>-22606</v>
      </c>
      <c r="AG98" s="179">
        <f>IFERROR(Vertailu[[#This Row],[Suoritusrahoituksen muutos, €]]/Vertailu[[#This Row],[Suoritusrahoitus 2023, €]],0)</f>
        <v>-6.1508573543096273E-2</v>
      </c>
      <c r="AH98" s="177">
        <f>IFERROR(VLOOKUP(Vertailu[[#This Row],[Y-tunnus]],'Suoritepäätös 2023 oikaistu'!$AB:$AL,COLUMN('Suoritepäätös 2023 oikaistu'!I:I),FALSE),0)</f>
        <v>214312</v>
      </c>
      <c r="AI9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290164</v>
      </c>
      <c r="AJ98" s="177">
        <f>Vertailu[[#This Row],[Vaikuttavuusrahoitus 2024, €]]-Vertailu[[#This Row],[Vaikuttavuusrahoitus 2023, €]]</f>
        <v>75852</v>
      </c>
      <c r="AK98" s="179">
        <f>IFERROR(Vertailu[[#This Row],[Vaikuttavuusrahoituksen muutos, €]]/Vertailu[[#This Row],[Vaikuttavuusrahoitus 2023, €]],0)</f>
        <v>0.3539325842696629</v>
      </c>
    </row>
    <row r="99" spans="1:37" s="1" customFormat="1" ht="12.75" customHeight="1" x14ac:dyDescent="0.25">
      <c r="A99" s="3" t="s">
        <v>227</v>
      </c>
      <c r="B99" s="151" t="s">
        <v>90</v>
      </c>
      <c r="C99" s="151" t="s">
        <v>186</v>
      </c>
      <c r="D99" s="7" t="s">
        <v>324</v>
      </c>
      <c r="E9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0.64455413265499084</v>
      </c>
      <c r="F9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0.64839050128277009</v>
      </c>
      <c r="G9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0.22186495005811044</v>
      </c>
      <c r="H9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0.12974454865911944</v>
      </c>
      <c r="I9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9.2515836417139577E-2</v>
      </c>
      <c r="J9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5.5113556181587125E-3</v>
      </c>
      <c r="K9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1.5303824575791686E-2</v>
      </c>
      <c r="L9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1.237561603206545E-2</v>
      </c>
      <c r="M9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4.037916015964E-3</v>
      </c>
      <c r="N9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18904853</v>
      </c>
      <c r="O99" s="177">
        <f>IFERROR(VLOOKUP(Vertailu[[#This Row],[Y-tunnus]],'1.2 Ohjaus-laskentataulu'!A:AT,COLUMN('1.2 Ohjaus-laskentataulu'!AF:AF),FALSE),0)</f>
        <v>18727427</v>
      </c>
      <c r="P99" s="177">
        <f>IFERROR(Vertailu[[#This Row],[Rahoitus pl. hark. kor. 2024 ilman alv, €]]-Vertailu[[#This Row],[Rahoitus pl. hark. kor. 2023 ilman alv, €]],0)</f>
        <v>-177426</v>
      </c>
      <c r="Q99" s="179">
        <f>IFERROR(Vertailu[[#This Row],[Muutos, € 1]]/Vertailu[[#This Row],[Rahoitus pl. hark. kor. 2023 ilman alv, €]],0)</f>
        <v>-9.3852091841179625E-3</v>
      </c>
      <c r="R99" s="182">
        <f>IFERROR(VLOOKUP(Vertailu[[#This Row],[Y-tunnus]],'Suoritepäätös 2023 oikaistu'!$AB:$AL,COLUMN('Suoritepäätös 2023 oikaistu'!J:J),FALSE),0)</f>
        <v>18941853</v>
      </c>
      <c r="S99" s="183">
        <f>IFERROR(VLOOKUP(Vertailu[[#This Row],[Y-tunnus]],'1.2 Ohjaus-laskentataulu'!A:AT,COLUMN('1.2 Ohjaus-laskentataulu'!AR:AR),FALSE),0)</f>
        <v>18799549</v>
      </c>
      <c r="T99" s="177">
        <f>IFERROR(Vertailu[[#This Row],[Rahoitus ml. hark. kor. 
2024 ilman alv, €]]-Vertailu[[#This Row],[Rahoitus ml. hark. kor. 
2023 ilman alv, €]],0)</f>
        <v>-142304</v>
      </c>
      <c r="U99" s="181">
        <f>IFERROR(Vertailu[[#This Row],[Muutos, € 2]]/Vertailu[[#This Row],[Rahoitus ml. hark. kor. 
2023 ilman alv, €]],0)</f>
        <v>-7.5126757661987979E-3</v>
      </c>
      <c r="V9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18941853</v>
      </c>
      <c r="W99" s="182">
        <f>IFERROR(VLOOKUP(Vertailu[[#This Row],[Y-tunnus]],'1.2 Ohjaus-laskentataulu'!A:AT,COLUMN('1.2 Ohjaus-laskentataulu'!AT:AT),FALSE),0)</f>
        <v>18799549</v>
      </c>
      <c r="X99" s="184">
        <f>IFERROR(Vertailu[[#This Row],[Rahoitus ml. hark. kor. + alv 2024, €]]-Vertailu[[#This Row],[Rahoitus ml. hark. kor. + alv 2023, €]],0)</f>
        <v>-142304</v>
      </c>
      <c r="Y99" s="179">
        <f>IFERROR(Vertailu[[#This Row],[Muutos, € 3]]/Vertailu[[#This Row],[Rahoitus ml. hark. kor. + alv 2023, €]],0)</f>
        <v>-7.5126757661987979E-3</v>
      </c>
      <c r="Z99" s="177">
        <f>IFERROR(VLOOKUP(Vertailu[[#This Row],[Y-tunnus]],'Suoritepäätös 2023 oikaistu'!$B:$N,COLUMN('Suoritepäätös 2023 oikaistu'!H:H),FALSE),0)</f>
        <v>12266815</v>
      </c>
      <c r="AA99" s="177">
        <f>IFERROR(VLOOKUP(Vertailu[[#This Row],[Y-tunnus]],'1.2 Ohjaus-laskentataulu'!A:AT,COLUMN('1.2 Ohjaus-laskentataulu'!AO:AO),FALSE),0)</f>
        <v>12189449</v>
      </c>
      <c r="AB99" s="177">
        <f>Vertailu[[#This Row],[Perusrahoitus 2024, €]]-Vertailu[[#This Row],[Perusrahoitus 2023, €]]</f>
        <v>-77366</v>
      </c>
      <c r="AC99" s="179">
        <f>IFERROR(Vertailu[[#This Row],[Perusrahoituksen muutos, €]]/Vertailu[[#This Row],[Perusrahoitus 2023, €]],0)</f>
        <v>-6.3069346036440594E-3</v>
      </c>
      <c r="AD99" s="177">
        <f>IFERROR(VLOOKUP(Vertailu[[#This Row],[Y-tunnus]],'Suoritepäätös 2023 oikaistu'!$O:$Y,COLUMN('Suoritepäätös 2023 oikaistu'!D:D),FALSE),0)</f>
        <v>4362292</v>
      </c>
      <c r="AE99" s="177">
        <f>IFERROR(VLOOKUP(Vertailu[[#This Row],[Y-tunnus]],'1.2 Ohjaus-laskentataulu'!A:AT,COLUMN('1.2 Ohjaus-laskentataulu'!O:O),FALSE),0)</f>
        <v>4170961</v>
      </c>
      <c r="AF99" s="177">
        <f>Vertailu[[#This Row],[Suoritusrahoitus 2024, €]]-Vertailu[[#This Row],[Suoritusrahoitus 2023, €]]</f>
        <v>-191331</v>
      </c>
      <c r="AG99" s="179">
        <f>IFERROR(Vertailu[[#This Row],[Suoritusrahoituksen muutos, €]]/Vertailu[[#This Row],[Suoritusrahoitus 2023, €]],0)</f>
        <v>-4.3860200096646443E-2</v>
      </c>
      <c r="AH99" s="177">
        <f>IFERROR(VLOOKUP(Vertailu[[#This Row],[Y-tunnus]],'Suoritepäätös 2023 oikaistu'!$AB:$AL,COLUMN('Suoritepäätös 2023 oikaistu'!I:I),FALSE),0)</f>
        <v>2312746</v>
      </c>
      <c r="AI9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2439139</v>
      </c>
      <c r="AJ99" s="177">
        <f>Vertailu[[#This Row],[Vaikuttavuusrahoitus 2024, €]]-Vertailu[[#This Row],[Vaikuttavuusrahoitus 2023, €]]</f>
        <v>126393</v>
      </c>
      <c r="AK99" s="179">
        <f>IFERROR(Vertailu[[#This Row],[Vaikuttavuusrahoituksen muutos, €]]/Vertailu[[#This Row],[Vaikuttavuusrahoitus 2023, €]],0)</f>
        <v>5.4650618788228363E-2</v>
      </c>
    </row>
    <row r="100" spans="1:37" s="1" customFormat="1" ht="12.75" customHeight="1" x14ac:dyDescent="0.25">
      <c r="A100" s="3" t="s">
        <v>226</v>
      </c>
      <c r="B100" s="151" t="s">
        <v>91</v>
      </c>
      <c r="C100" s="151" t="s">
        <v>173</v>
      </c>
      <c r="D100" s="7" t="s">
        <v>325</v>
      </c>
      <c r="E10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0.77858511618283832</v>
      </c>
      <c r="F10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0.77858511618283832</v>
      </c>
      <c r="G10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9.8333489327533635E-2</v>
      </c>
      <c r="H10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0.12308139448962803</v>
      </c>
      <c r="I10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0.10150591874836822</v>
      </c>
      <c r="J10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6.8128414425686823E-3</v>
      </c>
      <c r="K10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1.4762634298691126E-2</v>
      </c>
      <c r="L10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0</v>
      </c>
      <c r="M10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10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921289</v>
      </c>
      <c r="O100" s="177">
        <f>IFERROR(VLOOKUP(Vertailu[[#This Row],[Y-tunnus]],'1.2 Ohjaus-laskentataulu'!A:AT,COLUMN('1.2 Ohjaus-laskentataulu'!AF:AF),FALSE),0)</f>
        <v>1014995</v>
      </c>
      <c r="P100" s="177">
        <f>IFERROR(Vertailu[[#This Row],[Rahoitus pl. hark. kor. 2024 ilman alv, €]]-Vertailu[[#This Row],[Rahoitus pl. hark. kor. 2023 ilman alv, €]],0)</f>
        <v>93706</v>
      </c>
      <c r="Q100" s="179">
        <f>IFERROR(Vertailu[[#This Row],[Muutos, € 1]]/Vertailu[[#This Row],[Rahoitus pl. hark. kor. 2023 ilman alv, €]],0)</f>
        <v>0.10171184069276851</v>
      </c>
      <c r="R100" s="182">
        <f>IFERROR(VLOOKUP(Vertailu[[#This Row],[Y-tunnus]],'Suoritepäätös 2023 oikaistu'!$AB:$AL,COLUMN('Suoritepäätös 2023 oikaistu'!J:J),FALSE),0)</f>
        <v>921289</v>
      </c>
      <c r="S100" s="183">
        <f>IFERROR(VLOOKUP(Vertailu[[#This Row],[Y-tunnus]],'1.2 Ohjaus-laskentataulu'!A:AT,COLUMN('1.2 Ohjaus-laskentataulu'!AR:AR),FALSE),0)</f>
        <v>1014995</v>
      </c>
      <c r="T100" s="177">
        <f>IFERROR(Vertailu[[#This Row],[Rahoitus ml. hark. kor. 
2024 ilman alv, €]]-Vertailu[[#This Row],[Rahoitus ml. hark. kor. 
2023 ilman alv, €]],0)</f>
        <v>93706</v>
      </c>
      <c r="U100" s="181">
        <f>IFERROR(Vertailu[[#This Row],[Muutos, € 2]]/Vertailu[[#This Row],[Rahoitus ml. hark. kor. 
2023 ilman alv, €]],0)</f>
        <v>0.10171184069276851</v>
      </c>
      <c r="V10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1016104</v>
      </c>
      <c r="W100" s="182">
        <f>IFERROR(VLOOKUP(Vertailu[[#This Row],[Y-tunnus]],'1.2 Ohjaus-laskentataulu'!A:AT,COLUMN('1.2 Ohjaus-laskentataulu'!AT:AT),FALSE),0)</f>
        <v>1120631</v>
      </c>
      <c r="X100" s="184">
        <f>IFERROR(Vertailu[[#This Row],[Rahoitus ml. hark. kor. + alv 2024, €]]-Vertailu[[#This Row],[Rahoitus ml. hark. kor. + alv 2023, €]],0)</f>
        <v>104527</v>
      </c>
      <c r="Y100" s="179">
        <f>IFERROR(Vertailu[[#This Row],[Muutos, € 3]]/Vertailu[[#This Row],[Rahoitus ml. hark. kor. + alv 2023, €]],0)</f>
        <v>0.10287037547337674</v>
      </c>
      <c r="Z100" s="177">
        <f>IFERROR(VLOOKUP(Vertailu[[#This Row],[Y-tunnus]],'Suoritepäätös 2023 oikaistu'!$B:$N,COLUMN('Suoritepäätös 2023 oikaistu'!H:H),FALSE),0)</f>
        <v>714738</v>
      </c>
      <c r="AA100" s="177">
        <f>IFERROR(VLOOKUP(Vertailu[[#This Row],[Y-tunnus]],'1.2 Ohjaus-laskentataulu'!A:AT,COLUMN('1.2 Ohjaus-laskentataulu'!AO:AO),FALSE),0)</f>
        <v>790260</v>
      </c>
      <c r="AB100" s="177">
        <f>Vertailu[[#This Row],[Perusrahoitus 2024, €]]-Vertailu[[#This Row],[Perusrahoitus 2023, €]]</f>
        <v>75522</v>
      </c>
      <c r="AC100" s="179">
        <f>IFERROR(Vertailu[[#This Row],[Perusrahoituksen muutos, €]]/Vertailu[[#This Row],[Perusrahoitus 2023, €]],0)</f>
        <v>0.10566389362255819</v>
      </c>
      <c r="AD100" s="177">
        <f>IFERROR(VLOOKUP(Vertailu[[#This Row],[Y-tunnus]],'Suoritepäätös 2023 oikaistu'!$O:$Y,COLUMN('Suoritepäätös 2023 oikaistu'!D:D),FALSE),0)</f>
        <v>138578</v>
      </c>
      <c r="AE100" s="177">
        <f>IFERROR(VLOOKUP(Vertailu[[#This Row],[Y-tunnus]],'1.2 Ohjaus-laskentataulu'!A:AT,COLUMN('1.2 Ohjaus-laskentataulu'!O:O),FALSE),0)</f>
        <v>99808</v>
      </c>
      <c r="AF100" s="177">
        <f>Vertailu[[#This Row],[Suoritusrahoitus 2024, €]]-Vertailu[[#This Row],[Suoritusrahoitus 2023, €]]</f>
        <v>-38770</v>
      </c>
      <c r="AG100" s="179">
        <f>IFERROR(Vertailu[[#This Row],[Suoritusrahoituksen muutos, €]]/Vertailu[[#This Row],[Suoritusrahoitus 2023, €]],0)</f>
        <v>-0.27977023770006781</v>
      </c>
      <c r="AH100" s="177">
        <f>IFERROR(VLOOKUP(Vertailu[[#This Row],[Y-tunnus]],'Suoritepäätös 2023 oikaistu'!$AB:$AL,COLUMN('Suoritepäätös 2023 oikaistu'!I:I),FALSE),0)</f>
        <v>67973</v>
      </c>
      <c r="AI10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124927</v>
      </c>
      <c r="AJ100" s="177">
        <f>Vertailu[[#This Row],[Vaikuttavuusrahoitus 2024, €]]-Vertailu[[#This Row],[Vaikuttavuusrahoitus 2023, €]]</f>
        <v>56954</v>
      </c>
      <c r="AK100" s="179">
        <f>IFERROR(Vertailu[[#This Row],[Vaikuttavuusrahoituksen muutos, €]]/Vertailu[[#This Row],[Vaikuttavuusrahoitus 2023, €]],0)</f>
        <v>0.83789151574890031</v>
      </c>
    </row>
    <row r="101" spans="1:37" s="1" customFormat="1" ht="12.75" customHeight="1" x14ac:dyDescent="0.25">
      <c r="A101" s="3" t="s">
        <v>249</v>
      </c>
      <c r="B101" s="151" t="s">
        <v>437</v>
      </c>
      <c r="C101" s="151" t="s">
        <v>173</v>
      </c>
      <c r="D101" s="7" t="s">
        <v>325</v>
      </c>
      <c r="E10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0.57889978086177907</v>
      </c>
      <c r="F10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0.58111160656519956</v>
      </c>
      <c r="G10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0.26705320102624736</v>
      </c>
      <c r="H10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0.15183519240855303</v>
      </c>
      <c r="I10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8.8327278050598215E-2</v>
      </c>
      <c r="J10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8.1085310620050369E-3</v>
      </c>
      <c r="K10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3.6949971804012473E-2</v>
      </c>
      <c r="L10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1.555324985012113E-2</v>
      </c>
      <c r="M10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2.8961616418161969E-3</v>
      </c>
      <c r="N10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12480446</v>
      </c>
      <c r="O101" s="177">
        <f>IFERROR(VLOOKUP(Vertailu[[#This Row],[Y-tunnus]],'1.2 Ohjaus-laskentataulu'!A:AT,COLUMN('1.2 Ohjaus-laskentataulu'!AF:AF),FALSE),0)</f>
        <v>12445817</v>
      </c>
      <c r="P101" s="177">
        <f>IFERROR(Vertailu[[#This Row],[Rahoitus pl. hark. kor. 2024 ilman alv, €]]-Vertailu[[#This Row],[Rahoitus pl. hark. kor. 2023 ilman alv, €]],0)</f>
        <v>-34629</v>
      </c>
      <c r="Q101" s="179">
        <f>IFERROR(Vertailu[[#This Row],[Muutos, € 1]]/Vertailu[[#This Row],[Rahoitus pl. hark. kor. 2023 ilman alv, €]],0)</f>
        <v>-2.7746604568458532E-3</v>
      </c>
      <c r="R101" s="182">
        <f>IFERROR(VLOOKUP(Vertailu[[#This Row],[Y-tunnus]],'Suoritepäätös 2023 oikaistu'!$AB:$AL,COLUMN('Suoritepäätös 2023 oikaistu'!J:J),FALSE),0)</f>
        <v>12480446</v>
      </c>
      <c r="S101" s="183">
        <f>IFERROR(VLOOKUP(Vertailu[[#This Row],[Y-tunnus]],'1.2 Ohjaus-laskentataulu'!A:AT,COLUMN('1.2 Ohjaus-laskentataulu'!AR:AR),FALSE),0)</f>
        <v>12473406</v>
      </c>
      <c r="T101" s="177">
        <f>IFERROR(Vertailu[[#This Row],[Rahoitus ml. hark. kor. 
2024 ilman alv, €]]-Vertailu[[#This Row],[Rahoitus ml. hark. kor. 
2023 ilman alv, €]],0)</f>
        <v>-7040</v>
      </c>
      <c r="U101" s="181">
        <f>IFERROR(Vertailu[[#This Row],[Muutos, € 2]]/Vertailu[[#This Row],[Rahoitus ml. hark. kor. 
2023 ilman alv, €]],0)</f>
        <v>-5.6408240538839715E-4</v>
      </c>
      <c r="V10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13617243</v>
      </c>
      <c r="W101" s="182">
        <f>IFERROR(VLOOKUP(Vertailu[[#This Row],[Y-tunnus]],'1.2 Ohjaus-laskentataulu'!A:AT,COLUMN('1.2 Ohjaus-laskentataulu'!AT:AT),FALSE),0)</f>
        <v>13603846</v>
      </c>
      <c r="X101" s="184">
        <f>IFERROR(Vertailu[[#This Row],[Rahoitus ml. hark. kor. + alv 2024, €]]-Vertailu[[#This Row],[Rahoitus ml. hark. kor. + alv 2023, €]],0)</f>
        <v>-13397</v>
      </c>
      <c r="Y101" s="179">
        <f>IFERROR(Vertailu[[#This Row],[Muutos, € 3]]/Vertailu[[#This Row],[Rahoitus ml. hark. kor. + alv 2023, €]],0)</f>
        <v>-9.8382616804297313E-4</v>
      </c>
      <c r="Z101" s="177">
        <f>IFERROR(VLOOKUP(Vertailu[[#This Row],[Y-tunnus]],'Suoritepäätös 2023 oikaistu'!$B:$N,COLUMN('Suoritepäätös 2023 oikaistu'!H:H),FALSE),0)</f>
        <v>7055762</v>
      </c>
      <c r="AA101" s="177">
        <f>IFERROR(VLOOKUP(Vertailu[[#This Row],[Y-tunnus]],'1.2 Ohjaus-laskentataulu'!A:AT,COLUMN('1.2 Ohjaus-laskentataulu'!AO:AO),FALSE),0)</f>
        <v>7248441</v>
      </c>
      <c r="AB101" s="177">
        <f>Vertailu[[#This Row],[Perusrahoitus 2024, €]]-Vertailu[[#This Row],[Perusrahoitus 2023, €]]</f>
        <v>192679</v>
      </c>
      <c r="AC101" s="179">
        <f>IFERROR(Vertailu[[#This Row],[Perusrahoituksen muutos, €]]/Vertailu[[#This Row],[Perusrahoitus 2023, €]],0)</f>
        <v>2.7308035616847619E-2</v>
      </c>
      <c r="AD101" s="177">
        <f>IFERROR(VLOOKUP(Vertailu[[#This Row],[Y-tunnus]],'Suoritepäätös 2023 oikaistu'!$O:$Y,COLUMN('Suoritepäätös 2023 oikaistu'!D:D),FALSE),0)</f>
        <v>3159732</v>
      </c>
      <c r="AE101" s="177">
        <f>IFERROR(VLOOKUP(Vertailu[[#This Row],[Y-tunnus]],'1.2 Ohjaus-laskentataulu'!A:AT,COLUMN('1.2 Ohjaus-laskentataulu'!O:O),FALSE),0)</f>
        <v>3331063</v>
      </c>
      <c r="AF101" s="177">
        <f>Vertailu[[#This Row],[Suoritusrahoitus 2024, €]]-Vertailu[[#This Row],[Suoritusrahoitus 2023, €]]</f>
        <v>171331</v>
      </c>
      <c r="AG101" s="179">
        <f>IFERROR(Vertailu[[#This Row],[Suoritusrahoituksen muutos, €]]/Vertailu[[#This Row],[Suoritusrahoitus 2023, €]],0)</f>
        <v>5.4223269568431751E-2</v>
      </c>
      <c r="AH101" s="177">
        <f>IFERROR(VLOOKUP(Vertailu[[#This Row],[Y-tunnus]],'Suoritepäätös 2023 oikaistu'!$AB:$AL,COLUMN('Suoritepäätös 2023 oikaistu'!I:I),FALSE),0)</f>
        <v>2264952</v>
      </c>
      <c r="AI10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1893902</v>
      </c>
      <c r="AJ101" s="177">
        <f>Vertailu[[#This Row],[Vaikuttavuusrahoitus 2024, €]]-Vertailu[[#This Row],[Vaikuttavuusrahoitus 2023, €]]</f>
        <v>-371050</v>
      </c>
      <c r="AK101" s="179">
        <f>IFERROR(Vertailu[[#This Row],[Vaikuttavuusrahoituksen muutos, €]]/Vertailu[[#This Row],[Vaikuttavuusrahoitus 2023, €]],0)</f>
        <v>-0.16382245628163422</v>
      </c>
    </row>
    <row r="102" spans="1:37" s="1" customFormat="1" ht="12.75" customHeight="1" x14ac:dyDescent="0.25">
      <c r="A102" s="3" t="s">
        <v>225</v>
      </c>
      <c r="B102" s="151" t="s">
        <v>92</v>
      </c>
      <c r="C102" s="151" t="s">
        <v>180</v>
      </c>
      <c r="D102" s="7" t="s">
        <v>325</v>
      </c>
      <c r="E10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0.61346087357381585</v>
      </c>
      <c r="F10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0.61346087357381585</v>
      </c>
      <c r="G10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0.17304532507943826</v>
      </c>
      <c r="H10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0.21349380134674592</v>
      </c>
      <c r="I10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0.12755560677653566</v>
      </c>
      <c r="J10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7.5668022193318956E-3</v>
      </c>
      <c r="K10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2.175537957490245E-2</v>
      </c>
      <c r="L10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4.7471970233293269E-2</v>
      </c>
      <c r="M10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9.1440425426826261E-3</v>
      </c>
      <c r="N10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330769</v>
      </c>
      <c r="O102" s="177">
        <f>IFERROR(VLOOKUP(Vertailu[[#This Row],[Y-tunnus]],'1.2 Ohjaus-laskentataulu'!A:AT,COLUMN('1.2 Ohjaus-laskentataulu'!AF:AF),FALSE),0)</f>
        <v>303695</v>
      </c>
      <c r="P102" s="177">
        <f>IFERROR(Vertailu[[#This Row],[Rahoitus pl. hark. kor. 2024 ilman alv, €]]-Vertailu[[#This Row],[Rahoitus pl. hark. kor. 2023 ilman alv, €]],0)</f>
        <v>-27074</v>
      </c>
      <c r="Q102" s="179">
        <f>IFERROR(Vertailu[[#This Row],[Muutos, € 1]]/Vertailu[[#This Row],[Rahoitus pl. hark. kor. 2023 ilman alv, €]],0)</f>
        <v>-8.1851685012803502E-2</v>
      </c>
      <c r="R102" s="182">
        <f>IFERROR(VLOOKUP(Vertailu[[#This Row],[Y-tunnus]],'Suoritepäätös 2023 oikaistu'!$AB:$AL,COLUMN('Suoritepäätös 2023 oikaistu'!J:J),FALSE),0)</f>
        <v>330769</v>
      </c>
      <c r="S102" s="183">
        <f>IFERROR(VLOOKUP(Vertailu[[#This Row],[Y-tunnus]],'1.2 Ohjaus-laskentataulu'!A:AT,COLUMN('1.2 Ohjaus-laskentataulu'!AR:AR),FALSE),0)</f>
        <v>303695</v>
      </c>
      <c r="T102" s="177">
        <f>IFERROR(Vertailu[[#This Row],[Rahoitus ml. hark. kor. 
2024 ilman alv, €]]-Vertailu[[#This Row],[Rahoitus ml. hark. kor. 
2023 ilman alv, €]],0)</f>
        <v>-27074</v>
      </c>
      <c r="U102" s="181">
        <f>IFERROR(Vertailu[[#This Row],[Muutos, € 2]]/Vertailu[[#This Row],[Rahoitus ml. hark. kor. 
2023 ilman alv, €]],0)</f>
        <v>-8.1851685012803502E-2</v>
      </c>
      <c r="V10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342509</v>
      </c>
      <c r="W102" s="182">
        <f>IFERROR(VLOOKUP(Vertailu[[#This Row],[Y-tunnus]],'1.2 Ohjaus-laskentataulu'!A:AT,COLUMN('1.2 Ohjaus-laskentataulu'!AT:AT),FALSE),0)</f>
        <v>318887</v>
      </c>
      <c r="X102" s="184">
        <f>IFERROR(Vertailu[[#This Row],[Rahoitus ml. hark. kor. + alv 2024, €]]-Vertailu[[#This Row],[Rahoitus ml. hark. kor. + alv 2023, €]],0)</f>
        <v>-23622</v>
      </c>
      <c r="Y102" s="179">
        <f>IFERROR(Vertailu[[#This Row],[Muutos, € 3]]/Vertailu[[#This Row],[Rahoitus ml. hark. kor. + alv 2023, €]],0)</f>
        <v>-6.8967530780213074E-2</v>
      </c>
      <c r="Z102" s="177">
        <f>IFERROR(VLOOKUP(Vertailu[[#This Row],[Y-tunnus]],'Suoritepäätös 2023 oikaistu'!$B:$N,COLUMN('Suoritepäätös 2023 oikaistu'!H:H),FALSE),0)</f>
        <v>201426</v>
      </c>
      <c r="AA102" s="177">
        <f>IFERROR(VLOOKUP(Vertailu[[#This Row],[Y-tunnus]],'1.2 Ohjaus-laskentataulu'!A:AT,COLUMN('1.2 Ohjaus-laskentataulu'!AO:AO),FALSE),0)</f>
        <v>186305</v>
      </c>
      <c r="AB102" s="177">
        <f>Vertailu[[#This Row],[Perusrahoitus 2024, €]]-Vertailu[[#This Row],[Perusrahoitus 2023, €]]</f>
        <v>-15121</v>
      </c>
      <c r="AC102" s="179">
        <f>IFERROR(Vertailu[[#This Row],[Perusrahoituksen muutos, €]]/Vertailu[[#This Row],[Perusrahoitus 2023, €]],0)</f>
        <v>-7.5069752663509182E-2</v>
      </c>
      <c r="AD102" s="177">
        <f>IFERROR(VLOOKUP(Vertailu[[#This Row],[Y-tunnus]],'Suoritepäätös 2023 oikaistu'!$O:$Y,COLUMN('Suoritepäätös 2023 oikaistu'!D:D),FALSE),0)</f>
        <v>54553</v>
      </c>
      <c r="AE102" s="177">
        <f>IFERROR(VLOOKUP(Vertailu[[#This Row],[Y-tunnus]],'1.2 Ohjaus-laskentataulu'!A:AT,COLUMN('1.2 Ohjaus-laskentataulu'!O:O),FALSE),0)</f>
        <v>52553</v>
      </c>
      <c r="AF102" s="177">
        <f>Vertailu[[#This Row],[Suoritusrahoitus 2024, €]]-Vertailu[[#This Row],[Suoritusrahoitus 2023, €]]</f>
        <v>-2000</v>
      </c>
      <c r="AG102" s="179">
        <f>IFERROR(Vertailu[[#This Row],[Suoritusrahoituksen muutos, €]]/Vertailu[[#This Row],[Suoritusrahoitus 2023, €]],0)</f>
        <v>-3.6661595146004804E-2</v>
      </c>
      <c r="AH102" s="177">
        <f>IFERROR(VLOOKUP(Vertailu[[#This Row],[Y-tunnus]],'Suoritepäätös 2023 oikaistu'!$AB:$AL,COLUMN('Suoritepäätös 2023 oikaistu'!I:I),FALSE),0)</f>
        <v>74790</v>
      </c>
      <c r="AI10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64837</v>
      </c>
      <c r="AJ102" s="177">
        <f>Vertailu[[#This Row],[Vaikuttavuusrahoitus 2024, €]]-Vertailu[[#This Row],[Vaikuttavuusrahoitus 2023, €]]</f>
        <v>-9953</v>
      </c>
      <c r="AK102" s="179">
        <f>IFERROR(Vertailu[[#This Row],[Vaikuttavuusrahoituksen muutos, €]]/Vertailu[[#This Row],[Vaikuttavuusrahoitus 2023, €]],0)</f>
        <v>-0.13307928867495655</v>
      </c>
    </row>
    <row r="103" spans="1:37" s="1" customFormat="1" ht="12.75" customHeight="1" x14ac:dyDescent="0.25">
      <c r="A103" s="3" t="s">
        <v>224</v>
      </c>
      <c r="B103" s="151" t="s">
        <v>93</v>
      </c>
      <c r="C103" s="151" t="s">
        <v>222</v>
      </c>
      <c r="D103" s="7" t="s">
        <v>325</v>
      </c>
      <c r="E10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0.56381757719412473</v>
      </c>
      <c r="F10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0.56381757719412473</v>
      </c>
      <c r="G10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0.31539711774641072</v>
      </c>
      <c r="H10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0.12078530505946458</v>
      </c>
      <c r="I10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8.3804396447565946E-2</v>
      </c>
      <c r="J10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5.3120955635963061E-3</v>
      </c>
      <c r="K10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1.4786951060906829E-2</v>
      </c>
      <c r="L10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1.3628064165402451E-2</v>
      </c>
      <c r="M10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3.2537978219930627E-3</v>
      </c>
      <c r="N10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623059</v>
      </c>
      <c r="O103" s="177">
        <f>IFERROR(VLOOKUP(Vertailu[[#This Row],[Y-tunnus]],'1.2 Ohjaus-laskentataulu'!A:AT,COLUMN('1.2 Ohjaus-laskentataulu'!AF:AF),FALSE),0)</f>
        <v>628189</v>
      </c>
      <c r="P103" s="177">
        <f>IFERROR(Vertailu[[#This Row],[Rahoitus pl. hark. kor. 2024 ilman alv, €]]-Vertailu[[#This Row],[Rahoitus pl. hark. kor. 2023 ilman alv, €]],0)</f>
        <v>5130</v>
      </c>
      <c r="Q103" s="179">
        <f>IFERROR(Vertailu[[#This Row],[Muutos, € 1]]/Vertailu[[#This Row],[Rahoitus pl. hark. kor. 2023 ilman alv, €]],0)</f>
        <v>8.2335701755371481E-3</v>
      </c>
      <c r="R103" s="182">
        <f>IFERROR(VLOOKUP(Vertailu[[#This Row],[Y-tunnus]],'Suoritepäätös 2023 oikaistu'!$AB:$AL,COLUMN('Suoritepäätös 2023 oikaistu'!J:J),FALSE),0)</f>
        <v>623059</v>
      </c>
      <c r="S103" s="183">
        <f>IFERROR(VLOOKUP(Vertailu[[#This Row],[Y-tunnus]],'1.2 Ohjaus-laskentataulu'!A:AT,COLUMN('1.2 Ohjaus-laskentataulu'!AR:AR),FALSE),0)</f>
        <v>628189</v>
      </c>
      <c r="T103" s="177">
        <f>IFERROR(Vertailu[[#This Row],[Rahoitus ml. hark. kor. 
2024 ilman alv, €]]-Vertailu[[#This Row],[Rahoitus ml. hark. kor. 
2023 ilman alv, €]],0)</f>
        <v>5130</v>
      </c>
      <c r="U103" s="181">
        <f>IFERROR(Vertailu[[#This Row],[Muutos, € 2]]/Vertailu[[#This Row],[Rahoitus ml. hark. kor. 
2023 ilman alv, €]],0)</f>
        <v>8.2335701755371481E-3</v>
      </c>
      <c r="V10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654642</v>
      </c>
      <c r="W103" s="182">
        <f>IFERROR(VLOOKUP(Vertailu[[#This Row],[Y-tunnus]],'1.2 Ohjaus-laskentataulu'!A:AT,COLUMN('1.2 Ohjaus-laskentataulu'!AT:AT),FALSE),0)</f>
        <v>661331</v>
      </c>
      <c r="X103" s="184">
        <f>IFERROR(Vertailu[[#This Row],[Rahoitus ml. hark. kor. + alv 2024, €]]-Vertailu[[#This Row],[Rahoitus ml. hark. kor. + alv 2023, €]],0)</f>
        <v>6689</v>
      </c>
      <c r="Y103" s="179">
        <f>IFERROR(Vertailu[[#This Row],[Muutos, € 3]]/Vertailu[[#This Row],[Rahoitus ml. hark. kor. + alv 2023, €]],0)</f>
        <v>1.0217798430287087E-2</v>
      </c>
      <c r="Z103" s="177">
        <f>IFERROR(VLOOKUP(Vertailu[[#This Row],[Y-tunnus]],'Suoritepäätös 2023 oikaistu'!$B:$N,COLUMN('Suoritepäätös 2023 oikaistu'!H:H),FALSE),0)</f>
        <v>404802</v>
      </c>
      <c r="AA103" s="177">
        <f>IFERROR(VLOOKUP(Vertailu[[#This Row],[Y-tunnus]],'1.2 Ohjaus-laskentataulu'!A:AT,COLUMN('1.2 Ohjaus-laskentataulu'!AO:AO),FALSE),0)</f>
        <v>354184</v>
      </c>
      <c r="AB103" s="177">
        <f>Vertailu[[#This Row],[Perusrahoitus 2024, €]]-Vertailu[[#This Row],[Perusrahoitus 2023, €]]</f>
        <v>-50618</v>
      </c>
      <c r="AC103" s="179">
        <f>IFERROR(Vertailu[[#This Row],[Perusrahoituksen muutos, €]]/Vertailu[[#This Row],[Perusrahoitus 2023, €]],0)</f>
        <v>-0.12504384859758599</v>
      </c>
      <c r="AD103" s="177">
        <f>IFERROR(VLOOKUP(Vertailu[[#This Row],[Y-tunnus]],'Suoritepäätös 2023 oikaistu'!$O:$Y,COLUMN('Suoritepäätös 2023 oikaistu'!D:D),FALSE),0)</f>
        <v>145535</v>
      </c>
      <c r="AE103" s="177">
        <f>IFERROR(VLOOKUP(Vertailu[[#This Row],[Y-tunnus]],'1.2 Ohjaus-laskentataulu'!A:AT,COLUMN('1.2 Ohjaus-laskentataulu'!O:O),FALSE),0)</f>
        <v>198129</v>
      </c>
      <c r="AF103" s="177">
        <f>Vertailu[[#This Row],[Suoritusrahoitus 2024, €]]-Vertailu[[#This Row],[Suoritusrahoitus 2023, €]]</f>
        <v>52594</v>
      </c>
      <c r="AG103" s="179">
        <f>IFERROR(Vertailu[[#This Row],[Suoritusrahoituksen muutos, €]]/Vertailu[[#This Row],[Suoritusrahoitus 2023, €]],0)</f>
        <v>0.36138385955268493</v>
      </c>
      <c r="AH103" s="177">
        <f>IFERROR(VLOOKUP(Vertailu[[#This Row],[Y-tunnus]],'Suoritepäätös 2023 oikaistu'!$AB:$AL,COLUMN('Suoritepäätös 2023 oikaistu'!I:I),FALSE),0)</f>
        <v>72722</v>
      </c>
      <c r="AI10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75876</v>
      </c>
      <c r="AJ103" s="177">
        <f>Vertailu[[#This Row],[Vaikuttavuusrahoitus 2024, €]]-Vertailu[[#This Row],[Vaikuttavuusrahoitus 2023, €]]</f>
        <v>3154</v>
      </c>
      <c r="AK103" s="179">
        <f>IFERROR(Vertailu[[#This Row],[Vaikuttavuusrahoituksen muutos, €]]/Vertailu[[#This Row],[Vaikuttavuusrahoitus 2023, €]],0)</f>
        <v>4.3370644371716949E-2</v>
      </c>
    </row>
    <row r="104" spans="1:37" s="1" customFormat="1" ht="12.75" customHeight="1" x14ac:dyDescent="0.25">
      <c r="A104" s="3" t="s">
        <v>223</v>
      </c>
      <c r="B104" s="151" t="s">
        <v>94</v>
      </c>
      <c r="C104" s="151" t="s">
        <v>222</v>
      </c>
      <c r="D104" s="7" t="s">
        <v>324</v>
      </c>
      <c r="E10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0.67503337609832137</v>
      </c>
      <c r="F10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0.68402993276771873</v>
      </c>
      <c r="G10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0.21506983188865306</v>
      </c>
      <c r="H10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0.10090023534362826</v>
      </c>
      <c r="I10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6.8158257353977653E-2</v>
      </c>
      <c r="J10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3.2934062925819769E-3</v>
      </c>
      <c r="K10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1.2080385579482612E-2</v>
      </c>
      <c r="L10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1.3302124425685959E-2</v>
      </c>
      <c r="M10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4.0660616919000522E-3</v>
      </c>
      <c r="N10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36881181</v>
      </c>
      <c r="O104" s="177">
        <f>IFERROR(VLOOKUP(Vertailu[[#This Row],[Y-tunnus]],'1.2 Ohjaus-laskentataulu'!A:AT,COLUMN('1.2 Ohjaus-laskentataulu'!AF:AF),FALSE),0)</f>
        <v>38807457</v>
      </c>
      <c r="P104" s="177">
        <f>IFERROR(Vertailu[[#This Row],[Rahoitus pl. hark. kor. 2024 ilman alv, €]]-Vertailu[[#This Row],[Rahoitus pl. hark. kor. 2023 ilman alv, €]],0)</f>
        <v>1926276</v>
      </c>
      <c r="Q104" s="179">
        <f>IFERROR(Vertailu[[#This Row],[Muutos, € 1]]/Vertailu[[#This Row],[Rahoitus pl. hark. kor. 2023 ilman alv, €]],0)</f>
        <v>5.2229238537670475E-2</v>
      </c>
      <c r="R104" s="182">
        <f>IFERROR(VLOOKUP(Vertailu[[#This Row],[Y-tunnus]],'Suoritepäätös 2023 oikaistu'!$AB:$AL,COLUMN('Suoritepäätös 2023 oikaistu'!J:J),FALSE),0)</f>
        <v>36953181</v>
      </c>
      <c r="S104" s="183">
        <f>IFERROR(VLOOKUP(Vertailu[[#This Row],[Y-tunnus]],'1.2 Ohjaus-laskentataulu'!A:AT,COLUMN('1.2 Ohjaus-laskentataulu'!AR:AR),FALSE),0)</f>
        <v>39159760</v>
      </c>
      <c r="T104" s="177">
        <f>IFERROR(Vertailu[[#This Row],[Rahoitus ml. hark. kor. 
2024 ilman alv, €]]-Vertailu[[#This Row],[Rahoitus ml. hark. kor. 
2023 ilman alv, €]],0)</f>
        <v>2206579</v>
      </c>
      <c r="U104" s="181">
        <f>IFERROR(Vertailu[[#This Row],[Muutos, € 2]]/Vertailu[[#This Row],[Rahoitus ml. hark. kor. 
2023 ilman alv, €]],0)</f>
        <v>5.9712829593749996E-2</v>
      </c>
      <c r="V10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36953181</v>
      </c>
      <c r="W104" s="182">
        <f>IFERROR(VLOOKUP(Vertailu[[#This Row],[Y-tunnus]],'1.2 Ohjaus-laskentataulu'!A:AT,COLUMN('1.2 Ohjaus-laskentataulu'!AT:AT),FALSE),0)</f>
        <v>39159760</v>
      </c>
      <c r="X104" s="184">
        <f>IFERROR(Vertailu[[#This Row],[Rahoitus ml. hark. kor. + alv 2024, €]]-Vertailu[[#This Row],[Rahoitus ml. hark. kor. + alv 2023, €]],0)</f>
        <v>2206579</v>
      </c>
      <c r="Y104" s="179">
        <f>IFERROR(Vertailu[[#This Row],[Muutos, € 3]]/Vertailu[[#This Row],[Rahoitus ml. hark. kor. + alv 2023, €]],0)</f>
        <v>5.9712829593749996E-2</v>
      </c>
      <c r="Z104" s="177">
        <f>IFERROR(VLOOKUP(Vertailu[[#This Row],[Y-tunnus]],'Suoritepäätös 2023 oikaistu'!$B:$N,COLUMN('Suoritepäätös 2023 oikaistu'!H:H),FALSE),0)</f>
        <v>25979948</v>
      </c>
      <c r="AA104" s="177">
        <f>IFERROR(VLOOKUP(Vertailu[[#This Row],[Y-tunnus]],'1.2 Ohjaus-laskentataulu'!A:AT,COLUMN('1.2 Ohjaus-laskentataulu'!AO:AO),FALSE),0)</f>
        <v>26786448</v>
      </c>
      <c r="AB104" s="177">
        <f>Vertailu[[#This Row],[Perusrahoitus 2024, €]]-Vertailu[[#This Row],[Perusrahoitus 2023, €]]</f>
        <v>806500</v>
      </c>
      <c r="AC104" s="179">
        <f>IFERROR(Vertailu[[#This Row],[Perusrahoituksen muutos, €]]/Vertailu[[#This Row],[Perusrahoitus 2023, €]],0)</f>
        <v>3.1043172218820452E-2</v>
      </c>
      <c r="AD104" s="177">
        <f>IFERROR(VLOOKUP(Vertailu[[#This Row],[Y-tunnus]],'Suoritepäätös 2023 oikaistu'!$O:$Y,COLUMN('Suoritepäätös 2023 oikaistu'!D:D),FALSE),0)</f>
        <v>7431590</v>
      </c>
      <c r="AE104" s="177">
        <f>IFERROR(VLOOKUP(Vertailu[[#This Row],[Y-tunnus]],'1.2 Ohjaus-laskentataulu'!A:AT,COLUMN('1.2 Ohjaus-laskentataulu'!O:O),FALSE),0)</f>
        <v>8422083</v>
      </c>
      <c r="AF104" s="177">
        <f>Vertailu[[#This Row],[Suoritusrahoitus 2024, €]]-Vertailu[[#This Row],[Suoritusrahoitus 2023, €]]</f>
        <v>990493</v>
      </c>
      <c r="AG104" s="179">
        <f>IFERROR(Vertailu[[#This Row],[Suoritusrahoituksen muutos, €]]/Vertailu[[#This Row],[Suoritusrahoitus 2023, €]],0)</f>
        <v>0.13328143775423562</v>
      </c>
      <c r="AH104" s="177">
        <f>IFERROR(VLOOKUP(Vertailu[[#This Row],[Y-tunnus]],'Suoritepäätös 2023 oikaistu'!$AB:$AL,COLUMN('Suoritepäätös 2023 oikaistu'!I:I),FALSE),0)</f>
        <v>3541643</v>
      </c>
      <c r="AI10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3951229</v>
      </c>
      <c r="AJ104" s="177">
        <f>Vertailu[[#This Row],[Vaikuttavuusrahoitus 2024, €]]-Vertailu[[#This Row],[Vaikuttavuusrahoitus 2023, €]]</f>
        <v>409586</v>
      </c>
      <c r="AK104" s="179">
        <f>IFERROR(Vertailu[[#This Row],[Vaikuttavuusrahoituksen muutos, €]]/Vertailu[[#This Row],[Vaikuttavuusrahoitus 2023, €]],0)</f>
        <v>0.11564858456936512</v>
      </c>
    </row>
    <row r="105" spans="1:37" s="1" customFormat="1" ht="12.75" customHeight="1" x14ac:dyDescent="0.25">
      <c r="A105" s="3" t="s">
        <v>221</v>
      </c>
      <c r="B105" s="151" t="s">
        <v>95</v>
      </c>
      <c r="C105" s="151" t="s">
        <v>186</v>
      </c>
      <c r="D105" s="7" t="s">
        <v>324</v>
      </c>
      <c r="E10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0.66836581510360493</v>
      </c>
      <c r="F10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0.67368795075997834</v>
      </c>
      <c r="G10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0.21332608629105915</v>
      </c>
      <c r="H10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0.11298596294896246</v>
      </c>
      <c r="I10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8.3574842084955553E-2</v>
      </c>
      <c r="J10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4.4882007758179441E-3</v>
      </c>
      <c r="K10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1.186449561511229E-2</v>
      </c>
      <c r="L10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1.0951273963114121E-2</v>
      </c>
      <c r="M10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2.1071505099625474E-3</v>
      </c>
      <c r="N10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20645504</v>
      </c>
      <c r="O105" s="177">
        <f>IFERROR(VLOOKUP(Vertailu[[#This Row],[Y-tunnus]],'1.2 Ohjaus-laskentataulu'!A:AT,COLUMN('1.2 Ohjaus-laskentataulu'!AF:AF),FALSE),0)</f>
        <v>22355759</v>
      </c>
      <c r="P105" s="177">
        <f>IFERROR(Vertailu[[#This Row],[Rahoitus pl. hark. kor. 2024 ilman alv, €]]-Vertailu[[#This Row],[Rahoitus pl. hark. kor. 2023 ilman alv, €]],0)</f>
        <v>1710255</v>
      </c>
      <c r="Q105" s="179">
        <f>IFERROR(Vertailu[[#This Row],[Muutos, € 1]]/Vertailu[[#This Row],[Rahoitus pl. hark. kor. 2023 ilman alv, €]],0)</f>
        <v>8.2839101433416204E-2</v>
      </c>
      <c r="R105" s="182">
        <f>IFERROR(VLOOKUP(Vertailu[[#This Row],[Y-tunnus]],'Suoritepäätös 2023 oikaistu'!$AB:$AL,COLUMN('Suoritepäätös 2023 oikaistu'!J:J),FALSE),0)</f>
        <v>20645504</v>
      </c>
      <c r="S105" s="183">
        <f>IFERROR(VLOOKUP(Vertailu[[#This Row],[Y-tunnus]],'1.2 Ohjaus-laskentataulu'!A:AT,COLUMN('1.2 Ohjaus-laskentataulu'!AR:AR),FALSE),0)</f>
        <v>22475376</v>
      </c>
      <c r="T105" s="177">
        <f>IFERROR(Vertailu[[#This Row],[Rahoitus ml. hark. kor. 
2024 ilman alv, €]]-Vertailu[[#This Row],[Rahoitus ml. hark. kor. 
2023 ilman alv, €]],0)</f>
        <v>1829872</v>
      </c>
      <c r="U105" s="181">
        <f>IFERROR(Vertailu[[#This Row],[Muutos, € 2]]/Vertailu[[#This Row],[Rahoitus ml. hark. kor. 
2023 ilman alv, €]],0)</f>
        <v>8.8632953692968697E-2</v>
      </c>
      <c r="V10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20645504</v>
      </c>
      <c r="W105" s="182">
        <f>IFERROR(VLOOKUP(Vertailu[[#This Row],[Y-tunnus]],'1.2 Ohjaus-laskentataulu'!A:AT,COLUMN('1.2 Ohjaus-laskentataulu'!AT:AT),FALSE),0)</f>
        <v>22475376</v>
      </c>
      <c r="X105" s="184">
        <f>IFERROR(Vertailu[[#This Row],[Rahoitus ml. hark. kor. + alv 2024, €]]-Vertailu[[#This Row],[Rahoitus ml. hark. kor. + alv 2023, €]],0)</f>
        <v>1829872</v>
      </c>
      <c r="Y105" s="179">
        <f>IFERROR(Vertailu[[#This Row],[Muutos, € 3]]/Vertailu[[#This Row],[Rahoitus ml. hark. kor. + alv 2023, €]],0)</f>
        <v>8.8632953692968697E-2</v>
      </c>
      <c r="Z105" s="177">
        <f>IFERROR(VLOOKUP(Vertailu[[#This Row],[Y-tunnus]],'Suoritepäätös 2023 oikaistu'!$B:$N,COLUMN('Suoritepäätös 2023 oikaistu'!H:H),FALSE),0)</f>
        <v>13814583</v>
      </c>
      <c r="AA105" s="177">
        <f>IFERROR(VLOOKUP(Vertailu[[#This Row],[Y-tunnus]],'1.2 Ohjaus-laskentataulu'!A:AT,COLUMN('1.2 Ohjaus-laskentataulu'!AO:AO),FALSE),0)</f>
        <v>15141390</v>
      </c>
      <c r="AB105" s="177">
        <f>Vertailu[[#This Row],[Perusrahoitus 2024, €]]-Vertailu[[#This Row],[Perusrahoitus 2023, €]]</f>
        <v>1326807</v>
      </c>
      <c r="AC105" s="179">
        <f>IFERROR(Vertailu[[#This Row],[Perusrahoituksen muutos, €]]/Vertailu[[#This Row],[Perusrahoitus 2023, €]],0)</f>
        <v>9.6043941391499119E-2</v>
      </c>
      <c r="AD105" s="177">
        <f>IFERROR(VLOOKUP(Vertailu[[#This Row],[Y-tunnus]],'Suoritepäätös 2023 oikaistu'!$O:$Y,COLUMN('Suoritepäätös 2023 oikaistu'!D:D),FALSE),0)</f>
        <v>4464722</v>
      </c>
      <c r="AE105" s="177">
        <f>IFERROR(VLOOKUP(Vertailu[[#This Row],[Y-tunnus]],'1.2 Ohjaus-laskentataulu'!A:AT,COLUMN('1.2 Ohjaus-laskentataulu'!O:O),FALSE),0)</f>
        <v>4794584</v>
      </c>
      <c r="AF105" s="177">
        <f>Vertailu[[#This Row],[Suoritusrahoitus 2024, €]]-Vertailu[[#This Row],[Suoritusrahoitus 2023, €]]</f>
        <v>329862</v>
      </c>
      <c r="AG105" s="179">
        <f>IFERROR(Vertailu[[#This Row],[Suoritusrahoituksen muutos, €]]/Vertailu[[#This Row],[Suoritusrahoitus 2023, €]],0)</f>
        <v>7.3881867672836068E-2</v>
      </c>
      <c r="AH105" s="177">
        <f>IFERROR(VLOOKUP(Vertailu[[#This Row],[Y-tunnus]],'Suoritepäätös 2023 oikaistu'!$AB:$AL,COLUMN('Suoritepäätös 2023 oikaistu'!I:I),FALSE),0)</f>
        <v>2366199</v>
      </c>
      <c r="AI10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2539402</v>
      </c>
      <c r="AJ105" s="177">
        <f>Vertailu[[#This Row],[Vaikuttavuusrahoitus 2024, €]]-Vertailu[[#This Row],[Vaikuttavuusrahoitus 2023, €]]</f>
        <v>173203</v>
      </c>
      <c r="AK105" s="179">
        <f>IFERROR(Vertailu[[#This Row],[Vaikuttavuusrahoituksen muutos, €]]/Vertailu[[#This Row],[Vaikuttavuusrahoitus 2023, €]],0)</f>
        <v>7.3198830698516903E-2</v>
      </c>
    </row>
    <row r="106" spans="1:37" s="1" customFormat="1" ht="12.75" customHeight="1" x14ac:dyDescent="0.25">
      <c r="A106" s="3" t="s">
        <v>220</v>
      </c>
      <c r="B106" s="151" t="s">
        <v>96</v>
      </c>
      <c r="C106" s="151" t="s">
        <v>182</v>
      </c>
      <c r="D106" s="7" t="s">
        <v>324</v>
      </c>
      <c r="E10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0.67458260860085884</v>
      </c>
      <c r="F10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0.67829377008143021</v>
      </c>
      <c r="G10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0.21868169466190018</v>
      </c>
      <c r="H10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0.10302453525666956</v>
      </c>
      <c r="I10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7.21138407595589E-2</v>
      </c>
      <c r="J10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2.960833918032201E-3</v>
      </c>
      <c r="K10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1.0635938417118282E-2</v>
      </c>
      <c r="L10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1.454363986545237E-2</v>
      </c>
      <c r="M10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2.7702822965078068E-3</v>
      </c>
      <c r="N10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38557855</v>
      </c>
      <c r="O106" s="177">
        <f>IFERROR(VLOOKUP(Vertailu[[#This Row],[Y-tunnus]],'1.2 Ohjaus-laskentataulu'!A:AT,COLUMN('1.2 Ohjaus-laskentataulu'!AF:AF),FALSE),0)</f>
        <v>40760964</v>
      </c>
      <c r="P106" s="177">
        <f>IFERROR(Vertailu[[#This Row],[Rahoitus pl. hark. kor. 2024 ilman alv, €]]-Vertailu[[#This Row],[Rahoitus pl. hark. kor. 2023 ilman alv, €]],0)</f>
        <v>2203109</v>
      </c>
      <c r="Q106" s="179">
        <f>IFERROR(Vertailu[[#This Row],[Muutos, € 1]]/Vertailu[[#This Row],[Rahoitus pl. hark. kor. 2023 ilman alv, €]],0)</f>
        <v>5.7137747937482518E-2</v>
      </c>
      <c r="R106" s="182">
        <f>IFERROR(VLOOKUP(Vertailu[[#This Row],[Y-tunnus]],'Suoritepäätös 2023 oikaistu'!$AB:$AL,COLUMN('Suoritepäätös 2023 oikaistu'!J:J),FALSE),0)</f>
        <v>38646855</v>
      </c>
      <c r="S106" s="183">
        <f>IFERROR(VLOOKUP(Vertailu[[#This Row],[Y-tunnus]],'1.2 Ohjaus-laskentataulu'!A:AT,COLUMN('1.2 Ohjaus-laskentataulu'!AR:AR),FALSE),0)</f>
        <v>40912798</v>
      </c>
      <c r="T106" s="177">
        <f>IFERROR(Vertailu[[#This Row],[Rahoitus ml. hark. kor. 
2024 ilman alv, €]]-Vertailu[[#This Row],[Rahoitus ml. hark. kor. 
2023 ilman alv, €]],0)</f>
        <v>2265943</v>
      </c>
      <c r="U106" s="181">
        <f>IFERROR(Vertailu[[#This Row],[Muutos, € 2]]/Vertailu[[#This Row],[Rahoitus ml. hark. kor. 
2023 ilman alv, €]],0)</f>
        <v>5.8632015464130265E-2</v>
      </c>
      <c r="V10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38646855</v>
      </c>
      <c r="W106" s="182">
        <f>IFERROR(VLOOKUP(Vertailu[[#This Row],[Y-tunnus]],'1.2 Ohjaus-laskentataulu'!A:AT,COLUMN('1.2 Ohjaus-laskentataulu'!AT:AT),FALSE),0)</f>
        <v>40912798</v>
      </c>
      <c r="X106" s="184">
        <f>IFERROR(Vertailu[[#This Row],[Rahoitus ml. hark. kor. + alv 2024, €]]-Vertailu[[#This Row],[Rahoitus ml. hark. kor. + alv 2023, €]],0)</f>
        <v>2265943</v>
      </c>
      <c r="Y106" s="179">
        <f>IFERROR(Vertailu[[#This Row],[Muutos, € 3]]/Vertailu[[#This Row],[Rahoitus ml. hark. kor. + alv 2023, €]],0)</f>
        <v>5.8632015464130265E-2</v>
      </c>
      <c r="Z106" s="177">
        <f>IFERROR(VLOOKUP(Vertailu[[#This Row],[Y-tunnus]],'Suoritepäätös 2023 oikaistu'!$B:$N,COLUMN('Suoritepäätös 2023 oikaistu'!H:H),FALSE),0)</f>
        <v>26604475</v>
      </c>
      <c r="AA106" s="177">
        <f>IFERROR(VLOOKUP(Vertailu[[#This Row],[Y-tunnus]],'1.2 Ohjaus-laskentataulu'!A:AT,COLUMN('1.2 Ohjaus-laskentataulu'!AO:AO),FALSE),0)</f>
        <v>27750896</v>
      </c>
      <c r="AB106" s="177">
        <f>Vertailu[[#This Row],[Perusrahoitus 2024, €]]-Vertailu[[#This Row],[Perusrahoitus 2023, €]]</f>
        <v>1146421</v>
      </c>
      <c r="AC106" s="179">
        <f>IFERROR(Vertailu[[#This Row],[Perusrahoituksen muutos, €]]/Vertailu[[#This Row],[Perusrahoitus 2023, €]],0)</f>
        <v>4.3091284454964816E-2</v>
      </c>
      <c r="AD106" s="177">
        <f>IFERROR(VLOOKUP(Vertailu[[#This Row],[Y-tunnus]],'Suoritepäätös 2023 oikaistu'!$O:$Y,COLUMN('Suoritepäätös 2023 oikaistu'!D:D),FALSE),0)</f>
        <v>8023017</v>
      </c>
      <c r="AE106" s="177">
        <f>IFERROR(VLOOKUP(Vertailu[[#This Row],[Y-tunnus]],'1.2 Ohjaus-laskentataulu'!A:AT,COLUMN('1.2 Ohjaus-laskentataulu'!O:O),FALSE),0)</f>
        <v>8946880</v>
      </c>
      <c r="AF106" s="177">
        <f>Vertailu[[#This Row],[Suoritusrahoitus 2024, €]]-Vertailu[[#This Row],[Suoritusrahoitus 2023, €]]</f>
        <v>923863</v>
      </c>
      <c r="AG106" s="179">
        <f>IFERROR(Vertailu[[#This Row],[Suoritusrahoituksen muutos, €]]/Vertailu[[#This Row],[Suoritusrahoitus 2023, €]],0)</f>
        <v>0.11515156954048583</v>
      </c>
      <c r="AH106" s="177">
        <f>IFERROR(VLOOKUP(Vertailu[[#This Row],[Y-tunnus]],'Suoritepäätös 2023 oikaistu'!$AB:$AL,COLUMN('Suoritepäätös 2023 oikaistu'!I:I),FALSE),0)</f>
        <v>4019363</v>
      </c>
      <c r="AI10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4215022</v>
      </c>
      <c r="AJ106" s="177">
        <f>Vertailu[[#This Row],[Vaikuttavuusrahoitus 2024, €]]-Vertailu[[#This Row],[Vaikuttavuusrahoitus 2023, €]]</f>
        <v>195659</v>
      </c>
      <c r="AK106" s="179">
        <f>IFERROR(Vertailu[[#This Row],[Vaikuttavuusrahoituksen muutos, €]]/Vertailu[[#This Row],[Vaikuttavuusrahoitus 2023, €]],0)</f>
        <v>4.8679106614655111E-2</v>
      </c>
    </row>
    <row r="107" spans="1:37" s="1" customFormat="1" ht="12.75" customHeight="1" x14ac:dyDescent="0.25">
      <c r="A107" s="3" t="s">
        <v>219</v>
      </c>
      <c r="B107" s="151" t="s">
        <v>97</v>
      </c>
      <c r="C107" s="151" t="s">
        <v>214</v>
      </c>
      <c r="D107" s="7" t="s">
        <v>324</v>
      </c>
      <c r="E10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0.63730888088778226</v>
      </c>
      <c r="F10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0.64348600443192527</v>
      </c>
      <c r="G10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0.23032745599427457</v>
      </c>
      <c r="H10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0.12618653957380019</v>
      </c>
      <c r="I10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8.2218511713648648E-2</v>
      </c>
      <c r="J10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5.0330424979158584E-3</v>
      </c>
      <c r="K10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1.3284219362277654E-2</v>
      </c>
      <c r="L10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1.8984484545764822E-2</v>
      </c>
      <c r="M10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6.6662814541931896E-3</v>
      </c>
      <c r="N10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26189670</v>
      </c>
      <c r="O107" s="177">
        <f>IFERROR(VLOOKUP(Vertailu[[#This Row],[Y-tunnus]],'1.2 Ohjaus-laskentataulu'!A:AT,COLUMN('1.2 Ohjaus-laskentataulu'!AF:AF),FALSE),0)</f>
        <v>26745319</v>
      </c>
      <c r="P107" s="177">
        <f>IFERROR(Vertailu[[#This Row],[Rahoitus pl. hark. kor. 2024 ilman alv, €]]-Vertailu[[#This Row],[Rahoitus pl. hark. kor. 2023 ilman alv, €]],0)</f>
        <v>555649</v>
      </c>
      <c r="Q107" s="179">
        <f>IFERROR(Vertailu[[#This Row],[Muutos, € 1]]/Vertailu[[#This Row],[Rahoitus pl. hark. kor. 2023 ilman alv, €]],0)</f>
        <v>2.1216342168496206E-2</v>
      </c>
      <c r="R107" s="182">
        <f>IFERROR(VLOOKUP(Vertailu[[#This Row],[Y-tunnus]],'Suoritepäätös 2023 oikaistu'!$AB:$AL,COLUMN('Suoritepäätös 2023 oikaistu'!J:J),FALSE),0)</f>
        <v>26239670</v>
      </c>
      <c r="S107" s="183">
        <f>IFERROR(VLOOKUP(Vertailu[[#This Row],[Y-tunnus]],'1.2 Ohjaus-laskentataulu'!A:AT,COLUMN('1.2 Ohjaus-laskentataulu'!AR:AR),FALSE),0)</f>
        <v>26911555</v>
      </c>
      <c r="T107" s="177">
        <f>IFERROR(Vertailu[[#This Row],[Rahoitus ml. hark. kor. 
2024 ilman alv, €]]-Vertailu[[#This Row],[Rahoitus ml. hark. kor. 
2023 ilman alv, €]],0)</f>
        <v>671885</v>
      </c>
      <c r="U107" s="181">
        <f>IFERROR(Vertailu[[#This Row],[Muutos, € 2]]/Vertailu[[#This Row],[Rahoitus ml. hark. kor. 
2023 ilman alv, €]],0)</f>
        <v>2.5605695498457107E-2</v>
      </c>
      <c r="V10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26239670</v>
      </c>
      <c r="W107" s="182">
        <f>IFERROR(VLOOKUP(Vertailu[[#This Row],[Y-tunnus]],'1.2 Ohjaus-laskentataulu'!A:AT,COLUMN('1.2 Ohjaus-laskentataulu'!AT:AT),FALSE),0)</f>
        <v>26911555</v>
      </c>
      <c r="X107" s="184">
        <f>IFERROR(Vertailu[[#This Row],[Rahoitus ml. hark. kor. + alv 2024, €]]-Vertailu[[#This Row],[Rahoitus ml. hark. kor. + alv 2023, €]],0)</f>
        <v>671885</v>
      </c>
      <c r="Y107" s="179">
        <f>IFERROR(Vertailu[[#This Row],[Muutos, € 3]]/Vertailu[[#This Row],[Rahoitus ml. hark. kor. + alv 2023, €]],0)</f>
        <v>2.5605695498457107E-2</v>
      </c>
      <c r="Z107" s="177">
        <f>IFERROR(VLOOKUP(Vertailu[[#This Row],[Y-tunnus]],'Suoritepäätös 2023 oikaistu'!$B:$N,COLUMN('Suoritepäätös 2023 oikaistu'!H:H),FALSE),0)</f>
        <v>16879478</v>
      </c>
      <c r="AA107" s="177">
        <f>IFERROR(VLOOKUP(Vertailu[[#This Row],[Y-tunnus]],'1.2 Ohjaus-laskentataulu'!A:AT,COLUMN('1.2 Ohjaus-laskentataulu'!AO:AO),FALSE),0)</f>
        <v>17317209</v>
      </c>
      <c r="AB107" s="177">
        <f>Vertailu[[#This Row],[Perusrahoitus 2024, €]]-Vertailu[[#This Row],[Perusrahoitus 2023, €]]</f>
        <v>437731</v>
      </c>
      <c r="AC107" s="179">
        <f>IFERROR(Vertailu[[#This Row],[Perusrahoituksen muutos, €]]/Vertailu[[#This Row],[Perusrahoitus 2023, €]],0)</f>
        <v>2.5932733227887736E-2</v>
      </c>
      <c r="AD107" s="177">
        <f>IFERROR(VLOOKUP(Vertailu[[#This Row],[Y-tunnus]],'Suoritepäätös 2023 oikaistu'!$O:$Y,COLUMN('Suoritepäätös 2023 oikaistu'!D:D),FALSE),0)</f>
        <v>6287703</v>
      </c>
      <c r="AE107" s="177">
        <f>IFERROR(VLOOKUP(Vertailu[[#This Row],[Y-tunnus]],'1.2 Ohjaus-laskentataulu'!A:AT,COLUMN('1.2 Ohjaus-laskentataulu'!O:O),FALSE),0)</f>
        <v>6198470</v>
      </c>
      <c r="AF107" s="177">
        <f>Vertailu[[#This Row],[Suoritusrahoitus 2024, €]]-Vertailu[[#This Row],[Suoritusrahoitus 2023, €]]</f>
        <v>-89233</v>
      </c>
      <c r="AG107" s="179">
        <f>IFERROR(Vertailu[[#This Row],[Suoritusrahoituksen muutos, €]]/Vertailu[[#This Row],[Suoritusrahoitus 2023, €]],0)</f>
        <v>-1.4191669040347485E-2</v>
      </c>
      <c r="AH107" s="177">
        <f>IFERROR(VLOOKUP(Vertailu[[#This Row],[Y-tunnus]],'Suoritepäätös 2023 oikaistu'!$AB:$AL,COLUMN('Suoritepäätös 2023 oikaistu'!I:I),FALSE),0)</f>
        <v>3072489</v>
      </c>
      <c r="AI10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3395876</v>
      </c>
      <c r="AJ107" s="177">
        <f>Vertailu[[#This Row],[Vaikuttavuusrahoitus 2024, €]]-Vertailu[[#This Row],[Vaikuttavuusrahoitus 2023, €]]</f>
        <v>323387</v>
      </c>
      <c r="AK107" s="179">
        <f>IFERROR(Vertailu[[#This Row],[Vaikuttavuusrahoituksen muutos, €]]/Vertailu[[#This Row],[Vaikuttavuusrahoitus 2023, €]],0)</f>
        <v>0.10525245167680014</v>
      </c>
    </row>
    <row r="108" spans="1:37" s="1" customFormat="1" ht="12.75" customHeight="1" x14ac:dyDescent="0.25">
      <c r="A108" s="3" t="s">
        <v>218</v>
      </c>
      <c r="B108" s="151" t="s">
        <v>98</v>
      </c>
      <c r="C108" s="151" t="s">
        <v>177</v>
      </c>
      <c r="D108" s="7" t="s">
        <v>324</v>
      </c>
      <c r="E10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0.68037455364158139</v>
      </c>
      <c r="F10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0.68642199643024715</v>
      </c>
      <c r="G10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0.19913955629082863</v>
      </c>
      <c r="H10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0.11443844727892423</v>
      </c>
      <c r="I10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7.3278594932884272E-2</v>
      </c>
      <c r="J10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4.9114163638836836E-3</v>
      </c>
      <c r="K10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1.2829638885283108E-2</v>
      </c>
      <c r="L10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1.8588136874430256E-2</v>
      </c>
      <c r="M10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4.8306602224429162E-3</v>
      </c>
      <c r="N10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64232809</v>
      </c>
      <c r="O108" s="177">
        <f>IFERROR(VLOOKUP(Vertailu[[#This Row],[Y-tunnus]],'1.2 Ohjaus-laskentataulu'!A:AT,COLUMN('1.2 Ohjaus-laskentataulu'!AF:AF),FALSE),0)</f>
        <v>67780563</v>
      </c>
      <c r="P108" s="177">
        <f>IFERROR(Vertailu[[#This Row],[Rahoitus pl. hark. kor. 2024 ilman alv, €]]-Vertailu[[#This Row],[Rahoitus pl. hark. kor. 2023 ilman alv, €]],0)</f>
        <v>3547754</v>
      </c>
      <c r="Q108" s="179">
        <f>IFERROR(Vertailu[[#This Row],[Muutos, € 1]]/Vertailu[[#This Row],[Rahoitus pl. hark. kor. 2023 ilman alv, €]],0)</f>
        <v>5.5232739393352701E-2</v>
      </c>
      <c r="R108" s="182">
        <f>IFERROR(VLOOKUP(Vertailu[[#This Row],[Y-tunnus]],'Suoritepäätös 2023 oikaistu'!$AB:$AL,COLUMN('Suoritepäätös 2023 oikaistu'!J:J),FALSE),0)</f>
        <v>64354809</v>
      </c>
      <c r="S108" s="183">
        <f>IFERROR(VLOOKUP(Vertailu[[#This Row],[Y-tunnus]],'1.2 Ohjaus-laskentataulu'!A:AT,COLUMN('1.2 Ohjaus-laskentataulu'!AR:AR),FALSE),0)</f>
        <v>68192956</v>
      </c>
      <c r="T108" s="177">
        <f>IFERROR(Vertailu[[#This Row],[Rahoitus ml. hark. kor. 
2024 ilman alv, €]]-Vertailu[[#This Row],[Rahoitus ml. hark. kor. 
2023 ilman alv, €]],0)</f>
        <v>3838147</v>
      </c>
      <c r="U108" s="181">
        <f>IFERROR(Vertailu[[#This Row],[Muutos, € 2]]/Vertailu[[#This Row],[Rahoitus ml. hark. kor. 
2023 ilman alv, €]],0)</f>
        <v>5.9640406981862071E-2</v>
      </c>
      <c r="V10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64354809</v>
      </c>
      <c r="W108" s="182">
        <f>IFERROR(VLOOKUP(Vertailu[[#This Row],[Y-tunnus]],'1.2 Ohjaus-laskentataulu'!A:AT,COLUMN('1.2 Ohjaus-laskentataulu'!AT:AT),FALSE),0)</f>
        <v>68192956</v>
      </c>
      <c r="X108" s="184">
        <f>IFERROR(Vertailu[[#This Row],[Rahoitus ml. hark. kor. + alv 2024, €]]-Vertailu[[#This Row],[Rahoitus ml. hark. kor. + alv 2023, €]],0)</f>
        <v>3838147</v>
      </c>
      <c r="Y108" s="179">
        <f>IFERROR(Vertailu[[#This Row],[Muutos, € 3]]/Vertailu[[#This Row],[Rahoitus ml. hark. kor. + alv 2023, €]],0)</f>
        <v>5.9640406981862071E-2</v>
      </c>
      <c r="Z108" s="177">
        <f>IFERROR(VLOOKUP(Vertailu[[#This Row],[Y-tunnus]],'Suoritepäätös 2023 oikaistu'!$B:$N,COLUMN('Suoritepäätös 2023 oikaistu'!H:H),FALSE),0)</f>
        <v>44253814</v>
      </c>
      <c r="AA108" s="177">
        <f>IFERROR(VLOOKUP(Vertailu[[#This Row],[Y-tunnus]],'1.2 Ohjaus-laskentataulu'!A:AT,COLUMN('1.2 Ohjaus-laskentataulu'!AO:AO),FALSE),0)</f>
        <v>46809145</v>
      </c>
      <c r="AB108" s="177">
        <f>Vertailu[[#This Row],[Perusrahoitus 2024, €]]-Vertailu[[#This Row],[Perusrahoitus 2023, €]]</f>
        <v>2555331</v>
      </c>
      <c r="AC108" s="179">
        <f>IFERROR(Vertailu[[#This Row],[Perusrahoituksen muutos, €]]/Vertailu[[#This Row],[Perusrahoitus 2023, €]],0)</f>
        <v>5.7742616263538327E-2</v>
      </c>
      <c r="AD108" s="177">
        <f>IFERROR(VLOOKUP(Vertailu[[#This Row],[Y-tunnus]],'Suoritepäätös 2023 oikaistu'!$O:$Y,COLUMN('Suoritepäätös 2023 oikaistu'!D:D),FALSE),0)</f>
        <v>12499341</v>
      </c>
      <c r="AE108" s="177">
        <f>IFERROR(VLOOKUP(Vertailu[[#This Row],[Y-tunnus]],'1.2 Ohjaus-laskentataulu'!A:AT,COLUMN('1.2 Ohjaus-laskentataulu'!O:O),FALSE),0)</f>
        <v>13579915</v>
      </c>
      <c r="AF108" s="177">
        <f>Vertailu[[#This Row],[Suoritusrahoitus 2024, €]]-Vertailu[[#This Row],[Suoritusrahoitus 2023, €]]</f>
        <v>1080574</v>
      </c>
      <c r="AG108" s="179">
        <f>IFERROR(Vertailu[[#This Row],[Suoritusrahoituksen muutos, €]]/Vertailu[[#This Row],[Suoritusrahoitus 2023, €]],0)</f>
        <v>8.6450477669182721E-2</v>
      </c>
      <c r="AH108" s="177">
        <f>IFERROR(VLOOKUP(Vertailu[[#This Row],[Y-tunnus]],'Suoritepäätös 2023 oikaistu'!$AB:$AL,COLUMN('Suoritepäätös 2023 oikaistu'!I:I),FALSE),0)</f>
        <v>7601654</v>
      </c>
      <c r="AI10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7803896</v>
      </c>
      <c r="AJ108" s="177">
        <f>Vertailu[[#This Row],[Vaikuttavuusrahoitus 2024, €]]-Vertailu[[#This Row],[Vaikuttavuusrahoitus 2023, €]]</f>
        <v>202242</v>
      </c>
      <c r="AK108" s="179">
        <f>IFERROR(Vertailu[[#This Row],[Vaikuttavuusrahoituksen muutos, €]]/Vertailu[[#This Row],[Vaikuttavuusrahoitus 2023, €]],0)</f>
        <v>2.6604999385660015E-2</v>
      </c>
    </row>
    <row r="109" spans="1:37" s="1" customFormat="1" ht="12.75" customHeight="1" x14ac:dyDescent="0.25">
      <c r="A109" s="3" t="s">
        <v>217</v>
      </c>
      <c r="B109" s="151" t="s">
        <v>99</v>
      </c>
      <c r="C109" s="151" t="s">
        <v>199</v>
      </c>
      <c r="D109" s="7" t="s">
        <v>324</v>
      </c>
      <c r="E10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0.67048836210634377</v>
      </c>
      <c r="F10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0.67476602958851806</v>
      </c>
      <c r="G10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0.21747004535345332</v>
      </c>
      <c r="H10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0.10776392505802862</v>
      </c>
      <c r="I10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7.4711477914623389E-2</v>
      </c>
      <c r="J10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2.853786666553817E-3</v>
      </c>
      <c r="K10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1.2528146418686733E-2</v>
      </c>
      <c r="L10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1.2189220250688809E-2</v>
      </c>
      <c r="M10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5.4812938074758778E-3</v>
      </c>
      <c r="N10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51648336</v>
      </c>
      <c r="O109" s="177">
        <f>IFERROR(VLOOKUP(Vertailu[[#This Row],[Y-tunnus]],'1.2 Ohjaus-laskentataulu'!A:AT,COLUMN('1.2 Ohjaus-laskentataulu'!AF:AF),FALSE),0)</f>
        <v>55528754</v>
      </c>
      <c r="P109" s="177">
        <f>IFERROR(Vertailu[[#This Row],[Rahoitus pl. hark. kor. 2024 ilman alv, €]]-Vertailu[[#This Row],[Rahoitus pl. hark. kor. 2023 ilman alv, €]],0)</f>
        <v>3880418</v>
      </c>
      <c r="Q109" s="179">
        <f>IFERROR(Vertailu[[#This Row],[Muutos, € 1]]/Vertailu[[#This Row],[Rahoitus pl. hark. kor. 2023 ilman alv, €]],0)</f>
        <v>7.5131520210060587E-2</v>
      </c>
      <c r="R109" s="182">
        <f>IFERROR(VLOOKUP(Vertailu[[#This Row],[Y-tunnus]],'Suoritepäätös 2023 oikaistu'!$AB:$AL,COLUMN('Suoritepäätös 2023 oikaistu'!J:J),FALSE),0)</f>
        <v>51685336</v>
      </c>
      <c r="S109" s="183">
        <f>IFERROR(VLOOKUP(Vertailu[[#This Row],[Y-tunnus]],'1.2 Ohjaus-laskentataulu'!A:AT,COLUMN('1.2 Ohjaus-laskentataulu'!AR:AR),FALSE),0)</f>
        <v>55767308</v>
      </c>
      <c r="T109" s="177">
        <f>IFERROR(Vertailu[[#This Row],[Rahoitus ml. hark. kor. 
2024 ilman alv, €]]-Vertailu[[#This Row],[Rahoitus ml. hark. kor. 
2023 ilman alv, €]],0)</f>
        <v>4081972</v>
      </c>
      <c r="U109" s="181">
        <f>IFERROR(Vertailu[[#This Row],[Muutos, € 2]]/Vertailu[[#This Row],[Rahoitus ml. hark. kor. 
2023 ilman alv, €]],0)</f>
        <v>7.8977371841018898E-2</v>
      </c>
      <c r="V10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51685336</v>
      </c>
      <c r="W109" s="182">
        <f>IFERROR(VLOOKUP(Vertailu[[#This Row],[Y-tunnus]],'1.2 Ohjaus-laskentataulu'!A:AT,COLUMN('1.2 Ohjaus-laskentataulu'!AT:AT),FALSE),0)</f>
        <v>55767308</v>
      </c>
      <c r="X109" s="184">
        <f>IFERROR(Vertailu[[#This Row],[Rahoitus ml. hark. kor. + alv 2024, €]]-Vertailu[[#This Row],[Rahoitus ml. hark. kor. + alv 2023, €]],0)</f>
        <v>4081972</v>
      </c>
      <c r="Y109" s="179">
        <f>IFERROR(Vertailu[[#This Row],[Muutos, € 3]]/Vertailu[[#This Row],[Rahoitus ml. hark. kor. + alv 2023, €]],0)</f>
        <v>7.8977371841018898E-2</v>
      </c>
      <c r="Z109" s="177">
        <f>IFERROR(VLOOKUP(Vertailu[[#This Row],[Y-tunnus]],'Suoritepäätös 2023 oikaistu'!$B:$N,COLUMN('Suoritepäätös 2023 oikaistu'!H:H),FALSE),0)</f>
        <v>35449662</v>
      </c>
      <c r="AA109" s="177">
        <f>IFERROR(VLOOKUP(Vertailu[[#This Row],[Y-tunnus]],'1.2 Ohjaus-laskentataulu'!A:AT,COLUMN('1.2 Ohjaus-laskentataulu'!AO:AO),FALSE),0)</f>
        <v>37629885</v>
      </c>
      <c r="AB109" s="177">
        <f>Vertailu[[#This Row],[Perusrahoitus 2024, €]]-Vertailu[[#This Row],[Perusrahoitus 2023, €]]</f>
        <v>2180223</v>
      </c>
      <c r="AC109" s="179">
        <f>IFERROR(Vertailu[[#This Row],[Perusrahoituksen muutos, €]]/Vertailu[[#This Row],[Perusrahoitus 2023, €]],0)</f>
        <v>6.1501940413423405E-2</v>
      </c>
      <c r="AD109" s="177">
        <f>IFERROR(VLOOKUP(Vertailu[[#This Row],[Y-tunnus]],'Suoritepäätös 2023 oikaistu'!$O:$Y,COLUMN('Suoritepäätös 2023 oikaistu'!D:D),FALSE),0)</f>
        <v>10736676</v>
      </c>
      <c r="AE109" s="177">
        <f>IFERROR(VLOOKUP(Vertailu[[#This Row],[Y-tunnus]],'1.2 Ohjaus-laskentataulu'!A:AT,COLUMN('1.2 Ohjaus-laskentataulu'!O:O),FALSE),0)</f>
        <v>12127719</v>
      </c>
      <c r="AF109" s="177">
        <f>Vertailu[[#This Row],[Suoritusrahoitus 2024, €]]-Vertailu[[#This Row],[Suoritusrahoitus 2023, €]]</f>
        <v>1391043</v>
      </c>
      <c r="AG109" s="179">
        <f>IFERROR(Vertailu[[#This Row],[Suoritusrahoituksen muutos, €]]/Vertailu[[#This Row],[Suoritusrahoitus 2023, €]],0)</f>
        <v>0.12955993083893003</v>
      </c>
      <c r="AH109" s="177">
        <f>IFERROR(VLOOKUP(Vertailu[[#This Row],[Y-tunnus]],'Suoritepäätös 2023 oikaistu'!$AB:$AL,COLUMN('Suoritepäätös 2023 oikaistu'!I:I),FALSE),0)</f>
        <v>5498998</v>
      </c>
      <c r="AI10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6009704</v>
      </c>
      <c r="AJ109" s="177">
        <f>Vertailu[[#This Row],[Vaikuttavuusrahoitus 2024, €]]-Vertailu[[#This Row],[Vaikuttavuusrahoitus 2023, €]]</f>
        <v>510706</v>
      </c>
      <c r="AK109" s="179">
        <f>IFERROR(Vertailu[[#This Row],[Vaikuttavuusrahoituksen muutos, €]]/Vertailu[[#This Row],[Vaikuttavuusrahoitus 2023, €]],0)</f>
        <v>9.287255605475761E-2</v>
      </c>
    </row>
    <row r="110" spans="1:37" s="1" customFormat="1" ht="12.75" customHeight="1" x14ac:dyDescent="0.25">
      <c r="A110" s="3" t="s">
        <v>216</v>
      </c>
      <c r="B110" s="151" t="s">
        <v>100</v>
      </c>
      <c r="C110" s="151" t="s">
        <v>173</v>
      </c>
      <c r="D110" s="7" t="s">
        <v>325</v>
      </c>
      <c r="E11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0.65926472431492711</v>
      </c>
      <c r="F11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0.66282222362622822</v>
      </c>
      <c r="G11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0.21591424399201484</v>
      </c>
      <c r="H11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0.12126353238175694</v>
      </c>
      <c r="I11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8.0064094006807848E-2</v>
      </c>
      <c r="J11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3.5415344042049528E-3</v>
      </c>
      <c r="K11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1.3289299062452339E-2</v>
      </c>
      <c r="L11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1.5129424444718452E-2</v>
      </c>
      <c r="M11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9.2391804635733477E-3</v>
      </c>
      <c r="N11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23147298</v>
      </c>
      <c r="O110" s="177">
        <f>IFERROR(VLOOKUP(Vertailu[[#This Row],[Y-tunnus]],'1.2 Ohjaus-laskentataulu'!A:AT,COLUMN('1.2 Ohjaus-laskentataulu'!AF:AF),FALSE),0)</f>
        <v>23467871</v>
      </c>
      <c r="P110" s="177">
        <f>IFERROR(Vertailu[[#This Row],[Rahoitus pl. hark. kor. 2024 ilman alv, €]]-Vertailu[[#This Row],[Rahoitus pl. hark. kor. 2023 ilman alv, €]],0)</f>
        <v>320573</v>
      </c>
      <c r="Q110" s="179">
        <f>IFERROR(Vertailu[[#This Row],[Muutos, € 1]]/Vertailu[[#This Row],[Rahoitus pl. hark. kor. 2023 ilman alv, €]],0)</f>
        <v>1.3849262233544494E-2</v>
      </c>
      <c r="R110" s="182">
        <f>IFERROR(VLOOKUP(Vertailu[[#This Row],[Y-tunnus]],'Suoritepäätös 2023 oikaistu'!$AB:$AL,COLUMN('Suoritepäätös 2023 oikaistu'!J:J),FALSE),0)</f>
        <v>23210298</v>
      </c>
      <c r="S110" s="183">
        <f>IFERROR(VLOOKUP(Vertailu[[#This Row],[Y-tunnus]],'1.2 Ohjaus-laskentataulu'!A:AT,COLUMN('1.2 Ohjaus-laskentataulu'!AR:AR),FALSE),0)</f>
        <v>23551656</v>
      </c>
      <c r="T110" s="177">
        <f>IFERROR(Vertailu[[#This Row],[Rahoitus ml. hark. kor. 
2024 ilman alv, €]]-Vertailu[[#This Row],[Rahoitus ml. hark. kor. 
2023 ilman alv, €]],0)</f>
        <v>341358</v>
      </c>
      <c r="U110" s="181">
        <f>IFERROR(Vertailu[[#This Row],[Muutos, € 2]]/Vertailu[[#This Row],[Rahoitus ml. hark. kor. 
2023 ilman alv, €]],0)</f>
        <v>1.4707178684220255E-2</v>
      </c>
      <c r="V11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23934132</v>
      </c>
      <c r="W110" s="182">
        <f>IFERROR(VLOOKUP(Vertailu[[#This Row],[Y-tunnus]],'1.2 Ohjaus-laskentataulu'!A:AT,COLUMN('1.2 Ohjaus-laskentataulu'!AT:AT),FALSE),0)</f>
        <v>24289919</v>
      </c>
      <c r="X110" s="184">
        <f>IFERROR(Vertailu[[#This Row],[Rahoitus ml. hark. kor. + alv 2024, €]]-Vertailu[[#This Row],[Rahoitus ml. hark. kor. + alv 2023, €]],0)</f>
        <v>355787</v>
      </c>
      <c r="Y110" s="179">
        <f>IFERROR(Vertailu[[#This Row],[Muutos, € 3]]/Vertailu[[#This Row],[Rahoitus ml. hark. kor. + alv 2023, €]],0)</f>
        <v>1.4865256028503561E-2</v>
      </c>
      <c r="Z110" s="177">
        <f>IFERROR(VLOOKUP(Vertailu[[#This Row],[Y-tunnus]],'Suoritepäätös 2023 oikaistu'!$B:$N,COLUMN('Suoritepäätös 2023 oikaistu'!H:H),FALSE),0)</f>
        <v>15693667</v>
      </c>
      <c r="AA110" s="177">
        <f>IFERROR(VLOOKUP(Vertailu[[#This Row],[Y-tunnus]],'1.2 Ohjaus-laskentataulu'!A:AT,COLUMN('1.2 Ohjaus-laskentataulu'!AO:AO),FALSE),0)</f>
        <v>15610561</v>
      </c>
      <c r="AB110" s="177">
        <f>Vertailu[[#This Row],[Perusrahoitus 2024, €]]-Vertailu[[#This Row],[Perusrahoitus 2023, €]]</f>
        <v>-83106</v>
      </c>
      <c r="AC110" s="179">
        <f>IFERROR(Vertailu[[#This Row],[Perusrahoituksen muutos, €]]/Vertailu[[#This Row],[Perusrahoitus 2023, €]],0)</f>
        <v>-5.2955118774981012E-3</v>
      </c>
      <c r="AD110" s="177">
        <f>IFERROR(VLOOKUP(Vertailu[[#This Row],[Y-tunnus]],'Suoritepäätös 2023 oikaistu'!$O:$Y,COLUMN('Suoritepäätös 2023 oikaistu'!D:D),FALSE),0)</f>
        <v>4723029</v>
      </c>
      <c r="AE110" s="177">
        <f>IFERROR(VLOOKUP(Vertailu[[#This Row],[Y-tunnus]],'1.2 Ohjaus-laskentataulu'!A:AT,COLUMN('1.2 Ohjaus-laskentataulu'!O:O),FALSE),0)</f>
        <v>5085138</v>
      </c>
      <c r="AF110" s="177">
        <f>Vertailu[[#This Row],[Suoritusrahoitus 2024, €]]-Vertailu[[#This Row],[Suoritusrahoitus 2023, €]]</f>
        <v>362109</v>
      </c>
      <c r="AG110" s="179">
        <f>IFERROR(Vertailu[[#This Row],[Suoritusrahoituksen muutos, €]]/Vertailu[[#This Row],[Suoritusrahoitus 2023, €]],0)</f>
        <v>7.6668807242132112E-2</v>
      </c>
      <c r="AH110" s="177">
        <f>IFERROR(VLOOKUP(Vertailu[[#This Row],[Y-tunnus]],'Suoritepäätös 2023 oikaistu'!$AB:$AL,COLUMN('Suoritepäätös 2023 oikaistu'!I:I),FALSE),0)</f>
        <v>2793602</v>
      </c>
      <c r="AI11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2855957</v>
      </c>
      <c r="AJ110" s="177">
        <f>Vertailu[[#This Row],[Vaikuttavuusrahoitus 2024, €]]-Vertailu[[#This Row],[Vaikuttavuusrahoitus 2023, €]]</f>
        <v>62355</v>
      </c>
      <c r="AK110" s="179">
        <f>IFERROR(Vertailu[[#This Row],[Vaikuttavuusrahoituksen muutos, €]]/Vertailu[[#This Row],[Vaikuttavuusrahoitus 2023, €]],0)</f>
        <v>2.2320645532183898E-2</v>
      </c>
    </row>
    <row r="111" spans="1:37" s="1" customFormat="1" ht="12.75" customHeight="1" x14ac:dyDescent="0.25">
      <c r="A111" s="3" t="s">
        <v>215</v>
      </c>
      <c r="B111" s="151" t="s">
        <v>146</v>
      </c>
      <c r="C111" s="151" t="s">
        <v>214</v>
      </c>
      <c r="D111" s="7" t="s">
        <v>325</v>
      </c>
      <c r="E11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5.6701029422458638E-2</v>
      </c>
      <c r="F11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1</v>
      </c>
      <c r="G11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</v>
      </c>
      <c r="H11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</v>
      </c>
      <c r="I11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</v>
      </c>
      <c r="J11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0</v>
      </c>
      <c r="K11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0</v>
      </c>
      <c r="L11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0</v>
      </c>
      <c r="M11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11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365816</v>
      </c>
      <c r="O111" s="177">
        <f>IFERROR(VLOOKUP(Vertailu[[#This Row],[Y-tunnus]],'1.2 Ohjaus-laskentataulu'!A:AT,COLUMN('1.2 Ohjaus-laskentataulu'!AF:AF),FALSE),0)</f>
        <v>388306</v>
      </c>
      <c r="P111" s="177">
        <f>IFERROR(Vertailu[[#This Row],[Rahoitus pl. hark. kor. 2024 ilman alv, €]]-Vertailu[[#This Row],[Rahoitus pl. hark. kor. 2023 ilman alv, €]],0)</f>
        <v>22490</v>
      </c>
      <c r="Q111" s="179">
        <f>IFERROR(Vertailu[[#This Row],[Muutos, € 1]]/Vertailu[[#This Row],[Rahoitus pl. hark. kor. 2023 ilman alv, €]],0)</f>
        <v>6.1478994904542172E-2</v>
      </c>
      <c r="R111" s="182">
        <f>IFERROR(VLOOKUP(Vertailu[[#This Row],[Y-tunnus]],'Suoritepäätös 2023 oikaistu'!$AB:$AL,COLUMN('Suoritepäätös 2023 oikaistu'!J:J),FALSE),0)</f>
        <v>7050816</v>
      </c>
      <c r="S111" s="183">
        <f>IFERROR(VLOOKUP(Vertailu[[#This Row],[Y-tunnus]],'1.2 Ohjaus-laskentataulu'!A:AT,COLUMN('1.2 Ohjaus-laskentataulu'!AR:AR),FALSE),0)</f>
        <v>6848306</v>
      </c>
      <c r="T111" s="177">
        <f>IFERROR(Vertailu[[#This Row],[Rahoitus ml. hark. kor. 
2024 ilman alv, €]]-Vertailu[[#This Row],[Rahoitus ml. hark. kor. 
2023 ilman alv, €]],0)</f>
        <v>-202510</v>
      </c>
      <c r="U111" s="181">
        <f>IFERROR(Vertailu[[#This Row],[Muutos, € 2]]/Vertailu[[#This Row],[Rahoitus ml. hark. kor. 
2023 ilman alv, €]],0)</f>
        <v>-2.8721498334377184E-2</v>
      </c>
      <c r="V11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7886481</v>
      </c>
      <c r="W111" s="182">
        <f>IFERROR(VLOOKUP(Vertailu[[#This Row],[Y-tunnus]],'1.2 Ohjaus-laskentataulu'!A:AT,COLUMN('1.2 Ohjaus-laskentataulu'!AT:AT),FALSE),0)</f>
        <v>8016654</v>
      </c>
      <c r="X111" s="184">
        <f>IFERROR(Vertailu[[#This Row],[Rahoitus ml. hark. kor. + alv 2024, €]]-Vertailu[[#This Row],[Rahoitus ml. hark. kor. + alv 2023, €]],0)</f>
        <v>130173</v>
      </c>
      <c r="Y111" s="179">
        <f>IFERROR(Vertailu[[#This Row],[Muutos, € 3]]/Vertailu[[#This Row],[Rahoitus ml. hark. kor. + alv 2023, €]],0)</f>
        <v>1.6505840817976992E-2</v>
      </c>
      <c r="Z111" s="177">
        <f>IFERROR(VLOOKUP(Vertailu[[#This Row],[Y-tunnus]],'Suoritepäätös 2023 oikaistu'!$B:$N,COLUMN('Suoritepäätös 2023 oikaistu'!H:H),FALSE),0)</f>
        <v>7050816</v>
      </c>
      <c r="AA111" s="177">
        <f>IFERROR(VLOOKUP(Vertailu[[#This Row],[Y-tunnus]],'1.2 Ohjaus-laskentataulu'!A:AT,COLUMN('1.2 Ohjaus-laskentataulu'!AO:AO),FALSE),0)</f>
        <v>6848306</v>
      </c>
      <c r="AB111" s="177">
        <f>Vertailu[[#This Row],[Perusrahoitus 2024, €]]-Vertailu[[#This Row],[Perusrahoitus 2023, €]]</f>
        <v>-202510</v>
      </c>
      <c r="AC111" s="179">
        <f>IFERROR(Vertailu[[#This Row],[Perusrahoituksen muutos, €]]/Vertailu[[#This Row],[Perusrahoitus 2023, €]],0)</f>
        <v>-2.8721498334377184E-2</v>
      </c>
      <c r="AD111" s="177">
        <f>IFERROR(VLOOKUP(Vertailu[[#This Row],[Y-tunnus]],'Suoritepäätös 2023 oikaistu'!$O:$Y,COLUMN('Suoritepäätös 2023 oikaistu'!D:D),FALSE),0)</f>
        <v>0</v>
      </c>
      <c r="AE111" s="177">
        <f>IFERROR(VLOOKUP(Vertailu[[#This Row],[Y-tunnus]],'1.2 Ohjaus-laskentataulu'!A:AT,COLUMN('1.2 Ohjaus-laskentataulu'!O:O),FALSE),0)</f>
        <v>0</v>
      </c>
      <c r="AF111" s="177">
        <f>Vertailu[[#This Row],[Suoritusrahoitus 2024, €]]-Vertailu[[#This Row],[Suoritusrahoitus 2023, €]]</f>
        <v>0</v>
      </c>
      <c r="AG111" s="179">
        <f>IFERROR(Vertailu[[#This Row],[Suoritusrahoituksen muutos, €]]/Vertailu[[#This Row],[Suoritusrahoitus 2023, €]],0)</f>
        <v>0</v>
      </c>
      <c r="AH111" s="177">
        <f>IFERROR(VLOOKUP(Vertailu[[#This Row],[Y-tunnus]],'Suoritepäätös 2023 oikaistu'!$AB:$AL,COLUMN('Suoritepäätös 2023 oikaistu'!I:I),FALSE),0)</f>
        <v>0</v>
      </c>
      <c r="AI11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0</v>
      </c>
      <c r="AJ111" s="177">
        <f>Vertailu[[#This Row],[Vaikuttavuusrahoitus 2024, €]]-Vertailu[[#This Row],[Vaikuttavuusrahoitus 2023, €]]</f>
        <v>0</v>
      </c>
      <c r="AK111" s="179">
        <f>IFERROR(Vertailu[[#This Row],[Vaikuttavuusrahoituksen muutos, €]]/Vertailu[[#This Row],[Vaikuttavuusrahoitus 2023, €]],0)</f>
        <v>0</v>
      </c>
    </row>
    <row r="112" spans="1:37" s="1" customFormat="1" ht="12.75" customHeight="1" x14ac:dyDescent="0.25">
      <c r="A112" s="3" t="s">
        <v>213</v>
      </c>
      <c r="B112" s="151" t="s">
        <v>101</v>
      </c>
      <c r="C112" s="151" t="s">
        <v>173</v>
      </c>
      <c r="D112" s="7" t="s">
        <v>325</v>
      </c>
      <c r="E11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0.31732695456499665</v>
      </c>
      <c r="F11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0.81280967670133519</v>
      </c>
      <c r="G11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0.11984126258144974</v>
      </c>
      <c r="H11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6.7349060717215053E-2</v>
      </c>
      <c r="I11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6.3973679957800123E-2</v>
      </c>
      <c r="J11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3.4302649994054205E-4</v>
      </c>
      <c r="K11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3.0323542594743918E-3</v>
      </c>
      <c r="L11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0</v>
      </c>
      <c r="M11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11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296884</v>
      </c>
      <c r="O112" s="177">
        <f>IFERROR(VLOOKUP(Vertailu[[#This Row],[Y-tunnus]],'1.2 Ohjaus-laskentataulu'!A:AT,COLUMN('1.2 Ohjaus-laskentataulu'!AF:AF),FALSE),0)</f>
        <v>330926</v>
      </c>
      <c r="P112" s="177">
        <f>IFERROR(Vertailu[[#This Row],[Rahoitus pl. hark. kor. 2024 ilman alv, €]]-Vertailu[[#This Row],[Rahoitus pl. hark. kor. 2023 ilman alv, €]],0)</f>
        <v>34042</v>
      </c>
      <c r="Q112" s="179">
        <f>IFERROR(Vertailu[[#This Row],[Muutos, € 1]]/Vertailu[[#This Row],[Rahoitus pl. hark. kor. 2023 ilman alv, €]],0)</f>
        <v>0.11466431333450101</v>
      </c>
      <c r="R112" s="182">
        <f>IFERROR(VLOOKUP(Vertailu[[#This Row],[Y-tunnus]],'Suoritepäätös 2023 oikaistu'!$AB:$AL,COLUMN('Suoritepäätös 2023 oikaistu'!J:J),FALSE),0)</f>
        <v>536884</v>
      </c>
      <c r="S112" s="183">
        <f>IFERROR(VLOOKUP(Vertailu[[#This Row],[Y-tunnus]],'1.2 Ohjaus-laskentataulu'!A:AT,COLUMN('1.2 Ohjaus-laskentataulu'!AR:AR),FALSE),0)</f>
        <v>655926</v>
      </c>
      <c r="T112" s="177">
        <f>IFERROR(Vertailu[[#This Row],[Rahoitus ml. hark. kor. 
2024 ilman alv, €]]-Vertailu[[#This Row],[Rahoitus ml. hark. kor. 
2023 ilman alv, €]],0)</f>
        <v>119042</v>
      </c>
      <c r="U112" s="181">
        <f>IFERROR(Vertailu[[#This Row],[Muutos, € 2]]/Vertailu[[#This Row],[Rahoitus ml. hark. kor. 
2023 ilman alv, €]],0)</f>
        <v>0.22172759851290036</v>
      </c>
      <c r="V11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590768</v>
      </c>
      <c r="W112" s="182">
        <f>IFERROR(VLOOKUP(Vertailu[[#This Row],[Y-tunnus]],'1.2 Ohjaus-laskentataulu'!A:AT,COLUMN('1.2 Ohjaus-laskentataulu'!AT:AT),FALSE),0)</f>
        <v>694484</v>
      </c>
      <c r="X112" s="184">
        <f>IFERROR(Vertailu[[#This Row],[Rahoitus ml. hark. kor. + alv 2024, €]]-Vertailu[[#This Row],[Rahoitus ml. hark. kor. + alv 2023, €]],0)</f>
        <v>103716</v>
      </c>
      <c r="Y112" s="179">
        <f>IFERROR(Vertailu[[#This Row],[Muutos, € 3]]/Vertailu[[#This Row],[Rahoitus ml. hark. kor. + alv 2023, €]],0)</f>
        <v>0.1755613032527151</v>
      </c>
      <c r="Z112" s="177">
        <f>IFERROR(VLOOKUP(Vertailu[[#This Row],[Y-tunnus]],'Suoritepäätös 2023 oikaistu'!$B:$N,COLUMN('Suoritepäätös 2023 oikaistu'!H:H),FALSE),0)</f>
        <v>436228</v>
      </c>
      <c r="AA112" s="177">
        <f>IFERROR(VLOOKUP(Vertailu[[#This Row],[Y-tunnus]],'1.2 Ohjaus-laskentataulu'!A:AT,COLUMN('1.2 Ohjaus-laskentataulu'!AO:AO),FALSE),0)</f>
        <v>533143</v>
      </c>
      <c r="AB112" s="177">
        <f>Vertailu[[#This Row],[Perusrahoitus 2024, €]]-Vertailu[[#This Row],[Perusrahoitus 2023, €]]</f>
        <v>96915</v>
      </c>
      <c r="AC112" s="179">
        <f>IFERROR(Vertailu[[#This Row],[Perusrahoituksen muutos, €]]/Vertailu[[#This Row],[Perusrahoitus 2023, €]],0)</f>
        <v>0.22216593157706521</v>
      </c>
      <c r="AD112" s="177">
        <f>IFERROR(VLOOKUP(Vertailu[[#This Row],[Y-tunnus]],'Suoritepäätös 2023 oikaistu'!$O:$Y,COLUMN('Suoritepäätös 2023 oikaistu'!D:D),FALSE),0)</f>
        <v>58164</v>
      </c>
      <c r="AE112" s="177">
        <f>IFERROR(VLOOKUP(Vertailu[[#This Row],[Y-tunnus]],'1.2 Ohjaus-laskentataulu'!A:AT,COLUMN('1.2 Ohjaus-laskentataulu'!O:O),FALSE),0)</f>
        <v>78607</v>
      </c>
      <c r="AF112" s="177">
        <f>Vertailu[[#This Row],[Suoritusrahoitus 2024, €]]-Vertailu[[#This Row],[Suoritusrahoitus 2023, €]]</f>
        <v>20443</v>
      </c>
      <c r="AG112" s="179">
        <f>IFERROR(Vertailu[[#This Row],[Suoritusrahoituksen muutos, €]]/Vertailu[[#This Row],[Suoritusrahoitus 2023, €]],0)</f>
        <v>0.35147170070834194</v>
      </c>
      <c r="AH112" s="177">
        <f>IFERROR(VLOOKUP(Vertailu[[#This Row],[Y-tunnus]],'Suoritepäätös 2023 oikaistu'!$AB:$AL,COLUMN('Suoritepäätös 2023 oikaistu'!I:I),FALSE),0)</f>
        <v>42492</v>
      </c>
      <c r="AI11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44176</v>
      </c>
      <c r="AJ112" s="177">
        <f>Vertailu[[#This Row],[Vaikuttavuusrahoitus 2024, €]]-Vertailu[[#This Row],[Vaikuttavuusrahoitus 2023, €]]</f>
        <v>1684</v>
      </c>
      <c r="AK112" s="179">
        <f>IFERROR(Vertailu[[#This Row],[Vaikuttavuusrahoituksen muutos, €]]/Vertailu[[#This Row],[Vaikuttavuusrahoitus 2023, €]],0)</f>
        <v>3.9630989362703567E-2</v>
      </c>
    </row>
    <row r="113" spans="1:37" s="1" customFormat="1" ht="12.75" customHeight="1" x14ac:dyDescent="0.25">
      <c r="A113" s="3" t="s">
        <v>212</v>
      </c>
      <c r="B113" s="151" t="s">
        <v>130</v>
      </c>
      <c r="C113" s="151" t="s">
        <v>173</v>
      </c>
      <c r="D113" s="7" t="s">
        <v>325</v>
      </c>
      <c r="E11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0.65337132438833334</v>
      </c>
      <c r="F11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0.65337132438833334</v>
      </c>
      <c r="G11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0.22700724242660228</v>
      </c>
      <c r="H11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0.11962143318506438</v>
      </c>
      <c r="I11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7.7816002968432912E-2</v>
      </c>
      <c r="J11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1.2835723807473306E-2</v>
      </c>
      <c r="K11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2.5158385135847033E-2</v>
      </c>
      <c r="L11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2.2171628561088791E-3</v>
      </c>
      <c r="M11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1.5941584172022519E-3</v>
      </c>
      <c r="N11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228084</v>
      </c>
      <c r="O113" s="177">
        <f>IFERROR(VLOOKUP(Vertailu[[#This Row],[Y-tunnus]],'1.2 Ohjaus-laskentataulu'!A:AT,COLUMN('1.2 Ohjaus-laskentataulu'!AF:AF),FALSE),0)</f>
        <v>218297</v>
      </c>
      <c r="P113" s="177">
        <f>IFERROR(Vertailu[[#This Row],[Rahoitus pl. hark. kor. 2024 ilman alv, €]]-Vertailu[[#This Row],[Rahoitus pl. hark. kor. 2023 ilman alv, €]],0)</f>
        <v>-9787</v>
      </c>
      <c r="Q113" s="179">
        <f>IFERROR(Vertailu[[#This Row],[Muutos, € 1]]/Vertailu[[#This Row],[Rahoitus pl. hark. kor. 2023 ilman alv, €]],0)</f>
        <v>-4.2909629785517614E-2</v>
      </c>
      <c r="R113" s="182">
        <f>IFERROR(VLOOKUP(Vertailu[[#This Row],[Y-tunnus]],'Suoritepäätös 2023 oikaistu'!$AB:$AL,COLUMN('Suoritepäätös 2023 oikaistu'!J:J),FALSE),0)</f>
        <v>228084</v>
      </c>
      <c r="S113" s="183">
        <f>IFERROR(VLOOKUP(Vertailu[[#This Row],[Y-tunnus]],'1.2 Ohjaus-laskentataulu'!A:AT,COLUMN('1.2 Ohjaus-laskentataulu'!AR:AR),FALSE),0)</f>
        <v>218297</v>
      </c>
      <c r="T113" s="177">
        <f>IFERROR(Vertailu[[#This Row],[Rahoitus ml. hark. kor. 
2024 ilman alv, €]]-Vertailu[[#This Row],[Rahoitus ml. hark. kor. 
2023 ilman alv, €]],0)</f>
        <v>-9787</v>
      </c>
      <c r="U113" s="181">
        <f>IFERROR(Vertailu[[#This Row],[Muutos, € 2]]/Vertailu[[#This Row],[Rahoitus ml. hark. kor. 
2023 ilman alv, €]],0)</f>
        <v>-4.2909629785517614E-2</v>
      </c>
      <c r="V11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242222</v>
      </c>
      <c r="W113" s="182">
        <f>IFERROR(VLOOKUP(Vertailu[[#This Row],[Y-tunnus]],'1.2 Ohjaus-laskentataulu'!A:AT,COLUMN('1.2 Ohjaus-laskentataulu'!AT:AT),FALSE),0)</f>
        <v>233461</v>
      </c>
      <c r="X113" s="184">
        <f>IFERROR(Vertailu[[#This Row],[Rahoitus ml. hark. kor. + alv 2024, €]]-Vertailu[[#This Row],[Rahoitus ml. hark. kor. + alv 2023, €]],0)</f>
        <v>-8761</v>
      </c>
      <c r="Y113" s="179">
        <f>IFERROR(Vertailu[[#This Row],[Muutos, € 3]]/Vertailu[[#This Row],[Rahoitus ml. hark. kor. + alv 2023, €]],0)</f>
        <v>-3.616929923788921E-2</v>
      </c>
      <c r="Z113" s="177">
        <f>IFERROR(VLOOKUP(Vertailu[[#This Row],[Y-tunnus]],'Suoritepäätös 2023 oikaistu'!$B:$N,COLUMN('Suoritepäätös 2023 oikaistu'!H:H),FALSE),0)</f>
        <v>135800</v>
      </c>
      <c r="AA113" s="177">
        <f>IFERROR(VLOOKUP(Vertailu[[#This Row],[Y-tunnus]],'1.2 Ohjaus-laskentataulu'!A:AT,COLUMN('1.2 Ohjaus-laskentataulu'!AO:AO),FALSE),0)</f>
        <v>142629</v>
      </c>
      <c r="AB113" s="177">
        <f>Vertailu[[#This Row],[Perusrahoitus 2024, €]]-Vertailu[[#This Row],[Perusrahoitus 2023, €]]</f>
        <v>6829</v>
      </c>
      <c r="AC113" s="179">
        <f>IFERROR(Vertailu[[#This Row],[Perusrahoituksen muutos, €]]/Vertailu[[#This Row],[Perusrahoitus 2023, €]],0)</f>
        <v>5.0287187039764362E-2</v>
      </c>
      <c r="AD113" s="177">
        <f>IFERROR(VLOOKUP(Vertailu[[#This Row],[Y-tunnus]],'Suoritepäätös 2023 oikaistu'!$O:$Y,COLUMN('Suoritepäätös 2023 oikaistu'!D:D),FALSE),0)</f>
        <v>57124</v>
      </c>
      <c r="AE113" s="177">
        <f>IFERROR(VLOOKUP(Vertailu[[#This Row],[Y-tunnus]],'1.2 Ohjaus-laskentataulu'!A:AT,COLUMN('1.2 Ohjaus-laskentataulu'!O:O),FALSE),0)</f>
        <v>49555</v>
      </c>
      <c r="AF113" s="177">
        <f>Vertailu[[#This Row],[Suoritusrahoitus 2024, €]]-Vertailu[[#This Row],[Suoritusrahoitus 2023, €]]</f>
        <v>-7569</v>
      </c>
      <c r="AG113" s="179">
        <f>IFERROR(Vertailu[[#This Row],[Suoritusrahoituksen muutos, €]]/Vertailu[[#This Row],[Suoritusrahoitus 2023, €]],0)</f>
        <v>-0.13250122540438344</v>
      </c>
      <c r="AH113" s="177">
        <f>IFERROR(VLOOKUP(Vertailu[[#This Row],[Y-tunnus]],'Suoritepäätös 2023 oikaistu'!$AB:$AL,COLUMN('Suoritepäätös 2023 oikaistu'!I:I),FALSE),0)</f>
        <v>35160</v>
      </c>
      <c r="AI11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26113</v>
      </c>
      <c r="AJ113" s="177">
        <f>Vertailu[[#This Row],[Vaikuttavuusrahoitus 2024, €]]-Vertailu[[#This Row],[Vaikuttavuusrahoitus 2023, €]]</f>
        <v>-9047</v>
      </c>
      <c r="AK113" s="179">
        <f>IFERROR(Vertailu[[#This Row],[Vaikuttavuusrahoituksen muutos, €]]/Vertailu[[#This Row],[Vaikuttavuusrahoitus 2023, €]],0)</f>
        <v>-0.25730944254835042</v>
      </c>
    </row>
    <row r="114" spans="1:37" s="1" customFormat="1" ht="12.75" customHeight="1" x14ac:dyDescent="0.25">
      <c r="A114" s="3" t="s">
        <v>211</v>
      </c>
      <c r="B114" s="151" t="s">
        <v>102</v>
      </c>
      <c r="C114" s="151" t="s">
        <v>200</v>
      </c>
      <c r="D114" s="7" t="s">
        <v>325</v>
      </c>
      <c r="E11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0.71761369688659948</v>
      </c>
      <c r="F11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0.71821184998648013</v>
      </c>
      <c r="G11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0.16494140011526054</v>
      </c>
      <c r="H11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0.11684674989825934</v>
      </c>
      <c r="I11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7.9123500861722845E-2</v>
      </c>
      <c r="J11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2.8009406572036479E-3</v>
      </c>
      <c r="K11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9.1252488890466964E-3</v>
      </c>
      <c r="L11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1.9020722317665727E-2</v>
      </c>
      <c r="M11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6.7763371726204296E-3</v>
      </c>
      <c r="N11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1458890</v>
      </c>
      <c r="O114" s="177">
        <f>IFERROR(VLOOKUP(Vertailu[[#This Row],[Y-tunnus]],'1.2 Ohjaus-laskentataulu'!A:AT,COLUMN('1.2 Ohjaus-laskentataulu'!AF:AF),FALSE),0)</f>
        <v>1463632</v>
      </c>
      <c r="P114" s="177">
        <f>IFERROR(Vertailu[[#This Row],[Rahoitus pl. hark. kor. 2024 ilman alv, €]]-Vertailu[[#This Row],[Rahoitus pl. hark. kor. 2023 ilman alv, €]],0)</f>
        <v>4742</v>
      </c>
      <c r="Q114" s="179">
        <f>IFERROR(Vertailu[[#This Row],[Muutos, € 1]]/Vertailu[[#This Row],[Rahoitus pl. hark. kor. 2023 ilman alv, €]],0)</f>
        <v>3.2504164124779796E-3</v>
      </c>
      <c r="R114" s="182">
        <f>IFERROR(VLOOKUP(Vertailu[[#This Row],[Y-tunnus]],'Suoritepäätös 2023 oikaistu'!$AB:$AL,COLUMN('Suoritepäätös 2023 oikaistu'!J:J),FALSE),0)</f>
        <v>1458890</v>
      </c>
      <c r="S114" s="183">
        <f>IFERROR(VLOOKUP(Vertailu[[#This Row],[Y-tunnus]],'1.2 Ohjaus-laskentataulu'!A:AT,COLUMN('1.2 Ohjaus-laskentataulu'!AR:AR),FALSE),0)</f>
        <v>1464508</v>
      </c>
      <c r="T114" s="177">
        <f>IFERROR(Vertailu[[#This Row],[Rahoitus ml. hark. kor. 
2024 ilman alv, €]]-Vertailu[[#This Row],[Rahoitus ml. hark. kor. 
2023 ilman alv, €]],0)</f>
        <v>5618</v>
      </c>
      <c r="U114" s="181">
        <f>IFERROR(Vertailu[[#This Row],[Muutos, € 2]]/Vertailu[[#This Row],[Rahoitus ml. hark. kor. 
2023 ilman alv, €]],0)</f>
        <v>3.8508729239353206E-3</v>
      </c>
      <c r="V11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1567142</v>
      </c>
      <c r="W114" s="182">
        <f>IFERROR(VLOOKUP(Vertailu[[#This Row],[Y-tunnus]],'1.2 Ohjaus-laskentataulu'!A:AT,COLUMN('1.2 Ohjaus-laskentataulu'!AT:AT),FALSE),0)</f>
        <v>1582332</v>
      </c>
      <c r="X114" s="184">
        <f>IFERROR(Vertailu[[#This Row],[Rahoitus ml. hark. kor. + alv 2024, €]]-Vertailu[[#This Row],[Rahoitus ml. hark. kor. + alv 2023, €]],0)</f>
        <v>15190</v>
      </c>
      <c r="Y114" s="179">
        <f>IFERROR(Vertailu[[#This Row],[Muutos, € 3]]/Vertailu[[#This Row],[Rahoitus ml. hark. kor. + alv 2023, €]],0)</f>
        <v>9.6928038429191475E-3</v>
      </c>
      <c r="Z114" s="177">
        <f>IFERROR(VLOOKUP(Vertailu[[#This Row],[Y-tunnus]],'Suoritepäätös 2023 oikaistu'!$B:$N,COLUMN('Suoritepäätös 2023 oikaistu'!H:H),FALSE),0)</f>
        <v>1007131</v>
      </c>
      <c r="AA114" s="177">
        <f>IFERROR(VLOOKUP(Vertailu[[#This Row],[Y-tunnus]],'1.2 Ohjaus-laskentataulu'!A:AT,COLUMN('1.2 Ohjaus-laskentataulu'!AO:AO),FALSE),0)</f>
        <v>1051827</v>
      </c>
      <c r="AB114" s="177">
        <f>Vertailu[[#This Row],[Perusrahoitus 2024, €]]-Vertailu[[#This Row],[Perusrahoitus 2023, €]]</f>
        <v>44696</v>
      </c>
      <c r="AC114" s="179">
        <f>IFERROR(Vertailu[[#This Row],[Perusrahoituksen muutos, €]]/Vertailu[[#This Row],[Perusrahoitus 2023, €]],0)</f>
        <v>4.4379529574603505E-2</v>
      </c>
      <c r="AD114" s="177">
        <f>IFERROR(VLOOKUP(Vertailu[[#This Row],[Y-tunnus]],'Suoritepäätös 2023 oikaistu'!$O:$Y,COLUMN('Suoritepäätös 2023 oikaistu'!D:D),FALSE),0)</f>
        <v>306933</v>
      </c>
      <c r="AE114" s="177">
        <f>IFERROR(VLOOKUP(Vertailu[[#This Row],[Y-tunnus]],'1.2 Ohjaus-laskentataulu'!A:AT,COLUMN('1.2 Ohjaus-laskentataulu'!O:O),FALSE),0)</f>
        <v>241558</v>
      </c>
      <c r="AF114" s="177">
        <f>Vertailu[[#This Row],[Suoritusrahoitus 2024, €]]-Vertailu[[#This Row],[Suoritusrahoitus 2023, €]]</f>
        <v>-65375</v>
      </c>
      <c r="AG114" s="179">
        <f>IFERROR(Vertailu[[#This Row],[Suoritusrahoituksen muutos, €]]/Vertailu[[#This Row],[Suoritusrahoitus 2023, €]],0)</f>
        <v>-0.21299436684879111</v>
      </c>
      <c r="AH114" s="177">
        <f>IFERROR(VLOOKUP(Vertailu[[#This Row],[Y-tunnus]],'Suoritepäätös 2023 oikaistu'!$AB:$AL,COLUMN('Suoritepäätös 2023 oikaistu'!I:I),FALSE),0)</f>
        <v>144826</v>
      </c>
      <c r="AI11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171123</v>
      </c>
      <c r="AJ114" s="177">
        <f>Vertailu[[#This Row],[Vaikuttavuusrahoitus 2024, €]]-Vertailu[[#This Row],[Vaikuttavuusrahoitus 2023, €]]</f>
        <v>26297</v>
      </c>
      <c r="AK114" s="179">
        <f>IFERROR(Vertailu[[#This Row],[Vaikuttavuusrahoituksen muutos, €]]/Vertailu[[#This Row],[Vaikuttavuusrahoitus 2023, €]],0)</f>
        <v>0.18157651250466075</v>
      </c>
    </row>
    <row r="115" spans="1:37" s="1" customFormat="1" ht="12.75" customHeight="1" x14ac:dyDescent="0.25">
      <c r="A115" s="3" t="s">
        <v>210</v>
      </c>
      <c r="B115" s="151" t="s">
        <v>103</v>
      </c>
      <c r="C115" s="151" t="s">
        <v>185</v>
      </c>
      <c r="D115" s="7" t="s">
        <v>325</v>
      </c>
      <c r="E11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0.67581975590820553</v>
      </c>
      <c r="F11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0.67726682010225037</v>
      </c>
      <c r="G11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0.21610109802118938</v>
      </c>
      <c r="H11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0.10663208187656026</v>
      </c>
      <c r="I11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7.3215358104036107E-2</v>
      </c>
      <c r="J11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3.5489481048092842E-3</v>
      </c>
      <c r="K11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1.7691518217915952E-2</v>
      </c>
      <c r="L11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9.8906109497083634E-3</v>
      </c>
      <c r="M11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2.2856465000905572E-3</v>
      </c>
      <c r="N11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3570040</v>
      </c>
      <c r="O115" s="177">
        <f>IFERROR(VLOOKUP(Vertailu[[#This Row],[Y-tunnus]],'1.2 Ohjaus-laskentataulu'!A:AT,COLUMN('1.2 Ohjaus-laskentataulu'!AF:AF),FALSE),0)</f>
        <v>3771147</v>
      </c>
      <c r="P115" s="177">
        <f>IFERROR(Vertailu[[#This Row],[Rahoitus pl. hark. kor. 2024 ilman alv, €]]-Vertailu[[#This Row],[Rahoitus pl. hark. kor. 2023 ilman alv, €]],0)</f>
        <v>201107</v>
      </c>
      <c r="Q115" s="179">
        <f>IFERROR(Vertailu[[#This Row],[Muutos, € 1]]/Vertailu[[#This Row],[Rahoitus pl. hark. kor. 2023 ilman alv, €]],0)</f>
        <v>5.6331861827878679E-2</v>
      </c>
      <c r="R115" s="182">
        <f>IFERROR(VLOOKUP(Vertailu[[#This Row],[Y-tunnus]],'Suoritepäätös 2023 oikaistu'!$AB:$AL,COLUMN('Suoritepäätös 2023 oikaistu'!J:J),FALSE),0)</f>
        <v>3576040</v>
      </c>
      <c r="S115" s="183">
        <f>IFERROR(VLOOKUP(Vertailu[[#This Row],[Y-tunnus]],'1.2 Ohjaus-laskentataulu'!A:AT,COLUMN('1.2 Ohjaus-laskentataulu'!AR:AR),FALSE),0)</f>
        <v>3776612</v>
      </c>
      <c r="T115" s="177">
        <f>IFERROR(Vertailu[[#This Row],[Rahoitus ml. hark. kor. 
2024 ilman alv, €]]-Vertailu[[#This Row],[Rahoitus ml. hark. kor. 
2023 ilman alv, €]],0)</f>
        <v>200572</v>
      </c>
      <c r="U115" s="181">
        <f>IFERROR(Vertailu[[#This Row],[Muutos, € 2]]/Vertailu[[#This Row],[Rahoitus ml. hark. kor. 
2023 ilman alv, €]],0)</f>
        <v>5.608773951074373E-2</v>
      </c>
      <c r="V11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4177508</v>
      </c>
      <c r="W115" s="182">
        <f>IFERROR(VLOOKUP(Vertailu[[#This Row],[Y-tunnus]],'1.2 Ohjaus-laskentataulu'!A:AT,COLUMN('1.2 Ohjaus-laskentataulu'!AT:AT),FALSE),0)</f>
        <v>4420751</v>
      </c>
      <c r="X115" s="184">
        <f>IFERROR(Vertailu[[#This Row],[Rahoitus ml. hark. kor. + alv 2024, €]]-Vertailu[[#This Row],[Rahoitus ml. hark. kor. + alv 2023, €]],0)</f>
        <v>243243</v>
      </c>
      <c r="Y115" s="179">
        <f>IFERROR(Vertailu[[#This Row],[Muutos, € 3]]/Vertailu[[#This Row],[Rahoitus ml. hark. kor. + alv 2023, €]],0)</f>
        <v>5.8226818476469704E-2</v>
      </c>
      <c r="Z115" s="177">
        <f>IFERROR(VLOOKUP(Vertailu[[#This Row],[Y-tunnus]],'Suoritepäätös 2023 oikaistu'!$B:$N,COLUMN('Suoritepäätös 2023 oikaistu'!H:H),FALSE),0)</f>
        <v>2334746</v>
      </c>
      <c r="AA115" s="177">
        <f>IFERROR(VLOOKUP(Vertailu[[#This Row],[Y-tunnus]],'1.2 Ohjaus-laskentataulu'!A:AT,COLUMN('1.2 Ohjaus-laskentataulu'!AO:AO),FALSE),0)</f>
        <v>2557774</v>
      </c>
      <c r="AB115" s="177">
        <f>Vertailu[[#This Row],[Perusrahoitus 2024, €]]-Vertailu[[#This Row],[Perusrahoitus 2023, €]]</f>
        <v>223028</v>
      </c>
      <c r="AC115" s="179">
        <f>IFERROR(Vertailu[[#This Row],[Perusrahoituksen muutos, €]]/Vertailu[[#This Row],[Perusrahoitus 2023, €]],0)</f>
        <v>9.5525594647126497E-2</v>
      </c>
      <c r="AD115" s="177">
        <f>IFERROR(VLOOKUP(Vertailu[[#This Row],[Y-tunnus]],'Suoritepäätös 2023 oikaistu'!$O:$Y,COLUMN('Suoritepäätös 2023 oikaistu'!D:D),FALSE),0)</f>
        <v>920884</v>
      </c>
      <c r="AE115" s="177">
        <f>IFERROR(VLOOKUP(Vertailu[[#This Row],[Y-tunnus]],'1.2 Ohjaus-laskentataulu'!A:AT,COLUMN('1.2 Ohjaus-laskentataulu'!O:O),FALSE),0)</f>
        <v>816130</v>
      </c>
      <c r="AF115" s="177">
        <f>Vertailu[[#This Row],[Suoritusrahoitus 2024, €]]-Vertailu[[#This Row],[Suoritusrahoitus 2023, €]]</f>
        <v>-104754</v>
      </c>
      <c r="AG115" s="179">
        <f>IFERROR(Vertailu[[#This Row],[Suoritusrahoituksen muutos, €]]/Vertailu[[#This Row],[Suoritusrahoitus 2023, €]],0)</f>
        <v>-0.11375374097063257</v>
      </c>
      <c r="AH115" s="177">
        <f>IFERROR(VLOOKUP(Vertailu[[#This Row],[Y-tunnus]],'Suoritepäätös 2023 oikaistu'!$AB:$AL,COLUMN('Suoritepäätös 2023 oikaistu'!I:I),FALSE),0)</f>
        <v>320410</v>
      </c>
      <c r="AI11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402708</v>
      </c>
      <c r="AJ115" s="177">
        <f>Vertailu[[#This Row],[Vaikuttavuusrahoitus 2024, €]]-Vertailu[[#This Row],[Vaikuttavuusrahoitus 2023, €]]</f>
        <v>82298</v>
      </c>
      <c r="AK115" s="179">
        <f>IFERROR(Vertailu[[#This Row],[Vaikuttavuusrahoituksen muutos, €]]/Vertailu[[#This Row],[Vaikuttavuusrahoitus 2023, €]],0)</f>
        <v>0.25685215817234169</v>
      </c>
    </row>
    <row r="116" spans="1:37" s="1" customFormat="1" ht="12.75" customHeight="1" x14ac:dyDescent="0.25">
      <c r="A116" s="3" t="s">
        <v>209</v>
      </c>
      <c r="B116" s="151" t="s">
        <v>104</v>
      </c>
      <c r="C116" s="151" t="s">
        <v>173</v>
      </c>
      <c r="D116" s="7" t="s">
        <v>325</v>
      </c>
      <c r="E11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0.59889880356713499</v>
      </c>
      <c r="F11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0.60248080383668046</v>
      </c>
      <c r="G11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0.21502881943091867</v>
      </c>
      <c r="H11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0.18249037673240084</v>
      </c>
      <c r="I11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0.10471574812986005</v>
      </c>
      <c r="J11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1.1280614348866231E-2</v>
      </c>
      <c r="K11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3.166398688271501E-2</v>
      </c>
      <c r="L11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2.385522629510578E-2</v>
      </c>
      <c r="M11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1.0974801075853781E-2</v>
      </c>
      <c r="N11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1999115</v>
      </c>
      <c r="O116" s="177">
        <f>IFERROR(VLOOKUP(Vertailu[[#This Row],[Y-tunnus]],'1.2 Ohjaus-laskentataulu'!A:AT,COLUMN('1.2 Ohjaus-laskentataulu'!AF:AF),FALSE),0)</f>
        <v>2225389</v>
      </c>
      <c r="P116" s="177">
        <f>IFERROR(Vertailu[[#This Row],[Rahoitus pl. hark. kor. 2024 ilman alv, €]]-Vertailu[[#This Row],[Rahoitus pl. hark. kor. 2023 ilman alv, €]],0)</f>
        <v>226274</v>
      </c>
      <c r="Q116" s="179">
        <f>IFERROR(Vertailu[[#This Row],[Muutos, € 1]]/Vertailu[[#This Row],[Rahoitus pl. hark. kor. 2023 ilman alv, €]],0)</f>
        <v>0.11318708528523871</v>
      </c>
      <c r="R116" s="182">
        <f>IFERROR(VLOOKUP(Vertailu[[#This Row],[Y-tunnus]],'Suoritepäätös 2023 oikaistu'!$AB:$AL,COLUMN('Suoritepäätös 2023 oikaistu'!J:J),FALSE),0)</f>
        <v>2008115</v>
      </c>
      <c r="S116" s="183">
        <f>IFERROR(VLOOKUP(Vertailu[[#This Row],[Y-tunnus]],'1.2 Ohjaus-laskentataulu'!A:AT,COLUMN('1.2 Ohjaus-laskentataulu'!AR:AR),FALSE),0)</f>
        <v>2233389</v>
      </c>
      <c r="T116" s="177">
        <f>IFERROR(Vertailu[[#This Row],[Rahoitus ml. hark. kor. 
2024 ilman alv, €]]-Vertailu[[#This Row],[Rahoitus ml. hark. kor. 
2023 ilman alv, €]],0)</f>
        <v>225274</v>
      </c>
      <c r="U116" s="181">
        <f>IFERROR(Vertailu[[#This Row],[Muutos, € 2]]/Vertailu[[#This Row],[Rahoitus ml. hark. kor. 
2023 ilman alv, €]],0)</f>
        <v>0.11218182225619548</v>
      </c>
      <c r="V11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2091161</v>
      </c>
      <c r="W116" s="182">
        <f>IFERROR(VLOOKUP(Vertailu[[#This Row],[Y-tunnus]],'1.2 Ohjaus-laskentataulu'!A:AT,COLUMN('1.2 Ohjaus-laskentataulu'!AT:AT),FALSE),0)</f>
        <v>2334231</v>
      </c>
      <c r="X116" s="184">
        <f>IFERROR(Vertailu[[#This Row],[Rahoitus ml. hark. kor. + alv 2024, €]]-Vertailu[[#This Row],[Rahoitus ml. hark. kor. + alv 2023, €]],0)</f>
        <v>243070</v>
      </c>
      <c r="Y116" s="179">
        <f>IFERROR(Vertailu[[#This Row],[Muutos, € 3]]/Vertailu[[#This Row],[Rahoitus ml. hark. kor. + alv 2023, €]],0)</f>
        <v>0.11623686554980703</v>
      </c>
      <c r="Z116" s="177">
        <f>IFERROR(VLOOKUP(Vertailu[[#This Row],[Y-tunnus]],'Suoritepäätös 2023 oikaistu'!$B:$N,COLUMN('Suoritepäätös 2023 oikaistu'!H:H),FALSE),0)</f>
        <v>1243547</v>
      </c>
      <c r="AA116" s="177">
        <f>IFERROR(VLOOKUP(Vertailu[[#This Row],[Y-tunnus]],'1.2 Ohjaus-laskentataulu'!A:AT,COLUMN('1.2 Ohjaus-laskentataulu'!AO:AO),FALSE),0)</f>
        <v>1345574</v>
      </c>
      <c r="AB116" s="177">
        <f>Vertailu[[#This Row],[Perusrahoitus 2024, €]]-Vertailu[[#This Row],[Perusrahoitus 2023, €]]</f>
        <v>102027</v>
      </c>
      <c r="AC116" s="179">
        <f>IFERROR(Vertailu[[#This Row],[Perusrahoituksen muutos, €]]/Vertailu[[#This Row],[Perusrahoitus 2023, €]],0)</f>
        <v>8.2045149881749546E-2</v>
      </c>
      <c r="AD116" s="177">
        <f>IFERROR(VLOOKUP(Vertailu[[#This Row],[Y-tunnus]],'Suoritepäätös 2023 oikaistu'!$O:$Y,COLUMN('Suoritepäätös 2023 oikaistu'!D:D),FALSE),0)</f>
        <v>431020</v>
      </c>
      <c r="AE116" s="177">
        <f>IFERROR(VLOOKUP(Vertailu[[#This Row],[Y-tunnus]],'1.2 Ohjaus-laskentataulu'!A:AT,COLUMN('1.2 Ohjaus-laskentataulu'!O:O),FALSE),0)</f>
        <v>480243</v>
      </c>
      <c r="AF116" s="177">
        <f>Vertailu[[#This Row],[Suoritusrahoitus 2024, €]]-Vertailu[[#This Row],[Suoritusrahoitus 2023, €]]</f>
        <v>49223</v>
      </c>
      <c r="AG116" s="179">
        <f>IFERROR(Vertailu[[#This Row],[Suoritusrahoituksen muutos, €]]/Vertailu[[#This Row],[Suoritusrahoitus 2023, €]],0)</f>
        <v>0.11420119716022459</v>
      </c>
      <c r="AH116" s="177">
        <f>IFERROR(VLOOKUP(Vertailu[[#This Row],[Y-tunnus]],'Suoritepäätös 2023 oikaistu'!$AB:$AL,COLUMN('Suoritepäätös 2023 oikaistu'!I:I),FALSE),0)</f>
        <v>333548</v>
      </c>
      <c r="AI11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407572</v>
      </c>
      <c r="AJ116" s="177">
        <f>Vertailu[[#This Row],[Vaikuttavuusrahoitus 2024, €]]-Vertailu[[#This Row],[Vaikuttavuusrahoitus 2023, €]]</f>
        <v>74024</v>
      </c>
      <c r="AK116" s="179">
        <f>IFERROR(Vertailu[[#This Row],[Vaikuttavuusrahoituksen muutos, €]]/Vertailu[[#This Row],[Vaikuttavuusrahoitus 2023, €]],0)</f>
        <v>0.22192907767397796</v>
      </c>
    </row>
    <row r="117" spans="1:37" s="1" customFormat="1" ht="12.75" customHeight="1" x14ac:dyDescent="0.25">
      <c r="A117" s="3" t="s">
        <v>208</v>
      </c>
      <c r="B117" s="151" t="s">
        <v>434</v>
      </c>
      <c r="C117" s="151" t="s">
        <v>199</v>
      </c>
      <c r="D117" s="7" t="s">
        <v>325</v>
      </c>
      <c r="E11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0.57204158481142531</v>
      </c>
      <c r="F11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0.57274622103592798</v>
      </c>
      <c r="G11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0.25534593410805739</v>
      </c>
      <c r="H11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0.17190784485601462</v>
      </c>
      <c r="I11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0.11936354437658014</v>
      </c>
      <c r="J11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1.2969534348197399E-2</v>
      </c>
      <c r="K11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3.6145865335561862E-2</v>
      </c>
      <c r="L11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3.0295129836270729E-3</v>
      </c>
      <c r="M11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3.9938781204815205E-4</v>
      </c>
      <c r="N11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6479921</v>
      </c>
      <c r="O117" s="177">
        <f>IFERROR(VLOOKUP(Vertailu[[#This Row],[Y-tunnus]],'1.2 Ohjaus-laskentataulu'!A:AT,COLUMN('1.2 Ohjaus-laskentataulu'!AF:AF),FALSE),0)</f>
        <v>7090860</v>
      </c>
      <c r="P117" s="177">
        <f>IFERROR(Vertailu[[#This Row],[Rahoitus pl. hark. kor. 2024 ilman alv, €]]-Vertailu[[#This Row],[Rahoitus pl. hark. kor. 2023 ilman alv, €]],0)</f>
        <v>610939</v>
      </c>
      <c r="Q117" s="179">
        <f>IFERROR(Vertailu[[#This Row],[Muutos, € 1]]/Vertailu[[#This Row],[Rahoitus pl. hark. kor. 2023 ilman alv, €]],0)</f>
        <v>9.4281859300445178E-2</v>
      </c>
      <c r="R117" s="182">
        <f>IFERROR(VLOOKUP(Vertailu[[#This Row],[Y-tunnus]],'Suoritepäätös 2023 oikaistu'!$AB:$AL,COLUMN('Suoritepäätös 2023 oikaistu'!J:J),FALSE),0)</f>
        <v>6479921</v>
      </c>
      <c r="S117" s="183">
        <f>IFERROR(VLOOKUP(Vertailu[[#This Row],[Y-tunnus]],'1.2 Ohjaus-laskentataulu'!A:AT,COLUMN('1.2 Ohjaus-laskentataulu'!AR:AR),FALSE),0)</f>
        <v>7095860</v>
      </c>
      <c r="T117" s="177">
        <f>IFERROR(Vertailu[[#This Row],[Rahoitus ml. hark. kor. 
2024 ilman alv, €]]-Vertailu[[#This Row],[Rahoitus ml. hark. kor. 
2023 ilman alv, €]],0)</f>
        <v>615939</v>
      </c>
      <c r="U117" s="181">
        <f>IFERROR(Vertailu[[#This Row],[Muutos, € 2]]/Vertailu[[#This Row],[Rahoitus ml. hark. kor. 
2023 ilman alv, €]],0)</f>
        <v>9.5053473645743528E-2</v>
      </c>
      <c r="V11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6715228</v>
      </c>
      <c r="W117" s="182">
        <f>IFERROR(VLOOKUP(Vertailu[[#This Row],[Y-tunnus]],'1.2 Ohjaus-laskentataulu'!A:AT,COLUMN('1.2 Ohjaus-laskentataulu'!AT:AT),FALSE),0)</f>
        <v>7328771</v>
      </c>
      <c r="X117" s="184">
        <f>IFERROR(Vertailu[[#This Row],[Rahoitus ml. hark. kor. + alv 2024, €]]-Vertailu[[#This Row],[Rahoitus ml. hark. kor. + alv 2023, €]],0)</f>
        <v>613543</v>
      </c>
      <c r="Y117" s="179">
        <f>IFERROR(Vertailu[[#This Row],[Muutos, € 3]]/Vertailu[[#This Row],[Rahoitus ml. hark. kor. + alv 2023, €]],0)</f>
        <v>9.1365922348429565E-2</v>
      </c>
      <c r="Z117" s="177">
        <f>IFERROR(VLOOKUP(Vertailu[[#This Row],[Y-tunnus]],'Suoritepäätös 2023 oikaistu'!$B:$N,COLUMN('Suoritepäätös 2023 oikaistu'!H:H),FALSE),0)</f>
        <v>3827746</v>
      </c>
      <c r="AA117" s="177">
        <f>IFERROR(VLOOKUP(Vertailu[[#This Row],[Y-tunnus]],'1.2 Ohjaus-laskentataulu'!A:AT,COLUMN('1.2 Ohjaus-laskentataulu'!AO:AO),FALSE),0)</f>
        <v>4064127</v>
      </c>
      <c r="AB117" s="177">
        <f>Vertailu[[#This Row],[Perusrahoitus 2024, €]]-Vertailu[[#This Row],[Perusrahoitus 2023, €]]</f>
        <v>236381</v>
      </c>
      <c r="AC117" s="179">
        <f>IFERROR(Vertailu[[#This Row],[Perusrahoituksen muutos, €]]/Vertailu[[#This Row],[Perusrahoitus 2023, €]],0)</f>
        <v>6.1754620081896763E-2</v>
      </c>
      <c r="AD117" s="177">
        <f>IFERROR(VLOOKUP(Vertailu[[#This Row],[Y-tunnus]],'Suoritepäätös 2023 oikaistu'!$O:$Y,COLUMN('Suoritepäätös 2023 oikaistu'!D:D),FALSE),0)</f>
        <v>1671545</v>
      </c>
      <c r="AE117" s="177">
        <f>IFERROR(VLOOKUP(Vertailu[[#This Row],[Y-tunnus]],'1.2 Ohjaus-laskentataulu'!A:AT,COLUMN('1.2 Ohjaus-laskentataulu'!O:O),FALSE),0)</f>
        <v>1811899</v>
      </c>
      <c r="AF117" s="177">
        <f>Vertailu[[#This Row],[Suoritusrahoitus 2024, €]]-Vertailu[[#This Row],[Suoritusrahoitus 2023, €]]</f>
        <v>140354</v>
      </c>
      <c r="AG117" s="179">
        <f>IFERROR(Vertailu[[#This Row],[Suoritusrahoituksen muutos, €]]/Vertailu[[#This Row],[Suoritusrahoitus 2023, €]],0)</f>
        <v>8.3966629674941451E-2</v>
      </c>
      <c r="AH117" s="177">
        <f>IFERROR(VLOOKUP(Vertailu[[#This Row],[Y-tunnus]],'Suoritepäätös 2023 oikaistu'!$AB:$AL,COLUMN('Suoritepäätös 2023 oikaistu'!I:I),FALSE),0)</f>
        <v>980630</v>
      </c>
      <c r="AI11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1219834</v>
      </c>
      <c r="AJ117" s="177">
        <f>Vertailu[[#This Row],[Vaikuttavuusrahoitus 2024, €]]-Vertailu[[#This Row],[Vaikuttavuusrahoitus 2023, €]]</f>
        <v>239204</v>
      </c>
      <c r="AK117" s="179">
        <f>IFERROR(Vertailu[[#This Row],[Vaikuttavuusrahoituksen muutos, €]]/Vertailu[[#This Row],[Vaikuttavuusrahoitus 2023, €]],0)</f>
        <v>0.24392890284816904</v>
      </c>
    </row>
    <row r="118" spans="1:37" s="1" customFormat="1" ht="12.75" customHeight="1" x14ac:dyDescent="0.25">
      <c r="A118" s="3" t="s">
        <v>207</v>
      </c>
      <c r="B118" s="151" t="s">
        <v>105</v>
      </c>
      <c r="C118" s="151" t="s">
        <v>199</v>
      </c>
      <c r="D118" s="7" t="s">
        <v>324</v>
      </c>
      <c r="E11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0.70696141085427777</v>
      </c>
      <c r="F11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0.71117807709067238</v>
      </c>
      <c r="G11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0.19779810226549976</v>
      </c>
      <c r="H11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9.102382064382783E-2</v>
      </c>
      <c r="I11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6.2213898413547783E-2</v>
      </c>
      <c r="J11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3.9339383740879209E-3</v>
      </c>
      <c r="K11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9.4653595783646682E-3</v>
      </c>
      <c r="L11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1.235663139218047E-2</v>
      </c>
      <c r="M11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3.0539928856469843E-3</v>
      </c>
      <c r="N11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5781346</v>
      </c>
      <c r="O118" s="177">
        <f>IFERROR(VLOOKUP(Vertailu[[#This Row],[Y-tunnus]],'1.2 Ohjaus-laskentataulu'!A:AT,COLUMN('1.2 Ohjaus-laskentataulu'!AF:AF),FALSE),0)</f>
        <v>6364355</v>
      </c>
      <c r="P118" s="177">
        <f>IFERROR(Vertailu[[#This Row],[Rahoitus pl. hark. kor. 2024 ilman alv, €]]-Vertailu[[#This Row],[Rahoitus pl. hark. kor. 2023 ilman alv, €]],0)</f>
        <v>583009</v>
      </c>
      <c r="Q118" s="179">
        <f>IFERROR(Vertailu[[#This Row],[Muutos, € 1]]/Vertailu[[#This Row],[Rahoitus pl. hark. kor. 2023 ilman alv, €]],0)</f>
        <v>0.10084312545901941</v>
      </c>
      <c r="R118" s="182">
        <f>IFERROR(VLOOKUP(Vertailu[[#This Row],[Y-tunnus]],'Suoritepäätös 2023 oikaistu'!$AB:$AL,COLUMN('Suoritepäätös 2023 oikaistu'!J:J),FALSE),0)</f>
        <v>5786346</v>
      </c>
      <c r="S118" s="183">
        <f>IFERROR(VLOOKUP(Vertailu[[#This Row],[Y-tunnus]],'1.2 Ohjaus-laskentataulu'!A:AT,COLUMN('1.2 Ohjaus-laskentataulu'!AR:AR),FALSE),0)</f>
        <v>6391305</v>
      </c>
      <c r="T118" s="177">
        <f>IFERROR(Vertailu[[#This Row],[Rahoitus ml. hark. kor. 
2024 ilman alv, €]]-Vertailu[[#This Row],[Rahoitus ml. hark. kor. 
2023 ilman alv, €]],0)</f>
        <v>604959</v>
      </c>
      <c r="U118" s="181">
        <f>IFERROR(Vertailu[[#This Row],[Muutos, € 2]]/Vertailu[[#This Row],[Rahoitus ml. hark. kor. 
2023 ilman alv, €]],0)</f>
        <v>0.10454939956926185</v>
      </c>
      <c r="V11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5786346</v>
      </c>
      <c r="W118" s="182">
        <f>IFERROR(VLOOKUP(Vertailu[[#This Row],[Y-tunnus]],'1.2 Ohjaus-laskentataulu'!A:AT,COLUMN('1.2 Ohjaus-laskentataulu'!AT:AT),FALSE),0)</f>
        <v>6391305</v>
      </c>
      <c r="X118" s="184">
        <f>IFERROR(Vertailu[[#This Row],[Rahoitus ml. hark. kor. + alv 2024, €]]-Vertailu[[#This Row],[Rahoitus ml. hark. kor. + alv 2023, €]],0)</f>
        <v>604959</v>
      </c>
      <c r="Y118" s="179">
        <f>IFERROR(Vertailu[[#This Row],[Muutos, € 3]]/Vertailu[[#This Row],[Rahoitus ml. hark. kor. + alv 2023, €]],0)</f>
        <v>0.10454939956926185</v>
      </c>
      <c r="Z118" s="177">
        <f>IFERROR(VLOOKUP(Vertailu[[#This Row],[Y-tunnus]],'Suoritepäätös 2023 oikaistu'!$B:$N,COLUMN('Suoritepäätös 2023 oikaistu'!H:H),FALSE),0)</f>
        <v>4278483</v>
      </c>
      <c r="AA118" s="177">
        <f>IFERROR(VLOOKUP(Vertailu[[#This Row],[Y-tunnus]],'1.2 Ohjaus-laskentataulu'!A:AT,COLUMN('1.2 Ohjaus-laskentataulu'!AO:AO),FALSE),0)</f>
        <v>4545356</v>
      </c>
      <c r="AB118" s="177">
        <f>Vertailu[[#This Row],[Perusrahoitus 2024, €]]-Vertailu[[#This Row],[Perusrahoitus 2023, €]]</f>
        <v>266873</v>
      </c>
      <c r="AC118" s="179">
        <f>IFERROR(Vertailu[[#This Row],[Perusrahoituksen muutos, €]]/Vertailu[[#This Row],[Perusrahoitus 2023, €]],0)</f>
        <v>6.2375613038546607E-2</v>
      </c>
      <c r="AD118" s="177">
        <f>IFERROR(VLOOKUP(Vertailu[[#This Row],[Y-tunnus]],'Suoritepäätös 2023 oikaistu'!$O:$Y,COLUMN('Suoritepäätös 2023 oikaistu'!D:D),FALSE),0)</f>
        <v>959171</v>
      </c>
      <c r="AE118" s="177">
        <f>IFERROR(VLOOKUP(Vertailu[[#This Row],[Y-tunnus]],'1.2 Ohjaus-laskentataulu'!A:AT,COLUMN('1.2 Ohjaus-laskentataulu'!O:O),FALSE),0)</f>
        <v>1264188</v>
      </c>
      <c r="AF118" s="177">
        <f>Vertailu[[#This Row],[Suoritusrahoitus 2024, €]]-Vertailu[[#This Row],[Suoritusrahoitus 2023, €]]</f>
        <v>305017</v>
      </c>
      <c r="AG118" s="179">
        <f>IFERROR(Vertailu[[#This Row],[Suoritusrahoituksen muutos, €]]/Vertailu[[#This Row],[Suoritusrahoitus 2023, €]],0)</f>
        <v>0.31800064847665327</v>
      </c>
      <c r="AH118" s="177">
        <f>IFERROR(VLOOKUP(Vertailu[[#This Row],[Y-tunnus]],'Suoritepäätös 2023 oikaistu'!$AB:$AL,COLUMN('Suoritepäätös 2023 oikaistu'!I:I),FALSE),0)</f>
        <v>548692</v>
      </c>
      <c r="AI11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581761</v>
      </c>
      <c r="AJ118" s="177">
        <f>Vertailu[[#This Row],[Vaikuttavuusrahoitus 2024, €]]-Vertailu[[#This Row],[Vaikuttavuusrahoitus 2023, €]]</f>
        <v>33069</v>
      </c>
      <c r="AK118" s="179">
        <f>IFERROR(Vertailu[[#This Row],[Vaikuttavuusrahoituksen muutos, €]]/Vertailu[[#This Row],[Vaikuttavuusrahoitus 2023, €]],0)</f>
        <v>6.0268784673368665E-2</v>
      </c>
    </row>
    <row r="119" spans="1:37" s="1" customFormat="1" ht="12.75" customHeight="1" x14ac:dyDescent="0.25">
      <c r="A119" s="3" t="s">
        <v>206</v>
      </c>
      <c r="B119" s="151" t="s">
        <v>106</v>
      </c>
      <c r="C119" s="151" t="s">
        <v>173</v>
      </c>
      <c r="D119" s="7" t="s">
        <v>325</v>
      </c>
      <c r="E11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0.69008776006090466</v>
      </c>
      <c r="F11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0.69221860338732488</v>
      </c>
      <c r="G11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0.21511962895369455</v>
      </c>
      <c r="H11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9.2661767658980515E-2</v>
      </c>
      <c r="I11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7.1986791498855646E-2</v>
      </c>
      <c r="J11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3.4559721742545711E-3</v>
      </c>
      <c r="K11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9.3430661164886023E-3</v>
      </c>
      <c r="L11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6.4324193663315163E-3</v>
      </c>
      <c r="M11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1.4435185030501744E-3</v>
      </c>
      <c r="N11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10645351</v>
      </c>
      <c r="O119" s="177">
        <f>IFERROR(VLOOKUP(Vertailu[[#This Row],[Y-tunnus]],'1.2 Ohjaus-laskentataulu'!A:AT,COLUMN('1.2 Ohjaus-laskentataulu'!AF:AF),FALSE),0)</f>
        <v>11707444</v>
      </c>
      <c r="P119" s="177">
        <f>IFERROR(Vertailu[[#This Row],[Rahoitus pl. hark. kor. 2024 ilman alv, €]]-Vertailu[[#This Row],[Rahoitus pl. hark. kor. 2023 ilman alv, €]],0)</f>
        <v>1062093</v>
      </c>
      <c r="Q119" s="179">
        <f>IFERROR(Vertailu[[#This Row],[Muutos, € 1]]/Vertailu[[#This Row],[Rahoitus pl. hark. kor. 2023 ilman alv, €]],0)</f>
        <v>9.9770594694341214E-2</v>
      </c>
      <c r="R119" s="182">
        <f>IFERROR(VLOOKUP(Vertailu[[#This Row],[Y-tunnus]],'Suoritepäätös 2023 oikaistu'!$AB:$AL,COLUMN('Suoritepäätös 2023 oikaistu'!J:J),FALSE),0)</f>
        <v>10668351</v>
      </c>
      <c r="S119" s="183">
        <f>IFERROR(VLOOKUP(Vertailu[[#This Row],[Y-tunnus]],'1.2 Ohjaus-laskentataulu'!A:AT,COLUMN('1.2 Ohjaus-laskentataulu'!AR:AR),FALSE),0)</f>
        <v>11732444</v>
      </c>
      <c r="T119" s="177">
        <f>IFERROR(Vertailu[[#This Row],[Rahoitus ml. hark. kor. 
2024 ilman alv, €]]-Vertailu[[#This Row],[Rahoitus ml. hark. kor. 
2023 ilman alv, €]],0)</f>
        <v>1064093</v>
      </c>
      <c r="U119" s="181">
        <f>IFERROR(Vertailu[[#This Row],[Muutos, € 2]]/Vertailu[[#This Row],[Rahoitus ml. hark. kor. 
2023 ilman alv, €]],0)</f>
        <v>9.9742968711846847E-2</v>
      </c>
      <c r="V11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11458390</v>
      </c>
      <c r="W119" s="182">
        <f>IFERROR(VLOOKUP(Vertailu[[#This Row],[Y-tunnus]],'1.2 Ohjaus-laskentataulu'!A:AT,COLUMN('1.2 Ohjaus-laskentataulu'!AT:AT),FALSE),0)</f>
        <v>12505222</v>
      </c>
      <c r="X119" s="184">
        <f>IFERROR(Vertailu[[#This Row],[Rahoitus ml. hark. kor. + alv 2024, €]]-Vertailu[[#This Row],[Rahoitus ml. hark. kor. + alv 2023, €]],0)</f>
        <v>1046832</v>
      </c>
      <c r="Y119" s="179">
        <f>IFERROR(Vertailu[[#This Row],[Muutos, € 3]]/Vertailu[[#This Row],[Rahoitus ml. hark. kor. + alv 2023, €]],0)</f>
        <v>9.1359431822446255E-2</v>
      </c>
      <c r="Z119" s="177">
        <f>IFERROR(VLOOKUP(Vertailu[[#This Row],[Y-tunnus]],'Suoritepäätös 2023 oikaistu'!$B:$N,COLUMN('Suoritepäätös 2023 oikaistu'!H:H),FALSE),0)</f>
        <v>7634958</v>
      </c>
      <c r="AA119" s="177">
        <f>IFERROR(VLOOKUP(Vertailu[[#This Row],[Y-tunnus]],'1.2 Ohjaus-laskentataulu'!A:AT,COLUMN('1.2 Ohjaus-laskentataulu'!AO:AO),FALSE),0)</f>
        <v>8121416</v>
      </c>
      <c r="AB119" s="177">
        <f>Vertailu[[#This Row],[Perusrahoitus 2024, €]]-Vertailu[[#This Row],[Perusrahoitus 2023, €]]</f>
        <v>486458</v>
      </c>
      <c r="AC119" s="179">
        <f>IFERROR(Vertailu[[#This Row],[Perusrahoituksen muutos, €]]/Vertailu[[#This Row],[Perusrahoitus 2023, €]],0)</f>
        <v>6.3714561363664352E-2</v>
      </c>
      <c r="AD119" s="177">
        <f>IFERROR(VLOOKUP(Vertailu[[#This Row],[Y-tunnus]],'Suoritepäätös 2023 oikaistu'!$O:$Y,COLUMN('Suoritepäätös 2023 oikaistu'!D:D),FALSE),0)</f>
        <v>1978109</v>
      </c>
      <c r="AE119" s="177">
        <f>IFERROR(VLOOKUP(Vertailu[[#This Row],[Y-tunnus]],'1.2 Ohjaus-laskentataulu'!A:AT,COLUMN('1.2 Ohjaus-laskentataulu'!O:O),FALSE),0)</f>
        <v>2523879</v>
      </c>
      <c r="AF119" s="177">
        <f>Vertailu[[#This Row],[Suoritusrahoitus 2024, €]]-Vertailu[[#This Row],[Suoritusrahoitus 2023, €]]</f>
        <v>545770</v>
      </c>
      <c r="AG119" s="179">
        <f>IFERROR(Vertailu[[#This Row],[Suoritusrahoituksen muutos, €]]/Vertailu[[#This Row],[Suoritusrahoitus 2023, €]],0)</f>
        <v>0.27590491727200067</v>
      </c>
      <c r="AH119" s="177">
        <f>IFERROR(VLOOKUP(Vertailu[[#This Row],[Y-tunnus]],'Suoritepäätös 2023 oikaistu'!$AB:$AL,COLUMN('Suoritepäätös 2023 oikaistu'!I:I),FALSE),0)</f>
        <v>1055284</v>
      </c>
      <c r="AI11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1087149</v>
      </c>
      <c r="AJ119" s="177">
        <f>Vertailu[[#This Row],[Vaikuttavuusrahoitus 2024, €]]-Vertailu[[#This Row],[Vaikuttavuusrahoitus 2023, €]]</f>
        <v>31865</v>
      </c>
      <c r="AK119" s="179">
        <f>IFERROR(Vertailu[[#This Row],[Vaikuttavuusrahoituksen muutos, €]]/Vertailu[[#This Row],[Vaikuttavuusrahoitus 2023, €]],0)</f>
        <v>3.0195662968452094E-2</v>
      </c>
    </row>
    <row r="120" spans="1:37" s="1" customFormat="1" ht="12.75" customHeight="1" x14ac:dyDescent="0.25">
      <c r="A120" s="3" t="s">
        <v>205</v>
      </c>
      <c r="B120" s="151" t="s">
        <v>107</v>
      </c>
      <c r="C120" s="151" t="s">
        <v>179</v>
      </c>
      <c r="D120" s="7" t="s">
        <v>324</v>
      </c>
      <c r="E12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0.68701898183628785</v>
      </c>
      <c r="F12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0.69675784702743671</v>
      </c>
      <c r="G12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0.19270582489407387</v>
      </c>
      <c r="H12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0.11053632807848948</v>
      </c>
      <c r="I12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7.8186405031879846E-2</v>
      </c>
      <c r="J12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4.0796775368063679E-3</v>
      </c>
      <c r="K12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1.1568701315338567E-2</v>
      </c>
      <c r="L12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1.2312780352935286E-2</v>
      </c>
      <c r="M12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4.3887638415294238E-3</v>
      </c>
      <c r="N12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16232999</v>
      </c>
      <c r="O120" s="177">
        <f>IFERROR(VLOOKUP(Vertailu[[#This Row],[Y-tunnus]],'1.2 Ohjaus-laskentataulu'!A:AT,COLUMN('1.2 Ohjaus-laskentataulu'!AF:AF),FALSE),0)</f>
        <v>16650324</v>
      </c>
      <c r="P120" s="177">
        <f>IFERROR(Vertailu[[#This Row],[Rahoitus pl. hark. kor. 2024 ilman alv, €]]-Vertailu[[#This Row],[Rahoitus pl. hark. kor. 2023 ilman alv, €]],0)</f>
        <v>417325</v>
      </c>
      <c r="Q120" s="179">
        <f>IFERROR(Vertailu[[#This Row],[Muutos, € 1]]/Vertailu[[#This Row],[Rahoitus pl. hark. kor. 2023 ilman alv, €]],0)</f>
        <v>2.5708435021772624E-2</v>
      </c>
      <c r="R120" s="182">
        <f>IFERROR(VLOOKUP(Vertailu[[#This Row],[Y-tunnus]],'Suoritepäätös 2023 oikaistu'!$AB:$AL,COLUMN('Suoritepäätös 2023 oikaistu'!J:J),FALSE),0)</f>
        <v>16261999</v>
      </c>
      <c r="S120" s="183">
        <f>IFERROR(VLOOKUP(Vertailu[[#This Row],[Y-tunnus]],'1.2 Ohjaus-laskentataulu'!A:AT,COLUMN('1.2 Ohjaus-laskentataulu'!AR:AR),FALSE),0)</f>
        <v>16814074</v>
      </c>
      <c r="T120" s="177">
        <f>IFERROR(Vertailu[[#This Row],[Rahoitus ml. hark. kor. 
2024 ilman alv, €]]-Vertailu[[#This Row],[Rahoitus ml. hark. kor. 
2023 ilman alv, €]],0)</f>
        <v>552075</v>
      </c>
      <c r="U120" s="181">
        <f>IFERROR(Vertailu[[#This Row],[Muutos, € 2]]/Vertailu[[#This Row],[Rahoitus ml. hark. kor. 
2023 ilman alv, €]],0)</f>
        <v>3.3948778375893392E-2</v>
      </c>
      <c r="V12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16261999</v>
      </c>
      <c r="W120" s="182">
        <f>IFERROR(VLOOKUP(Vertailu[[#This Row],[Y-tunnus]],'1.2 Ohjaus-laskentataulu'!A:AT,COLUMN('1.2 Ohjaus-laskentataulu'!AT:AT),FALSE),0)</f>
        <v>16814074</v>
      </c>
      <c r="X120" s="184">
        <f>IFERROR(Vertailu[[#This Row],[Rahoitus ml. hark. kor. + alv 2024, €]]-Vertailu[[#This Row],[Rahoitus ml. hark. kor. + alv 2023, €]],0)</f>
        <v>552075</v>
      </c>
      <c r="Y120" s="179">
        <f>IFERROR(Vertailu[[#This Row],[Muutos, € 3]]/Vertailu[[#This Row],[Rahoitus ml. hark. kor. + alv 2023, €]],0)</f>
        <v>3.3948778375893392E-2</v>
      </c>
      <c r="Z120" s="177">
        <f>IFERROR(VLOOKUP(Vertailu[[#This Row],[Y-tunnus]],'Suoritepäätös 2023 oikaistu'!$B:$N,COLUMN('Suoritepäätös 2023 oikaistu'!H:H),FALSE),0)</f>
        <v>11020369</v>
      </c>
      <c r="AA120" s="177">
        <f>IFERROR(VLOOKUP(Vertailu[[#This Row],[Y-tunnus]],'1.2 Ohjaus-laskentataulu'!A:AT,COLUMN('1.2 Ohjaus-laskentataulu'!AO:AO),FALSE),0)</f>
        <v>11715338</v>
      </c>
      <c r="AB120" s="177">
        <f>Vertailu[[#This Row],[Perusrahoitus 2024, €]]-Vertailu[[#This Row],[Perusrahoitus 2023, €]]</f>
        <v>694969</v>
      </c>
      <c r="AC120" s="179">
        <f>IFERROR(Vertailu[[#This Row],[Perusrahoituksen muutos, €]]/Vertailu[[#This Row],[Perusrahoitus 2023, €]],0)</f>
        <v>6.3062225956317802E-2</v>
      </c>
      <c r="AD120" s="177">
        <f>IFERROR(VLOOKUP(Vertailu[[#This Row],[Y-tunnus]],'Suoritepäätös 2023 oikaistu'!$O:$Y,COLUMN('Suoritepäätös 2023 oikaistu'!D:D),FALSE),0)</f>
        <v>3251730</v>
      </c>
      <c r="AE120" s="177">
        <f>IFERROR(VLOOKUP(Vertailu[[#This Row],[Y-tunnus]],'1.2 Ohjaus-laskentataulu'!A:AT,COLUMN('1.2 Ohjaus-laskentataulu'!O:O),FALSE),0)</f>
        <v>3240170</v>
      </c>
      <c r="AF120" s="177">
        <f>Vertailu[[#This Row],[Suoritusrahoitus 2024, €]]-Vertailu[[#This Row],[Suoritusrahoitus 2023, €]]</f>
        <v>-11560</v>
      </c>
      <c r="AG120" s="179">
        <f>IFERROR(Vertailu[[#This Row],[Suoritusrahoituksen muutos, €]]/Vertailu[[#This Row],[Suoritusrahoitus 2023, €]],0)</f>
        <v>-3.5550307067314939E-3</v>
      </c>
      <c r="AH120" s="177">
        <f>IFERROR(VLOOKUP(Vertailu[[#This Row],[Y-tunnus]],'Suoritepäätös 2023 oikaistu'!$AB:$AL,COLUMN('Suoritepäätös 2023 oikaistu'!I:I),FALSE),0)</f>
        <v>1989900</v>
      </c>
      <c r="AI12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1858566</v>
      </c>
      <c r="AJ120" s="177">
        <f>Vertailu[[#This Row],[Vaikuttavuusrahoitus 2024, €]]-Vertailu[[#This Row],[Vaikuttavuusrahoitus 2023, €]]</f>
        <v>-131334</v>
      </c>
      <c r="AK120" s="179">
        <f>IFERROR(Vertailu[[#This Row],[Vaikuttavuusrahoituksen muutos, €]]/Vertailu[[#This Row],[Vaikuttavuusrahoitus 2023, €]],0)</f>
        <v>-6.6000301522689583E-2</v>
      </c>
    </row>
    <row r="121" spans="1:37" s="1" customFormat="1" ht="12.75" customHeight="1" x14ac:dyDescent="0.25">
      <c r="A121" s="3" t="s">
        <v>204</v>
      </c>
      <c r="B121" s="151" t="s">
        <v>108</v>
      </c>
      <c r="C121" s="151" t="s">
        <v>182</v>
      </c>
      <c r="D121" s="7" t="s">
        <v>325</v>
      </c>
      <c r="E12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0.60619033794287436</v>
      </c>
      <c r="F12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0.61632943852340361</v>
      </c>
      <c r="G12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0.24437378568852242</v>
      </c>
      <c r="H12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0.13929677578807401</v>
      </c>
      <c r="I12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8.7200471153248624E-2</v>
      </c>
      <c r="J12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6.2906216689697769E-3</v>
      </c>
      <c r="K12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2.0958697873849019E-2</v>
      </c>
      <c r="L12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1.8206271701852149E-2</v>
      </c>
      <c r="M12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6.6407133901544534E-3</v>
      </c>
      <c r="N12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23403924</v>
      </c>
      <c r="O121" s="177">
        <f>IFERROR(VLOOKUP(Vertailu[[#This Row],[Y-tunnus]],'1.2 Ohjaus-laskentataulu'!A:AT,COLUMN('1.2 Ohjaus-laskentataulu'!AF:AF),FALSE),0)</f>
        <v>25039747</v>
      </c>
      <c r="P121" s="177">
        <f>IFERROR(Vertailu[[#This Row],[Rahoitus pl. hark. kor. 2024 ilman alv, €]]-Vertailu[[#This Row],[Rahoitus pl. hark. kor. 2023 ilman alv, €]],0)</f>
        <v>1635823</v>
      </c>
      <c r="Q121" s="179">
        <f>IFERROR(Vertailu[[#This Row],[Muutos, € 1]]/Vertailu[[#This Row],[Rahoitus pl. hark. kor. 2023 ilman alv, €]],0)</f>
        <v>6.989524491704896E-2</v>
      </c>
      <c r="R121" s="182">
        <f>IFERROR(VLOOKUP(Vertailu[[#This Row],[Y-tunnus]],'Suoritepäätös 2023 oikaistu'!$AB:$AL,COLUMN('Suoritepäätös 2023 oikaistu'!J:J),FALSE),0)</f>
        <v>23681924</v>
      </c>
      <c r="S121" s="183">
        <f>IFERROR(VLOOKUP(Vertailu[[#This Row],[Y-tunnus]],'1.2 Ohjaus-laskentataulu'!A:AT,COLUMN('1.2 Ohjaus-laskentataulu'!AR:AR),FALSE),0)</f>
        <v>25296228</v>
      </c>
      <c r="T121" s="177">
        <f>IFERROR(Vertailu[[#This Row],[Rahoitus ml. hark. kor. 
2024 ilman alv, €]]-Vertailu[[#This Row],[Rahoitus ml. hark. kor. 
2023 ilman alv, €]],0)</f>
        <v>1614304</v>
      </c>
      <c r="U121" s="181">
        <f>IFERROR(Vertailu[[#This Row],[Muutos, € 2]]/Vertailu[[#This Row],[Rahoitus ml. hark. kor. 
2023 ilman alv, €]],0)</f>
        <v>6.8166083127367522E-2</v>
      </c>
      <c r="V12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24781587</v>
      </c>
      <c r="W121" s="182">
        <f>IFERROR(VLOOKUP(Vertailu[[#This Row],[Y-tunnus]],'1.2 Ohjaus-laskentataulu'!A:AT,COLUMN('1.2 Ohjaus-laskentataulu'!AT:AT),FALSE),0)</f>
        <v>26982285</v>
      </c>
      <c r="X121" s="184">
        <f>IFERROR(Vertailu[[#This Row],[Rahoitus ml. hark. kor. + alv 2024, €]]-Vertailu[[#This Row],[Rahoitus ml. hark. kor. + alv 2023, €]],0)</f>
        <v>2200698</v>
      </c>
      <c r="Y121" s="179">
        <f>IFERROR(Vertailu[[#This Row],[Muutos, € 3]]/Vertailu[[#This Row],[Rahoitus ml. hark. kor. + alv 2023, €]],0)</f>
        <v>8.8803755788521538E-2</v>
      </c>
      <c r="Z121" s="177">
        <f>IFERROR(VLOOKUP(Vertailu[[#This Row],[Y-tunnus]],'Suoritepäätös 2023 oikaistu'!$B:$N,COLUMN('Suoritepäätös 2023 oikaistu'!H:H),FALSE),0)</f>
        <v>14908684</v>
      </c>
      <c r="AA121" s="177">
        <f>IFERROR(VLOOKUP(Vertailu[[#This Row],[Y-tunnus]],'1.2 Ohjaus-laskentataulu'!A:AT,COLUMN('1.2 Ohjaus-laskentataulu'!AO:AO),FALSE),0)</f>
        <v>15590810</v>
      </c>
      <c r="AB121" s="177">
        <f>Vertailu[[#This Row],[Perusrahoitus 2024, €]]-Vertailu[[#This Row],[Perusrahoitus 2023, €]]</f>
        <v>682126</v>
      </c>
      <c r="AC121" s="179">
        <f>IFERROR(Vertailu[[#This Row],[Perusrahoituksen muutos, €]]/Vertailu[[#This Row],[Perusrahoitus 2023, €]],0)</f>
        <v>4.5753602397099573E-2</v>
      </c>
      <c r="AD121" s="177">
        <f>IFERROR(VLOOKUP(Vertailu[[#This Row],[Y-tunnus]],'Suoritepäätös 2023 oikaistu'!$O:$Y,COLUMN('Suoritepäätös 2023 oikaistu'!D:D),FALSE),0)</f>
        <v>6070711</v>
      </c>
      <c r="AE121" s="177">
        <f>IFERROR(VLOOKUP(Vertailu[[#This Row],[Y-tunnus]],'1.2 Ohjaus-laskentataulu'!A:AT,COLUMN('1.2 Ohjaus-laskentataulu'!O:O),FALSE),0)</f>
        <v>6181735</v>
      </c>
      <c r="AF121" s="177">
        <f>Vertailu[[#This Row],[Suoritusrahoitus 2024, €]]-Vertailu[[#This Row],[Suoritusrahoitus 2023, €]]</f>
        <v>111024</v>
      </c>
      <c r="AG121" s="179">
        <f>IFERROR(Vertailu[[#This Row],[Suoritusrahoituksen muutos, €]]/Vertailu[[#This Row],[Suoritusrahoitus 2023, €]],0)</f>
        <v>1.8288467364036932E-2</v>
      </c>
      <c r="AH121" s="177">
        <f>IFERROR(VLOOKUP(Vertailu[[#This Row],[Y-tunnus]],'Suoritepäätös 2023 oikaistu'!$AB:$AL,COLUMN('Suoritepäätös 2023 oikaistu'!I:I),FALSE),0)</f>
        <v>2702529</v>
      </c>
      <c r="AI12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3523683</v>
      </c>
      <c r="AJ121" s="177">
        <f>Vertailu[[#This Row],[Vaikuttavuusrahoitus 2024, €]]-Vertailu[[#This Row],[Vaikuttavuusrahoitus 2023, €]]</f>
        <v>821154</v>
      </c>
      <c r="AK121" s="179">
        <f>IFERROR(Vertailu[[#This Row],[Vaikuttavuusrahoituksen muutos, €]]/Vertailu[[#This Row],[Vaikuttavuusrahoitus 2023, €]],0)</f>
        <v>0.30384650821508297</v>
      </c>
    </row>
    <row r="122" spans="1:37" s="1" customFormat="1" ht="12.75" customHeight="1" x14ac:dyDescent="0.25">
      <c r="A122" s="3" t="s">
        <v>203</v>
      </c>
      <c r="B122" s="151" t="s">
        <v>109</v>
      </c>
      <c r="C122" s="151" t="s">
        <v>182</v>
      </c>
      <c r="D122" s="7" t="s">
        <v>326</v>
      </c>
      <c r="E12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0.67875117569359378</v>
      </c>
      <c r="F12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0.68495914029461036</v>
      </c>
      <c r="G12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0.21007810812388439</v>
      </c>
      <c r="H12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0.10496275158150523</v>
      </c>
      <c r="I12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7.7927088876662554E-2</v>
      </c>
      <c r="J12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3.1716776568642357E-3</v>
      </c>
      <c r="K12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1.0224492322129875E-2</v>
      </c>
      <c r="L12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1.1000825873333436E-2</v>
      </c>
      <c r="M12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2.6386668525151214E-3</v>
      </c>
      <c r="N12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94353150</v>
      </c>
      <c r="O122" s="177">
        <f>IFERROR(VLOOKUP(Vertailu[[#This Row],[Y-tunnus]],'1.2 Ohjaus-laskentataulu'!A:AT,COLUMN('1.2 Ohjaus-laskentataulu'!AF:AF),FALSE),0)</f>
        <v>99239217</v>
      </c>
      <c r="P122" s="177">
        <f>IFERROR(Vertailu[[#This Row],[Rahoitus pl. hark. kor. 2024 ilman alv, €]]-Vertailu[[#This Row],[Rahoitus pl. hark. kor. 2023 ilman alv, €]],0)</f>
        <v>4886067</v>
      </c>
      <c r="Q122" s="179">
        <f>IFERROR(Vertailu[[#This Row],[Muutos, € 1]]/Vertailu[[#This Row],[Rahoitus pl. hark. kor. 2023 ilman alv, €]],0)</f>
        <v>5.178488476537349E-2</v>
      </c>
      <c r="R122" s="182">
        <f>IFERROR(VLOOKUP(Vertailu[[#This Row],[Y-tunnus]],'Suoritepäätös 2023 oikaistu'!$AB:$AL,COLUMN('Suoritepäätös 2023 oikaistu'!J:J),FALSE),0)</f>
        <v>94620150</v>
      </c>
      <c r="S122" s="183">
        <f>IFERROR(VLOOKUP(Vertailu[[#This Row],[Y-tunnus]],'1.2 Ohjaus-laskentataulu'!A:AT,COLUMN('1.2 Ohjaus-laskentataulu'!AR:AR),FALSE),0)</f>
        <v>99859139</v>
      </c>
      <c r="T122" s="177">
        <f>IFERROR(Vertailu[[#This Row],[Rahoitus ml. hark. kor. 
2024 ilman alv, €]]-Vertailu[[#This Row],[Rahoitus ml. hark. kor. 
2023 ilman alv, €]],0)</f>
        <v>5238989</v>
      </c>
      <c r="U122" s="181">
        <f>IFERROR(Vertailu[[#This Row],[Muutos, € 2]]/Vertailu[[#This Row],[Rahoitus ml. hark. kor. 
2023 ilman alv, €]],0)</f>
        <v>5.5368639766476803E-2</v>
      </c>
      <c r="V12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94620150</v>
      </c>
      <c r="W122" s="182">
        <f>IFERROR(VLOOKUP(Vertailu[[#This Row],[Y-tunnus]],'1.2 Ohjaus-laskentataulu'!A:AT,COLUMN('1.2 Ohjaus-laskentataulu'!AT:AT),FALSE),0)</f>
        <v>99859139</v>
      </c>
      <c r="X122" s="184">
        <f>IFERROR(Vertailu[[#This Row],[Rahoitus ml. hark. kor. + alv 2024, €]]-Vertailu[[#This Row],[Rahoitus ml. hark. kor. + alv 2023, €]],0)</f>
        <v>5238989</v>
      </c>
      <c r="Y122" s="179">
        <f>IFERROR(Vertailu[[#This Row],[Muutos, € 3]]/Vertailu[[#This Row],[Rahoitus ml. hark. kor. + alv 2023, €]],0)</f>
        <v>5.5368639766476803E-2</v>
      </c>
      <c r="Z122" s="177">
        <f>IFERROR(VLOOKUP(Vertailu[[#This Row],[Y-tunnus]],'Suoritepäätös 2023 oikaistu'!$B:$N,COLUMN('Suoritepäätös 2023 oikaistu'!H:H),FALSE),0)</f>
        <v>64469303</v>
      </c>
      <c r="AA122" s="177">
        <f>IFERROR(VLOOKUP(Vertailu[[#This Row],[Y-tunnus]],'1.2 Ohjaus-laskentataulu'!A:AT,COLUMN('1.2 Ohjaus-laskentataulu'!AO:AO),FALSE),0)</f>
        <v>68399430</v>
      </c>
      <c r="AB122" s="177">
        <f>Vertailu[[#This Row],[Perusrahoitus 2024, €]]-Vertailu[[#This Row],[Perusrahoitus 2023, €]]</f>
        <v>3930127</v>
      </c>
      <c r="AC122" s="179">
        <f>IFERROR(Vertailu[[#This Row],[Perusrahoituksen muutos, €]]/Vertailu[[#This Row],[Perusrahoitus 2023, €]],0)</f>
        <v>6.0961214362748734E-2</v>
      </c>
      <c r="AD122" s="177">
        <f>IFERROR(VLOOKUP(Vertailu[[#This Row],[Y-tunnus]],'Suoritepäätös 2023 oikaistu'!$O:$Y,COLUMN('Suoritepäätös 2023 oikaistu'!D:D),FALSE),0)</f>
        <v>19804281</v>
      </c>
      <c r="AE122" s="177">
        <f>IFERROR(VLOOKUP(Vertailu[[#This Row],[Y-tunnus]],'1.2 Ohjaus-laskentataulu'!A:AT,COLUMN('1.2 Ohjaus-laskentataulu'!O:O),FALSE),0)</f>
        <v>20978219</v>
      </c>
      <c r="AF122" s="177">
        <f>Vertailu[[#This Row],[Suoritusrahoitus 2024, €]]-Vertailu[[#This Row],[Suoritusrahoitus 2023, €]]</f>
        <v>1173938</v>
      </c>
      <c r="AG122" s="179">
        <f>IFERROR(Vertailu[[#This Row],[Suoritusrahoituksen muutos, €]]/Vertailu[[#This Row],[Suoritusrahoitus 2023, €]],0)</f>
        <v>5.9276981577871979E-2</v>
      </c>
      <c r="AH122" s="177">
        <f>IFERROR(VLOOKUP(Vertailu[[#This Row],[Y-tunnus]],'Suoritepäätös 2023 oikaistu'!$AB:$AL,COLUMN('Suoritepäätös 2023 oikaistu'!I:I),FALSE),0)</f>
        <v>10346566</v>
      </c>
      <c r="AI12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10481490</v>
      </c>
      <c r="AJ122" s="177">
        <f>Vertailu[[#This Row],[Vaikuttavuusrahoitus 2024, €]]-Vertailu[[#This Row],[Vaikuttavuusrahoitus 2023, €]]</f>
        <v>134924</v>
      </c>
      <c r="AK122" s="179">
        <f>IFERROR(Vertailu[[#This Row],[Vaikuttavuusrahoituksen muutos, €]]/Vertailu[[#This Row],[Vaikuttavuusrahoitus 2023, €]],0)</f>
        <v>1.3040461927174679E-2</v>
      </c>
    </row>
    <row r="123" spans="1:37" s="1" customFormat="1" ht="12.75" customHeight="1" x14ac:dyDescent="0.25">
      <c r="A123" s="3" t="s">
        <v>202</v>
      </c>
      <c r="B123" s="151" t="s">
        <v>110</v>
      </c>
      <c r="C123" s="151" t="s">
        <v>182</v>
      </c>
      <c r="D123" s="7" t="s">
        <v>325</v>
      </c>
      <c r="E12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0.70495757906099121</v>
      </c>
      <c r="F12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0.70495757906099121</v>
      </c>
      <c r="G12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0.2231904306835073</v>
      </c>
      <c r="H12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7.1851990255501513E-2</v>
      </c>
      <c r="I12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6.3683177649062381E-2</v>
      </c>
      <c r="J12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2.3290160650934403E-3</v>
      </c>
      <c r="K12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5.8397965413456883E-3</v>
      </c>
      <c r="L12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0</v>
      </c>
      <c r="M12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12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893971</v>
      </c>
      <c r="O123" s="177">
        <f>IFERROR(VLOOKUP(Vertailu[[#This Row],[Y-tunnus]],'1.2 Ohjaus-laskentataulu'!A:AT,COLUMN('1.2 Ohjaus-laskentataulu'!AF:AF),FALSE),0)</f>
        <v>840269</v>
      </c>
      <c r="P123" s="177">
        <f>IFERROR(Vertailu[[#This Row],[Rahoitus pl. hark. kor. 2024 ilman alv, €]]-Vertailu[[#This Row],[Rahoitus pl. hark. kor. 2023 ilman alv, €]],0)</f>
        <v>-53702</v>
      </c>
      <c r="Q123" s="179">
        <f>IFERROR(Vertailu[[#This Row],[Muutos, € 1]]/Vertailu[[#This Row],[Rahoitus pl. hark. kor. 2023 ilman alv, €]],0)</f>
        <v>-6.0071299852008625E-2</v>
      </c>
      <c r="R123" s="182">
        <f>IFERROR(VLOOKUP(Vertailu[[#This Row],[Y-tunnus]],'Suoritepäätös 2023 oikaistu'!$AB:$AL,COLUMN('Suoritepäätös 2023 oikaistu'!J:J),FALSE),0)</f>
        <v>893971</v>
      </c>
      <c r="S123" s="183">
        <f>IFERROR(VLOOKUP(Vertailu[[#This Row],[Y-tunnus]],'1.2 Ohjaus-laskentataulu'!A:AT,COLUMN('1.2 Ohjaus-laskentataulu'!AR:AR),FALSE),0)</f>
        <v>840269</v>
      </c>
      <c r="T123" s="177">
        <f>IFERROR(Vertailu[[#This Row],[Rahoitus ml. hark. kor. 
2024 ilman alv, €]]-Vertailu[[#This Row],[Rahoitus ml. hark. kor. 
2023 ilman alv, €]],0)</f>
        <v>-53702</v>
      </c>
      <c r="U123" s="181">
        <f>IFERROR(Vertailu[[#This Row],[Muutos, € 2]]/Vertailu[[#This Row],[Rahoitus ml. hark. kor. 
2023 ilman alv, €]],0)</f>
        <v>-6.0071299852008625E-2</v>
      </c>
      <c r="V12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920193</v>
      </c>
      <c r="W123" s="182">
        <f>IFERROR(VLOOKUP(Vertailu[[#This Row],[Y-tunnus]],'1.2 Ohjaus-laskentataulu'!A:AT,COLUMN('1.2 Ohjaus-laskentataulu'!AT:AT),FALSE),0)</f>
        <v>875233</v>
      </c>
      <c r="X123" s="184">
        <f>IFERROR(Vertailu[[#This Row],[Rahoitus ml. hark. kor. + alv 2024, €]]-Vertailu[[#This Row],[Rahoitus ml. hark. kor. + alv 2023, €]],0)</f>
        <v>-44960</v>
      </c>
      <c r="Y123" s="179">
        <f>IFERROR(Vertailu[[#This Row],[Muutos, € 3]]/Vertailu[[#This Row],[Rahoitus ml. hark. kor. + alv 2023, €]],0)</f>
        <v>-4.8859315382751227E-2</v>
      </c>
      <c r="Z123" s="177">
        <f>IFERROR(VLOOKUP(Vertailu[[#This Row],[Y-tunnus]],'Suoritepäätös 2023 oikaistu'!$B:$N,COLUMN('Suoritepäätös 2023 oikaistu'!H:H),FALSE),0)</f>
        <v>573740</v>
      </c>
      <c r="AA123" s="177">
        <f>IFERROR(VLOOKUP(Vertailu[[#This Row],[Y-tunnus]],'1.2 Ohjaus-laskentataulu'!A:AT,COLUMN('1.2 Ohjaus-laskentataulu'!AO:AO),FALSE),0)</f>
        <v>592354</v>
      </c>
      <c r="AB123" s="177">
        <f>Vertailu[[#This Row],[Perusrahoitus 2024, €]]-Vertailu[[#This Row],[Perusrahoitus 2023, €]]</f>
        <v>18614</v>
      </c>
      <c r="AC123" s="179">
        <f>IFERROR(Vertailu[[#This Row],[Perusrahoituksen muutos, €]]/Vertailu[[#This Row],[Perusrahoitus 2023, €]],0)</f>
        <v>3.2443266985045488E-2</v>
      </c>
      <c r="AD123" s="177">
        <f>IFERROR(VLOOKUP(Vertailu[[#This Row],[Y-tunnus]],'Suoritepäätös 2023 oikaistu'!$O:$Y,COLUMN('Suoritepäätös 2023 oikaistu'!D:D),FALSE),0)</f>
        <v>254251</v>
      </c>
      <c r="AE123" s="177">
        <f>IFERROR(VLOOKUP(Vertailu[[#This Row],[Y-tunnus]],'1.2 Ohjaus-laskentataulu'!A:AT,COLUMN('1.2 Ohjaus-laskentataulu'!O:O),FALSE),0)</f>
        <v>187540</v>
      </c>
      <c r="AF123" s="177">
        <f>Vertailu[[#This Row],[Suoritusrahoitus 2024, €]]-Vertailu[[#This Row],[Suoritusrahoitus 2023, €]]</f>
        <v>-66711</v>
      </c>
      <c r="AG123" s="179">
        <f>IFERROR(Vertailu[[#This Row],[Suoritusrahoituksen muutos, €]]/Vertailu[[#This Row],[Suoritusrahoitus 2023, €]],0)</f>
        <v>-0.2623824488399259</v>
      </c>
      <c r="AH123" s="177">
        <f>IFERROR(VLOOKUP(Vertailu[[#This Row],[Y-tunnus]],'Suoritepäätös 2023 oikaistu'!$AB:$AL,COLUMN('Suoritepäätös 2023 oikaistu'!I:I),FALSE),0)</f>
        <v>65980</v>
      </c>
      <c r="AI12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60375</v>
      </c>
      <c r="AJ123" s="177">
        <f>Vertailu[[#This Row],[Vaikuttavuusrahoitus 2024, €]]-Vertailu[[#This Row],[Vaikuttavuusrahoitus 2023, €]]</f>
        <v>-5605</v>
      </c>
      <c r="AK123" s="179">
        <f>IFERROR(Vertailu[[#This Row],[Vaikuttavuusrahoituksen muutos, €]]/Vertailu[[#This Row],[Vaikuttavuusrahoitus 2023, €]],0)</f>
        <v>-8.4949984843892087E-2</v>
      </c>
    </row>
    <row r="124" spans="1:37" s="1" customFormat="1" ht="12.75" customHeight="1" x14ac:dyDescent="0.25">
      <c r="A124" s="3" t="s">
        <v>201</v>
      </c>
      <c r="B124" s="151" t="s">
        <v>111</v>
      </c>
      <c r="C124" s="151" t="s">
        <v>200</v>
      </c>
      <c r="D124" s="7" t="s">
        <v>325</v>
      </c>
      <c r="E12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0.69057967767471728</v>
      </c>
      <c r="F12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0.69057967767471728</v>
      </c>
      <c r="G12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0.2114285074158713</v>
      </c>
      <c r="H12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9.7991814909411362E-2</v>
      </c>
      <c r="I12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7.0294693133784406E-2</v>
      </c>
      <c r="J12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3.0036892652835654E-3</v>
      </c>
      <c r="K12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9.9035115233528995E-3</v>
      </c>
      <c r="L12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9.9475735986019626E-3</v>
      </c>
      <c r="M12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4.842347388388523E-3</v>
      </c>
      <c r="N12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1201825</v>
      </c>
      <c r="O124" s="177">
        <f>IFERROR(VLOOKUP(Vertailu[[#This Row],[Y-tunnus]],'1.2 Ohjaus-laskentataulu'!A:AT,COLUMN('1.2 Ohjaus-laskentataulu'!AF:AF),FALSE),0)</f>
        <v>1339020</v>
      </c>
      <c r="P124" s="177">
        <f>IFERROR(Vertailu[[#This Row],[Rahoitus pl. hark. kor. 2024 ilman alv, €]]-Vertailu[[#This Row],[Rahoitus pl. hark. kor. 2023 ilman alv, €]],0)</f>
        <v>137195</v>
      </c>
      <c r="Q124" s="179">
        <f>IFERROR(Vertailu[[#This Row],[Muutos, € 1]]/Vertailu[[#This Row],[Rahoitus pl. hark. kor. 2023 ilman alv, €]],0)</f>
        <v>0.11415555509329561</v>
      </c>
      <c r="R124" s="182">
        <f>IFERROR(VLOOKUP(Vertailu[[#This Row],[Y-tunnus]],'Suoritepäätös 2023 oikaistu'!$AB:$AL,COLUMN('Suoritepäätös 2023 oikaistu'!J:J),FALSE),0)</f>
        <v>1201825</v>
      </c>
      <c r="S124" s="183">
        <f>IFERROR(VLOOKUP(Vertailu[[#This Row],[Y-tunnus]],'1.2 Ohjaus-laskentataulu'!A:AT,COLUMN('1.2 Ohjaus-laskentataulu'!AR:AR),FALSE),0)</f>
        <v>1339020</v>
      </c>
      <c r="T124" s="177">
        <f>IFERROR(Vertailu[[#This Row],[Rahoitus ml. hark. kor. 
2024 ilman alv, €]]-Vertailu[[#This Row],[Rahoitus ml. hark. kor. 
2023 ilman alv, €]],0)</f>
        <v>137195</v>
      </c>
      <c r="U124" s="181">
        <f>IFERROR(Vertailu[[#This Row],[Muutos, € 2]]/Vertailu[[#This Row],[Rahoitus ml. hark. kor. 
2023 ilman alv, €]],0)</f>
        <v>0.11415555509329561</v>
      </c>
      <c r="V12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1258378</v>
      </c>
      <c r="W124" s="182">
        <f>IFERROR(VLOOKUP(Vertailu[[#This Row],[Y-tunnus]],'1.2 Ohjaus-laskentataulu'!A:AT,COLUMN('1.2 Ohjaus-laskentataulu'!AT:AT),FALSE),0)</f>
        <v>1398818</v>
      </c>
      <c r="X124" s="184">
        <f>IFERROR(Vertailu[[#This Row],[Rahoitus ml. hark. kor. + alv 2024, €]]-Vertailu[[#This Row],[Rahoitus ml. hark. kor. + alv 2023, €]],0)</f>
        <v>140440</v>
      </c>
      <c r="Y124" s="179">
        <f>IFERROR(Vertailu[[#This Row],[Muutos, € 3]]/Vertailu[[#This Row],[Rahoitus ml. hark. kor. + alv 2023, €]],0)</f>
        <v>0.11160398544793376</v>
      </c>
      <c r="Z124" s="177">
        <f>IFERROR(VLOOKUP(Vertailu[[#This Row],[Y-tunnus]],'Suoritepäätös 2023 oikaistu'!$B:$N,COLUMN('Suoritepäätös 2023 oikaistu'!H:H),FALSE),0)</f>
        <v>767369</v>
      </c>
      <c r="AA124" s="177">
        <f>IFERROR(VLOOKUP(Vertailu[[#This Row],[Y-tunnus]],'1.2 Ohjaus-laskentataulu'!A:AT,COLUMN('1.2 Ohjaus-laskentataulu'!AO:AO),FALSE),0)</f>
        <v>924700</v>
      </c>
      <c r="AB124" s="177">
        <f>Vertailu[[#This Row],[Perusrahoitus 2024, €]]-Vertailu[[#This Row],[Perusrahoitus 2023, €]]</f>
        <v>157331</v>
      </c>
      <c r="AC124" s="179">
        <f>IFERROR(Vertailu[[#This Row],[Perusrahoituksen muutos, €]]/Vertailu[[#This Row],[Perusrahoitus 2023, €]],0)</f>
        <v>0.20502652570015209</v>
      </c>
      <c r="AD124" s="177">
        <f>IFERROR(VLOOKUP(Vertailu[[#This Row],[Y-tunnus]],'Suoritepäätös 2023 oikaistu'!$O:$Y,COLUMN('Suoritepäätös 2023 oikaistu'!D:D),FALSE),0)</f>
        <v>320010</v>
      </c>
      <c r="AE124" s="177">
        <f>IFERROR(VLOOKUP(Vertailu[[#This Row],[Y-tunnus]],'1.2 Ohjaus-laskentataulu'!A:AT,COLUMN('1.2 Ohjaus-laskentataulu'!O:O),FALSE),0)</f>
        <v>283107</v>
      </c>
      <c r="AF124" s="177">
        <f>Vertailu[[#This Row],[Suoritusrahoitus 2024, €]]-Vertailu[[#This Row],[Suoritusrahoitus 2023, €]]</f>
        <v>-36903</v>
      </c>
      <c r="AG124" s="179">
        <f>IFERROR(Vertailu[[#This Row],[Suoritusrahoituksen muutos, €]]/Vertailu[[#This Row],[Suoritusrahoitus 2023, €]],0)</f>
        <v>-0.11531827130402175</v>
      </c>
      <c r="AH124" s="177">
        <f>IFERROR(VLOOKUP(Vertailu[[#This Row],[Y-tunnus]],'Suoritepäätös 2023 oikaistu'!$AB:$AL,COLUMN('Suoritepäätös 2023 oikaistu'!I:I),FALSE),0)</f>
        <v>114446</v>
      </c>
      <c r="AI12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131213</v>
      </c>
      <c r="AJ124" s="177">
        <f>Vertailu[[#This Row],[Vaikuttavuusrahoitus 2024, €]]-Vertailu[[#This Row],[Vaikuttavuusrahoitus 2023, €]]</f>
        <v>16767</v>
      </c>
      <c r="AK124" s="179">
        <f>IFERROR(Vertailu[[#This Row],[Vaikuttavuusrahoituksen muutos, €]]/Vertailu[[#This Row],[Vaikuttavuusrahoitus 2023, €]],0)</f>
        <v>0.14650577564965137</v>
      </c>
    </row>
    <row r="125" spans="1:37" s="1" customFormat="1" ht="12.75" customHeight="1" x14ac:dyDescent="0.25">
      <c r="A125" s="3" t="s">
        <v>197</v>
      </c>
      <c r="B125" s="151" t="s">
        <v>112</v>
      </c>
      <c r="C125" s="151" t="s">
        <v>177</v>
      </c>
      <c r="D125" s="7" t="s">
        <v>325</v>
      </c>
      <c r="E12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0.70437383892775829</v>
      </c>
      <c r="F12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0.70437383892775829</v>
      </c>
      <c r="G12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0.19749329365045393</v>
      </c>
      <c r="H12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9.8132867421787798E-2</v>
      </c>
      <c r="I12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7.6177505450130328E-2</v>
      </c>
      <c r="J12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3.1909829143020279E-3</v>
      </c>
      <c r="K12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8.7950233619552808E-3</v>
      </c>
      <c r="L12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8.130622976789164E-3</v>
      </c>
      <c r="M12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1.83873271861099E-3</v>
      </c>
      <c r="N12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2442963</v>
      </c>
      <c r="O125" s="177">
        <f>IFERROR(VLOOKUP(Vertailu[[#This Row],[Y-tunnus]],'1.2 Ohjaus-laskentataulu'!A:AT,COLUMN('1.2 Ohjaus-laskentataulu'!AF:AF),FALSE),0)</f>
        <v>2686633</v>
      </c>
      <c r="P125" s="177">
        <f>IFERROR(Vertailu[[#This Row],[Rahoitus pl. hark. kor. 2024 ilman alv, €]]-Vertailu[[#This Row],[Rahoitus pl. hark. kor. 2023 ilman alv, €]],0)</f>
        <v>243670</v>
      </c>
      <c r="Q125" s="179">
        <f>IFERROR(Vertailu[[#This Row],[Muutos, € 1]]/Vertailu[[#This Row],[Rahoitus pl. hark. kor. 2023 ilman alv, €]],0)</f>
        <v>9.9743630992364593E-2</v>
      </c>
      <c r="R125" s="182">
        <f>IFERROR(VLOOKUP(Vertailu[[#This Row],[Y-tunnus]],'Suoritepäätös 2023 oikaistu'!$AB:$AL,COLUMN('Suoritepäätös 2023 oikaistu'!J:J),FALSE),0)</f>
        <v>2442963</v>
      </c>
      <c r="S125" s="183">
        <f>IFERROR(VLOOKUP(Vertailu[[#This Row],[Y-tunnus]],'1.2 Ohjaus-laskentataulu'!A:AT,COLUMN('1.2 Ohjaus-laskentataulu'!AR:AR),FALSE),0)</f>
        <v>2686633</v>
      </c>
      <c r="T125" s="177">
        <f>IFERROR(Vertailu[[#This Row],[Rahoitus ml. hark. kor. 
2024 ilman alv, €]]-Vertailu[[#This Row],[Rahoitus ml. hark. kor. 
2023 ilman alv, €]],0)</f>
        <v>243670</v>
      </c>
      <c r="U125" s="181">
        <f>IFERROR(Vertailu[[#This Row],[Muutos, € 2]]/Vertailu[[#This Row],[Rahoitus ml. hark. kor. 
2023 ilman alv, €]],0)</f>
        <v>9.9743630992364593E-2</v>
      </c>
      <c r="V12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2580873</v>
      </c>
      <c r="W125" s="182">
        <f>IFERROR(VLOOKUP(Vertailu[[#This Row],[Y-tunnus]],'1.2 Ohjaus-laskentataulu'!A:AT,COLUMN('1.2 Ohjaus-laskentataulu'!AT:AT),FALSE),0)</f>
        <v>2873091</v>
      </c>
      <c r="X125" s="184">
        <f>IFERROR(Vertailu[[#This Row],[Rahoitus ml. hark. kor. + alv 2024, €]]-Vertailu[[#This Row],[Rahoitus ml. hark. kor. + alv 2023, €]],0)</f>
        <v>292218</v>
      </c>
      <c r="Y125" s="179">
        <f>IFERROR(Vertailu[[#This Row],[Muutos, € 3]]/Vertailu[[#This Row],[Rahoitus ml. hark. kor. + alv 2023, €]],0)</f>
        <v>0.11322447869383732</v>
      </c>
      <c r="Z125" s="177">
        <f>IFERROR(VLOOKUP(Vertailu[[#This Row],[Y-tunnus]],'Suoritepäätös 2023 oikaistu'!$B:$N,COLUMN('Suoritepäätös 2023 oikaistu'!H:H),FALSE),0)</f>
        <v>1767352</v>
      </c>
      <c r="AA125" s="177">
        <f>IFERROR(VLOOKUP(Vertailu[[#This Row],[Y-tunnus]],'1.2 Ohjaus-laskentataulu'!A:AT,COLUMN('1.2 Ohjaus-laskentataulu'!AO:AO),FALSE),0)</f>
        <v>1892394</v>
      </c>
      <c r="AB125" s="177">
        <f>Vertailu[[#This Row],[Perusrahoitus 2024, €]]-Vertailu[[#This Row],[Perusrahoitus 2023, €]]</f>
        <v>125042</v>
      </c>
      <c r="AC125" s="179">
        <f>IFERROR(Vertailu[[#This Row],[Perusrahoituksen muutos, €]]/Vertailu[[#This Row],[Perusrahoitus 2023, €]],0)</f>
        <v>7.0751044500473023E-2</v>
      </c>
      <c r="AD125" s="177">
        <f>IFERROR(VLOOKUP(Vertailu[[#This Row],[Y-tunnus]],'Suoritepäätös 2023 oikaistu'!$O:$Y,COLUMN('Suoritepäätös 2023 oikaistu'!D:D),FALSE),0)</f>
        <v>437469</v>
      </c>
      <c r="AE125" s="177">
        <f>IFERROR(VLOOKUP(Vertailu[[#This Row],[Y-tunnus]],'1.2 Ohjaus-laskentataulu'!A:AT,COLUMN('1.2 Ohjaus-laskentataulu'!O:O),FALSE),0)</f>
        <v>530592</v>
      </c>
      <c r="AF125" s="177">
        <f>Vertailu[[#This Row],[Suoritusrahoitus 2024, €]]-Vertailu[[#This Row],[Suoritusrahoitus 2023, €]]</f>
        <v>93123</v>
      </c>
      <c r="AG125" s="179">
        <f>IFERROR(Vertailu[[#This Row],[Suoritusrahoituksen muutos, €]]/Vertailu[[#This Row],[Suoritusrahoitus 2023, €]],0)</f>
        <v>0.21286765462238466</v>
      </c>
      <c r="AH125" s="177">
        <f>IFERROR(VLOOKUP(Vertailu[[#This Row],[Y-tunnus]],'Suoritepäätös 2023 oikaistu'!$AB:$AL,COLUMN('Suoritepäätös 2023 oikaistu'!I:I),FALSE),0)</f>
        <v>238142</v>
      </c>
      <c r="AI12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263647</v>
      </c>
      <c r="AJ125" s="177">
        <f>Vertailu[[#This Row],[Vaikuttavuusrahoitus 2024, €]]-Vertailu[[#This Row],[Vaikuttavuusrahoitus 2023, €]]</f>
        <v>25505</v>
      </c>
      <c r="AK125" s="179">
        <f>IFERROR(Vertailu[[#This Row],[Vaikuttavuusrahoituksen muutos, €]]/Vertailu[[#This Row],[Vaikuttavuusrahoitus 2023, €]],0)</f>
        <v>0.10709996556676268</v>
      </c>
    </row>
    <row r="126" spans="1:37" s="1" customFormat="1" ht="12.75" customHeight="1" x14ac:dyDescent="0.25">
      <c r="A126" s="3" t="s">
        <v>198</v>
      </c>
      <c r="B126" s="151" t="s">
        <v>113</v>
      </c>
      <c r="C126" s="151" t="s">
        <v>177</v>
      </c>
      <c r="D126" s="7" t="s">
        <v>325</v>
      </c>
      <c r="E12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0.63947919928697039</v>
      </c>
      <c r="F12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0.63947919928697039</v>
      </c>
      <c r="G12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0.2864548454700937</v>
      </c>
      <c r="H12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7.4065955242935952E-2</v>
      </c>
      <c r="I12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4.4513766771854597E-2</v>
      </c>
      <c r="J12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1.0589453906005348E-2</v>
      </c>
      <c r="K12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6.0511165177173417E-3</v>
      </c>
      <c r="L12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9.6114470165972101E-3</v>
      </c>
      <c r="M12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3.3001710307614483E-3</v>
      </c>
      <c r="N12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470756</v>
      </c>
      <c r="O126" s="177">
        <f>IFERROR(VLOOKUP(Vertailu[[#This Row],[Y-tunnus]],'1.2 Ohjaus-laskentataulu'!A:AT,COLUMN('1.2 Ohjaus-laskentataulu'!AF:AF),FALSE),0)</f>
        <v>415130</v>
      </c>
      <c r="P126" s="177">
        <f>IFERROR(Vertailu[[#This Row],[Rahoitus pl. hark. kor. 2024 ilman alv, €]]-Vertailu[[#This Row],[Rahoitus pl. hark. kor. 2023 ilman alv, €]],0)</f>
        <v>-55626</v>
      </c>
      <c r="Q126" s="179">
        <f>IFERROR(Vertailu[[#This Row],[Muutos, € 1]]/Vertailu[[#This Row],[Rahoitus pl. hark. kor. 2023 ilman alv, €]],0)</f>
        <v>-0.11816312484599241</v>
      </c>
      <c r="R126" s="182">
        <f>IFERROR(VLOOKUP(Vertailu[[#This Row],[Y-tunnus]],'Suoritepäätös 2023 oikaistu'!$AB:$AL,COLUMN('Suoritepäätös 2023 oikaistu'!J:J),FALSE),0)</f>
        <v>475756</v>
      </c>
      <c r="S126" s="183">
        <f>IFERROR(VLOOKUP(Vertailu[[#This Row],[Y-tunnus]],'1.2 Ohjaus-laskentataulu'!A:AT,COLUMN('1.2 Ohjaus-laskentataulu'!AR:AR),FALSE),0)</f>
        <v>415130</v>
      </c>
      <c r="T126" s="177">
        <f>IFERROR(Vertailu[[#This Row],[Rahoitus ml. hark. kor. 
2024 ilman alv, €]]-Vertailu[[#This Row],[Rahoitus ml. hark. kor. 
2023 ilman alv, €]],0)</f>
        <v>-60626</v>
      </c>
      <c r="U126" s="181">
        <f>IFERROR(Vertailu[[#This Row],[Muutos, € 2]]/Vertailu[[#This Row],[Rahoitus ml. hark. kor. 
2023 ilman alv, €]],0)</f>
        <v>-0.12743086792389377</v>
      </c>
      <c r="V12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618558</v>
      </c>
      <c r="W126" s="182">
        <f>IFERROR(VLOOKUP(Vertailu[[#This Row],[Y-tunnus]],'1.2 Ohjaus-laskentataulu'!A:AT,COLUMN('1.2 Ohjaus-laskentataulu'!AT:AT),FALSE),0)</f>
        <v>577031</v>
      </c>
      <c r="X126" s="184">
        <f>IFERROR(Vertailu[[#This Row],[Rahoitus ml. hark. kor. + alv 2024, €]]-Vertailu[[#This Row],[Rahoitus ml. hark. kor. + alv 2023, €]],0)</f>
        <v>-41527</v>
      </c>
      <c r="Y126" s="179">
        <f>IFERROR(Vertailu[[#This Row],[Muutos, € 3]]/Vertailu[[#This Row],[Rahoitus ml. hark. kor. + alv 2023, €]],0)</f>
        <v>-6.7135175682797726E-2</v>
      </c>
      <c r="Z126" s="177">
        <f>IFERROR(VLOOKUP(Vertailu[[#This Row],[Y-tunnus]],'Suoritepäätös 2023 oikaistu'!$B:$N,COLUMN('Suoritepäätös 2023 oikaistu'!H:H),FALSE),0)</f>
        <v>324033</v>
      </c>
      <c r="AA126" s="177">
        <f>IFERROR(VLOOKUP(Vertailu[[#This Row],[Y-tunnus]],'1.2 Ohjaus-laskentataulu'!A:AT,COLUMN('1.2 Ohjaus-laskentataulu'!AO:AO),FALSE),0)</f>
        <v>265467</v>
      </c>
      <c r="AB126" s="177">
        <f>Vertailu[[#This Row],[Perusrahoitus 2024, €]]-Vertailu[[#This Row],[Perusrahoitus 2023, €]]</f>
        <v>-58566</v>
      </c>
      <c r="AC126" s="179">
        <f>IFERROR(Vertailu[[#This Row],[Perusrahoituksen muutos, €]]/Vertailu[[#This Row],[Perusrahoitus 2023, €]],0)</f>
        <v>-0.18074085046893371</v>
      </c>
      <c r="AD126" s="177">
        <f>IFERROR(VLOOKUP(Vertailu[[#This Row],[Y-tunnus]],'Suoritepäätös 2023 oikaistu'!$O:$Y,COLUMN('Suoritepäätös 2023 oikaistu'!D:D),FALSE),0)</f>
        <v>105194</v>
      </c>
      <c r="AE126" s="177">
        <f>IFERROR(VLOOKUP(Vertailu[[#This Row],[Y-tunnus]],'1.2 Ohjaus-laskentataulu'!A:AT,COLUMN('1.2 Ohjaus-laskentataulu'!O:O),FALSE),0)</f>
        <v>118916</v>
      </c>
      <c r="AF126" s="177">
        <f>Vertailu[[#This Row],[Suoritusrahoitus 2024, €]]-Vertailu[[#This Row],[Suoritusrahoitus 2023, €]]</f>
        <v>13722</v>
      </c>
      <c r="AG126" s="179">
        <f>IFERROR(Vertailu[[#This Row],[Suoritusrahoituksen muutos, €]]/Vertailu[[#This Row],[Suoritusrahoitus 2023, €]],0)</f>
        <v>0.13044470216932524</v>
      </c>
      <c r="AH126" s="177">
        <f>IFERROR(VLOOKUP(Vertailu[[#This Row],[Y-tunnus]],'Suoritepäätös 2023 oikaistu'!$AB:$AL,COLUMN('Suoritepäätös 2023 oikaistu'!I:I),FALSE),0)</f>
        <v>46529</v>
      </c>
      <c r="AI12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30747</v>
      </c>
      <c r="AJ126" s="177">
        <f>Vertailu[[#This Row],[Vaikuttavuusrahoitus 2024, €]]-Vertailu[[#This Row],[Vaikuttavuusrahoitus 2023, €]]</f>
        <v>-15782</v>
      </c>
      <c r="AK126" s="179">
        <f>IFERROR(Vertailu[[#This Row],[Vaikuttavuusrahoituksen muutos, €]]/Vertailu[[#This Row],[Vaikuttavuusrahoitus 2023, €]],0)</f>
        <v>-0.33918631391175397</v>
      </c>
    </row>
    <row r="127" spans="1:37" s="1" customFormat="1" ht="12.75" customHeight="1" x14ac:dyDescent="0.25">
      <c r="A127" s="3" t="s">
        <v>195</v>
      </c>
      <c r="B127" s="151" t="s">
        <v>114</v>
      </c>
      <c r="C127" s="151" t="s">
        <v>186</v>
      </c>
      <c r="D127" s="7" t="s">
        <v>325</v>
      </c>
      <c r="E12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0.63770427935055329</v>
      </c>
      <c r="F12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0.67234930656213709</v>
      </c>
      <c r="G12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0.20954996590833086</v>
      </c>
      <c r="H12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0.11810072752953207</v>
      </c>
      <c r="I12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7.6207511523080404E-2</v>
      </c>
      <c r="J12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6.5610624218381723E-3</v>
      </c>
      <c r="K12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1.6176501015853148E-2</v>
      </c>
      <c r="L12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1.6096143799959613E-2</v>
      </c>
      <c r="M12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3.0595087688007417E-3</v>
      </c>
      <c r="N12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11637555</v>
      </c>
      <c r="O127" s="177">
        <f>IFERROR(VLOOKUP(Vertailu[[#This Row],[Y-tunnus]],'1.2 Ohjaus-laskentataulu'!A:AT,COLUMN('1.2 Ohjaus-laskentataulu'!AF:AF),FALSE),0)</f>
        <v>12037322</v>
      </c>
      <c r="P127" s="177">
        <f>IFERROR(Vertailu[[#This Row],[Rahoitus pl. hark. kor. 2024 ilman alv, €]]-Vertailu[[#This Row],[Rahoitus pl. hark. kor. 2023 ilman alv, €]],0)</f>
        <v>399767</v>
      </c>
      <c r="Q127" s="179">
        <f>IFERROR(Vertailu[[#This Row],[Muutos, € 1]]/Vertailu[[#This Row],[Rahoitus pl. hark. kor. 2023 ilman alv, €]],0)</f>
        <v>3.4351459563456414E-2</v>
      </c>
      <c r="R127" s="182">
        <f>IFERROR(VLOOKUP(Vertailu[[#This Row],[Y-tunnus]],'Suoritepäätös 2023 oikaistu'!$AB:$AL,COLUMN('Suoritepäätös 2023 oikaistu'!J:J),FALSE),0)</f>
        <v>11907555</v>
      </c>
      <c r="S127" s="183">
        <f>IFERROR(VLOOKUP(Vertailu[[#This Row],[Y-tunnus]],'1.2 Ohjaus-laskentataulu'!A:AT,COLUMN('1.2 Ohjaus-laskentataulu'!AR:AR),FALSE),0)</f>
        <v>12469322</v>
      </c>
      <c r="T127" s="177">
        <f>IFERROR(Vertailu[[#This Row],[Rahoitus ml. hark. kor. 
2024 ilman alv, €]]-Vertailu[[#This Row],[Rahoitus ml. hark. kor. 
2023 ilman alv, €]],0)</f>
        <v>561767</v>
      </c>
      <c r="U127" s="181">
        <f>IFERROR(Vertailu[[#This Row],[Muutos, € 2]]/Vertailu[[#This Row],[Rahoitus ml. hark. kor. 
2023 ilman alv, €]],0)</f>
        <v>4.7177359247973241E-2</v>
      </c>
      <c r="V12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12597307</v>
      </c>
      <c r="W127" s="182">
        <f>IFERROR(VLOOKUP(Vertailu[[#This Row],[Y-tunnus]],'1.2 Ohjaus-laskentataulu'!A:AT,COLUMN('1.2 Ohjaus-laskentataulu'!AT:AT),FALSE),0)</f>
        <v>13115623</v>
      </c>
      <c r="X127" s="184">
        <f>IFERROR(Vertailu[[#This Row],[Rahoitus ml. hark. kor. + alv 2024, €]]-Vertailu[[#This Row],[Rahoitus ml. hark. kor. + alv 2023, €]],0)</f>
        <v>518316</v>
      </c>
      <c r="Y127" s="179">
        <f>IFERROR(Vertailu[[#This Row],[Muutos, € 3]]/Vertailu[[#This Row],[Rahoitus ml. hark. kor. + alv 2023, €]],0)</f>
        <v>4.114498440023729E-2</v>
      </c>
      <c r="Z127" s="177">
        <f>IFERROR(VLOOKUP(Vertailu[[#This Row],[Y-tunnus]],'Suoritepäätös 2023 oikaistu'!$B:$N,COLUMN('Suoritepäätös 2023 oikaistu'!H:H),FALSE),0)</f>
        <v>7718868</v>
      </c>
      <c r="AA127" s="177">
        <f>IFERROR(VLOOKUP(Vertailu[[#This Row],[Y-tunnus]],'1.2 Ohjaus-laskentataulu'!A:AT,COLUMN('1.2 Ohjaus-laskentataulu'!AO:AO),FALSE),0)</f>
        <v>8383740</v>
      </c>
      <c r="AB127" s="177">
        <f>Vertailu[[#This Row],[Perusrahoitus 2024, €]]-Vertailu[[#This Row],[Perusrahoitus 2023, €]]</f>
        <v>664872</v>
      </c>
      <c r="AC127" s="179">
        <f>IFERROR(Vertailu[[#This Row],[Perusrahoituksen muutos, €]]/Vertailu[[#This Row],[Perusrahoitus 2023, €]],0)</f>
        <v>8.6135946358973883E-2</v>
      </c>
      <c r="AD127" s="177">
        <f>IFERROR(VLOOKUP(Vertailu[[#This Row],[Y-tunnus]],'Suoritepäätös 2023 oikaistu'!$O:$Y,COLUMN('Suoritepäätös 2023 oikaistu'!D:D),FALSE),0)</f>
        <v>2932762</v>
      </c>
      <c r="AE127" s="177">
        <f>IFERROR(VLOOKUP(Vertailu[[#This Row],[Y-tunnus]],'1.2 Ohjaus-laskentataulu'!A:AT,COLUMN('1.2 Ohjaus-laskentataulu'!O:O),FALSE),0)</f>
        <v>2612946</v>
      </c>
      <c r="AF127" s="177">
        <f>Vertailu[[#This Row],[Suoritusrahoitus 2024, €]]-Vertailu[[#This Row],[Suoritusrahoitus 2023, €]]</f>
        <v>-319816</v>
      </c>
      <c r="AG127" s="179">
        <f>IFERROR(Vertailu[[#This Row],[Suoritusrahoituksen muutos, €]]/Vertailu[[#This Row],[Suoritusrahoitus 2023, €]],0)</f>
        <v>-0.10904942167144828</v>
      </c>
      <c r="AH127" s="177">
        <f>IFERROR(VLOOKUP(Vertailu[[#This Row],[Y-tunnus]],'Suoritepäätös 2023 oikaistu'!$AB:$AL,COLUMN('Suoritepäätös 2023 oikaistu'!I:I),FALSE),0)</f>
        <v>1255925</v>
      </c>
      <c r="AI12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1472636</v>
      </c>
      <c r="AJ127" s="177">
        <f>Vertailu[[#This Row],[Vaikuttavuusrahoitus 2024, €]]-Vertailu[[#This Row],[Vaikuttavuusrahoitus 2023, €]]</f>
        <v>216711</v>
      </c>
      <c r="AK127" s="179">
        <f>IFERROR(Vertailu[[#This Row],[Vaikuttavuusrahoituksen muutos, €]]/Vertailu[[#This Row],[Vaikuttavuusrahoitus 2023, €]],0)</f>
        <v>0.17255090869279616</v>
      </c>
    </row>
    <row r="128" spans="1:37" s="1" customFormat="1" ht="12.75" customHeight="1" x14ac:dyDescent="0.25">
      <c r="A128" s="3" t="s">
        <v>194</v>
      </c>
      <c r="B128" s="151" t="s">
        <v>115</v>
      </c>
      <c r="C128" s="151" t="s">
        <v>186</v>
      </c>
      <c r="D128" s="7" t="s">
        <v>325</v>
      </c>
      <c r="E12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0.74880554373964758</v>
      </c>
      <c r="F12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0.74998293633913782</v>
      </c>
      <c r="G12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0.16576737111146592</v>
      </c>
      <c r="H12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8.4249692549396252E-2</v>
      </c>
      <c r="I12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5.8828189655277488E-2</v>
      </c>
      <c r="J12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4.4920087219683666E-3</v>
      </c>
      <c r="K12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6.6517806539526138E-3</v>
      </c>
      <c r="L12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1.0660217415416043E-2</v>
      </c>
      <c r="M12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3.6174961027817423E-3</v>
      </c>
      <c r="N12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3037176</v>
      </c>
      <c r="O128" s="177">
        <f>IFERROR(VLOOKUP(Vertailu[[#This Row],[Y-tunnus]],'1.2 Ohjaus-laskentataulu'!A:AT,COLUMN('1.2 Ohjaus-laskentataulu'!AF:AF),FALSE),0)</f>
        <v>3277964</v>
      </c>
      <c r="P128" s="177">
        <f>IFERROR(Vertailu[[#This Row],[Rahoitus pl. hark. kor. 2024 ilman alv, €]]-Vertailu[[#This Row],[Rahoitus pl. hark. kor. 2023 ilman alv, €]],0)</f>
        <v>240788</v>
      </c>
      <c r="Q128" s="179">
        <f>IFERROR(Vertailu[[#This Row],[Muutos, € 1]]/Vertailu[[#This Row],[Rahoitus pl. hark. kor. 2023 ilman alv, €]],0)</f>
        <v>7.928022610477628E-2</v>
      </c>
      <c r="R128" s="182">
        <f>IFERROR(VLOOKUP(Vertailu[[#This Row],[Y-tunnus]],'Suoritepäätös 2023 oikaistu'!$AB:$AL,COLUMN('Suoritepäätös 2023 oikaistu'!J:J),FALSE),0)</f>
        <v>3037176</v>
      </c>
      <c r="S128" s="183">
        <f>IFERROR(VLOOKUP(Vertailu[[#This Row],[Y-tunnus]],'1.2 Ohjaus-laskentataulu'!A:AT,COLUMN('1.2 Ohjaus-laskentataulu'!AR:AR),FALSE),0)</f>
        <v>3281828</v>
      </c>
      <c r="T128" s="177">
        <f>IFERROR(Vertailu[[#This Row],[Rahoitus ml. hark. kor. 
2024 ilman alv, €]]-Vertailu[[#This Row],[Rahoitus ml. hark. kor. 
2023 ilman alv, €]],0)</f>
        <v>244652</v>
      </c>
      <c r="U128" s="181">
        <f>IFERROR(Vertailu[[#This Row],[Muutos, € 2]]/Vertailu[[#This Row],[Rahoitus ml. hark. kor. 
2023 ilman alv, €]],0)</f>
        <v>8.055246057521856E-2</v>
      </c>
      <c r="V12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3187769</v>
      </c>
      <c r="W128" s="182">
        <f>IFERROR(VLOOKUP(Vertailu[[#This Row],[Y-tunnus]],'1.2 Ohjaus-laskentataulu'!A:AT,COLUMN('1.2 Ohjaus-laskentataulu'!AT:AT),FALSE),0)</f>
        <v>3426362</v>
      </c>
      <c r="X128" s="184">
        <f>IFERROR(Vertailu[[#This Row],[Rahoitus ml. hark. kor. + alv 2024, €]]-Vertailu[[#This Row],[Rahoitus ml. hark. kor. + alv 2023, €]],0)</f>
        <v>238593</v>
      </c>
      <c r="Y128" s="179">
        <f>IFERROR(Vertailu[[#This Row],[Muutos, € 3]]/Vertailu[[#This Row],[Rahoitus ml. hark. kor. + alv 2023, €]],0)</f>
        <v>7.4846389434115201E-2</v>
      </c>
      <c r="Z128" s="177">
        <f>IFERROR(VLOOKUP(Vertailu[[#This Row],[Y-tunnus]],'Suoritepäätös 2023 oikaistu'!$B:$N,COLUMN('Suoritepäätös 2023 oikaistu'!H:H),FALSE),0)</f>
        <v>2220236</v>
      </c>
      <c r="AA128" s="177">
        <f>IFERROR(VLOOKUP(Vertailu[[#This Row],[Y-tunnus]],'1.2 Ohjaus-laskentataulu'!A:AT,COLUMN('1.2 Ohjaus-laskentataulu'!AO:AO),FALSE),0)</f>
        <v>2461315</v>
      </c>
      <c r="AB128" s="177">
        <f>Vertailu[[#This Row],[Perusrahoitus 2024, €]]-Vertailu[[#This Row],[Perusrahoitus 2023, €]]</f>
        <v>241079</v>
      </c>
      <c r="AC128" s="179">
        <f>IFERROR(Vertailu[[#This Row],[Perusrahoituksen muutos, €]]/Vertailu[[#This Row],[Perusrahoitus 2023, €]],0)</f>
        <v>0.108582601128889</v>
      </c>
      <c r="AD128" s="177">
        <f>IFERROR(VLOOKUP(Vertailu[[#This Row],[Y-tunnus]],'Suoritepäätös 2023 oikaistu'!$O:$Y,COLUMN('Suoritepäätös 2023 oikaistu'!D:D),FALSE),0)</f>
        <v>536454</v>
      </c>
      <c r="AE128" s="177">
        <f>IFERROR(VLOOKUP(Vertailu[[#This Row],[Y-tunnus]],'1.2 Ohjaus-laskentataulu'!A:AT,COLUMN('1.2 Ohjaus-laskentataulu'!O:O),FALSE),0)</f>
        <v>544020</v>
      </c>
      <c r="AF128" s="177">
        <f>Vertailu[[#This Row],[Suoritusrahoitus 2024, €]]-Vertailu[[#This Row],[Suoritusrahoitus 2023, €]]</f>
        <v>7566</v>
      </c>
      <c r="AG128" s="179">
        <f>IFERROR(Vertailu[[#This Row],[Suoritusrahoituksen muutos, €]]/Vertailu[[#This Row],[Suoritusrahoitus 2023, €]],0)</f>
        <v>1.4103725575725038E-2</v>
      </c>
      <c r="AH128" s="177">
        <f>IFERROR(VLOOKUP(Vertailu[[#This Row],[Y-tunnus]],'Suoritepäätös 2023 oikaistu'!$AB:$AL,COLUMN('Suoritepäätös 2023 oikaistu'!I:I),FALSE),0)</f>
        <v>280486</v>
      </c>
      <c r="AI12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276493</v>
      </c>
      <c r="AJ128" s="177">
        <f>Vertailu[[#This Row],[Vaikuttavuusrahoitus 2024, €]]-Vertailu[[#This Row],[Vaikuttavuusrahoitus 2023, €]]</f>
        <v>-3993</v>
      </c>
      <c r="AK128" s="179">
        <f>IFERROR(Vertailu[[#This Row],[Vaikuttavuusrahoituksen muutos, €]]/Vertailu[[#This Row],[Vaikuttavuusrahoitus 2023, €]],0)</f>
        <v>-1.4236004649073394E-2</v>
      </c>
    </row>
    <row r="129" spans="1:37" s="1" customFormat="1" ht="12.75" customHeight="1" x14ac:dyDescent="0.25">
      <c r="A129" s="3" t="s">
        <v>193</v>
      </c>
      <c r="B129" s="151" t="s">
        <v>116</v>
      </c>
      <c r="C129" s="151" t="s">
        <v>186</v>
      </c>
      <c r="D129" s="7" t="s">
        <v>326</v>
      </c>
      <c r="E12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0.66307424451443686</v>
      </c>
      <c r="F12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0.66833969640267044</v>
      </c>
      <c r="G12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0.22044067425933134</v>
      </c>
      <c r="H12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0.11121962933799819</v>
      </c>
      <c r="I12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8.8576377544913459E-2</v>
      </c>
      <c r="J12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2.511213085730382E-3</v>
      </c>
      <c r="K12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1.0153037092856398E-2</v>
      </c>
      <c r="L12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8.2390417378305388E-3</v>
      </c>
      <c r="M12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1.7399598766674104E-3</v>
      </c>
      <c r="N12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47062643</v>
      </c>
      <c r="O129" s="177">
        <f>IFERROR(VLOOKUP(Vertailu[[#This Row],[Y-tunnus]],'1.2 Ohjaus-laskentataulu'!A:AT,COLUMN('1.2 Ohjaus-laskentataulu'!AF:AF),FALSE),0)</f>
        <v>50378178</v>
      </c>
      <c r="P129" s="177">
        <f>IFERROR(Vertailu[[#This Row],[Rahoitus pl. hark. kor. 2024 ilman alv, €]]-Vertailu[[#This Row],[Rahoitus pl. hark. kor. 2023 ilman alv, €]],0)</f>
        <v>3315535</v>
      </c>
      <c r="Q129" s="179">
        <f>IFERROR(Vertailu[[#This Row],[Muutos, € 1]]/Vertailu[[#This Row],[Rahoitus pl. hark. kor. 2023 ilman alv, €]],0)</f>
        <v>7.0449400812444815E-2</v>
      </c>
      <c r="R129" s="182">
        <f>IFERROR(VLOOKUP(Vertailu[[#This Row],[Y-tunnus]],'Suoritepäätös 2023 oikaistu'!$AB:$AL,COLUMN('Suoritepäätös 2023 oikaistu'!J:J),FALSE),0)</f>
        <v>47175643</v>
      </c>
      <c r="S129" s="183">
        <f>IFERROR(VLOOKUP(Vertailu[[#This Row],[Y-tunnus]],'1.2 Ohjaus-laskentataulu'!A:AT,COLUMN('1.2 Ohjaus-laskentataulu'!AR:AR),FALSE),0)</f>
        <v>50644846</v>
      </c>
      <c r="T129" s="177">
        <f>IFERROR(Vertailu[[#This Row],[Rahoitus ml. hark. kor. 
2024 ilman alv, €]]-Vertailu[[#This Row],[Rahoitus ml. hark. kor. 
2023 ilman alv, €]],0)</f>
        <v>3469203</v>
      </c>
      <c r="U129" s="181">
        <f>IFERROR(Vertailu[[#This Row],[Muutos, € 2]]/Vertailu[[#This Row],[Rahoitus ml. hark. kor. 
2023 ilman alv, €]],0)</f>
        <v>7.3538011977918344E-2</v>
      </c>
      <c r="V12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47175643</v>
      </c>
      <c r="W129" s="182">
        <f>IFERROR(VLOOKUP(Vertailu[[#This Row],[Y-tunnus]],'1.2 Ohjaus-laskentataulu'!A:AT,COLUMN('1.2 Ohjaus-laskentataulu'!AT:AT),FALSE),0)</f>
        <v>50644846</v>
      </c>
      <c r="X129" s="184">
        <f>IFERROR(Vertailu[[#This Row],[Rahoitus ml. hark. kor. + alv 2024, €]]-Vertailu[[#This Row],[Rahoitus ml. hark. kor. + alv 2023, €]],0)</f>
        <v>3469203</v>
      </c>
      <c r="Y129" s="179">
        <f>IFERROR(Vertailu[[#This Row],[Muutos, € 3]]/Vertailu[[#This Row],[Rahoitus ml. hark. kor. + alv 2023, €]],0)</f>
        <v>7.3538011977918344E-2</v>
      </c>
      <c r="Z129" s="177">
        <f>IFERROR(VLOOKUP(Vertailu[[#This Row],[Y-tunnus]],'Suoritepäätös 2023 oikaistu'!$B:$N,COLUMN('Suoritepäätös 2023 oikaistu'!H:H),FALSE),0)</f>
        <v>32213827</v>
      </c>
      <c r="AA129" s="177">
        <f>IFERROR(VLOOKUP(Vertailu[[#This Row],[Y-tunnus]],'1.2 Ohjaus-laskentataulu'!A:AT,COLUMN('1.2 Ohjaus-laskentataulu'!AO:AO),FALSE),0)</f>
        <v>33847961</v>
      </c>
      <c r="AB129" s="177">
        <f>Vertailu[[#This Row],[Perusrahoitus 2024, €]]-Vertailu[[#This Row],[Perusrahoitus 2023, €]]</f>
        <v>1634134</v>
      </c>
      <c r="AC129" s="179">
        <f>IFERROR(Vertailu[[#This Row],[Perusrahoituksen muutos, €]]/Vertailu[[#This Row],[Perusrahoitus 2023, €]],0)</f>
        <v>5.0727720118444793E-2</v>
      </c>
      <c r="AD129" s="177">
        <f>IFERROR(VLOOKUP(Vertailu[[#This Row],[Y-tunnus]],'Suoritepäätös 2023 oikaistu'!$O:$Y,COLUMN('Suoritepäätös 2023 oikaistu'!D:D),FALSE),0)</f>
        <v>10173913</v>
      </c>
      <c r="AE129" s="177">
        <f>IFERROR(VLOOKUP(Vertailu[[#This Row],[Y-tunnus]],'1.2 Ohjaus-laskentataulu'!A:AT,COLUMN('1.2 Ohjaus-laskentataulu'!O:O),FALSE),0)</f>
        <v>11164184</v>
      </c>
      <c r="AF129" s="177">
        <f>Vertailu[[#This Row],[Suoritusrahoitus 2024, €]]-Vertailu[[#This Row],[Suoritusrahoitus 2023, €]]</f>
        <v>990271</v>
      </c>
      <c r="AG129" s="179">
        <f>IFERROR(Vertailu[[#This Row],[Suoritusrahoituksen muutos, €]]/Vertailu[[#This Row],[Suoritusrahoitus 2023, €]],0)</f>
        <v>9.7334329475787726E-2</v>
      </c>
      <c r="AH129" s="177">
        <f>IFERROR(VLOOKUP(Vertailu[[#This Row],[Y-tunnus]],'Suoritepäätös 2023 oikaistu'!$AB:$AL,COLUMN('Suoritepäätös 2023 oikaistu'!I:I),FALSE),0)</f>
        <v>4787903</v>
      </c>
      <c r="AI12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5632701</v>
      </c>
      <c r="AJ129" s="177">
        <f>Vertailu[[#This Row],[Vaikuttavuusrahoitus 2024, €]]-Vertailu[[#This Row],[Vaikuttavuusrahoitus 2023, €]]</f>
        <v>844798</v>
      </c>
      <c r="AK129" s="179">
        <f>IFERROR(Vertailu[[#This Row],[Vaikuttavuusrahoituksen muutos, €]]/Vertailu[[#This Row],[Vaikuttavuusrahoitus 2023, €]],0)</f>
        <v>0.17644425962681365</v>
      </c>
    </row>
    <row r="130" spans="1:37" s="1" customFormat="1" ht="12.75" customHeight="1" x14ac:dyDescent="0.25">
      <c r="A130" s="3" t="s">
        <v>192</v>
      </c>
      <c r="B130" s="151" t="s">
        <v>117</v>
      </c>
      <c r="C130" s="151" t="s">
        <v>186</v>
      </c>
      <c r="D130" s="7" t="s">
        <v>325</v>
      </c>
      <c r="E13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0.68122358993202281</v>
      </c>
      <c r="F13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0.68133535427766545</v>
      </c>
      <c r="G13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0.19765677628758652</v>
      </c>
      <c r="H13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0.12100786943474799</v>
      </c>
      <c r="I13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8.4413084083532361E-2</v>
      </c>
      <c r="J13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3.2924551411598994E-3</v>
      </c>
      <c r="K13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1.4503337620184947E-2</v>
      </c>
      <c r="L130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1.4576826504991119E-2</v>
      </c>
      <c r="M13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4.2221660848796617E-3</v>
      </c>
      <c r="N13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2478592</v>
      </c>
      <c r="O130" s="177">
        <f>IFERROR(VLOOKUP(Vertailu[[#This Row],[Y-tunnus]],'1.2 Ohjaus-laskentataulu'!A:AT,COLUMN('1.2 Ohjaus-laskentataulu'!AF:AF),FALSE),0)</f>
        <v>2612348</v>
      </c>
      <c r="P130" s="177">
        <f>IFERROR(Vertailu[[#This Row],[Rahoitus pl. hark. kor. 2024 ilman alv, €]]-Vertailu[[#This Row],[Rahoitus pl. hark. kor. 2023 ilman alv, €]],0)</f>
        <v>133756</v>
      </c>
      <c r="Q130" s="179">
        <f>IFERROR(Vertailu[[#This Row],[Muutos, € 1]]/Vertailu[[#This Row],[Rahoitus pl. hark. kor. 2023 ilman alv, €]],0)</f>
        <v>5.3964508882462299E-2</v>
      </c>
      <c r="R130" s="182">
        <f>IFERROR(VLOOKUP(Vertailu[[#This Row],[Y-tunnus]],'Suoritepäätös 2023 oikaistu'!$AB:$AL,COLUMN('Suoritepäätös 2023 oikaistu'!J:J),FALSE),0)</f>
        <v>2478592</v>
      </c>
      <c r="S130" s="183">
        <f>IFERROR(VLOOKUP(Vertailu[[#This Row],[Y-tunnus]],'1.2 Ohjaus-laskentataulu'!A:AT,COLUMN('1.2 Ohjaus-laskentataulu'!AR:AR),FALSE),0)</f>
        <v>2612640</v>
      </c>
      <c r="T130" s="177">
        <f>IFERROR(Vertailu[[#This Row],[Rahoitus ml. hark. kor. 
2024 ilman alv, €]]-Vertailu[[#This Row],[Rahoitus ml. hark. kor. 
2023 ilman alv, €]],0)</f>
        <v>134048</v>
      </c>
      <c r="U130" s="181">
        <f>IFERROR(Vertailu[[#This Row],[Muutos, € 2]]/Vertailu[[#This Row],[Rahoitus ml. hark. kor. 
2023 ilman alv, €]],0)</f>
        <v>5.4082317702953936E-2</v>
      </c>
      <c r="V13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2768127</v>
      </c>
      <c r="W130" s="182">
        <f>IFERROR(VLOOKUP(Vertailu[[#This Row],[Y-tunnus]],'1.2 Ohjaus-laskentataulu'!A:AT,COLUMN('1.2 Ohjaus-laskentataulu'!AT:AT),FALSE),0)</f>
        <v>2709240</v>
      </c>
      <c r="X130" s="184">
        <f>IFERROR(Vertailu[[#This Row],[Rahoitus ml. hark. kor. + alv 2024, €]]-Vertailu[[#This Row],[Rahoitus ml. hark. kor. + alv 2023, €]],0)</f>
        <v>-58887</v>
      </c>
      <c r="Y130" s="179">
        <f>IFERROR(Vertailu[[#This Row],[Muutos, € 3]]/Vertailu[[#This Row],[Rahoitus ml. hark. kor. + alv 2023, €]],0)</f>
        <v>-2.1273229154587198E-2</v>
      </c>
      <c r="Z130" s="177">
        <f>IFERROR(VLOOKUP(Vertailu[[#This Row],[Y-tunnus]],'Suoritepäätös 2023 oikaistu'!$B:$N,COLUMN('Suoritepäätös 2023 oikaistu'!H:H),FALSE),0)</f>
        <v>1641948</v>
      </c>
      <c r="AA130" s="177">
        <f>IFERROR(VLOOKUP(Vertailu[[#This Row],[Y-tunnus]],'1.2 Ohjaus-laskentataulu'!A:AT,COLUMN('1.2 Ohjaus-laskentataulu'!AO:AO),FALSE),0)</f>
        <v>1780084</v>
      </c>
      <c r="AB130" s="177">
        <f>Vertailu[[#This Row],[Perusrahoitus 2024, €]]-Vertailu[[#This Row],[Perusrahoitus 2023, €]]</f>
        <v>138136</v>
      </c>
      <c r="AC130" s="179">
        <f>IFERROR(Vertailu[[#This Row],[Perusrahoituksen muutos, €]]/Vertailu[[#This Row],[Perusrahoitus 2023, €]],0)</f>
        <v>8.4129339053368321E-2</v>
      </c>
      <c r="AD130" s="177">
        <f>IFERROR(VLOOKUP(Vertailu[[#This Row],[Y-tunnus]],'Suoritepäätös 2023 oikaistu'!$O:$Y,COLUMN('Suoritepäätös 2023 oikaistu'!D:D),FALSE),0)</f>
        <v>515298</v>
      </c>
      <c r="AE130" s="177">
        <f>IFERROR(VLOOKUP(Vertailu[[#This Row],[Y-tunnus]],'1.2 Ohjaus-laskentataulu'!A:AT,COLUMN('1.2 Ohjaus-laskentataulu'!O:O),FALSE),0)</f>
        <v>516406</v>
      </c>
      <c r="AF130" s="177">
        <f>Vertailu[[#This Row],[Suoritusrahoitus 2024, €]]-Vertailu[[#This Row],[Suoritusrahoitus 2023, €]]</f>
        <v>1108</v>
      </c>
      <c r="AG130" s="179">
        <f>IFERROR(Vertailu[[#This Row],[Suoritusrahoituksen muutos, €]]/Vertailu[[#This Row],[Suoritusrahoitus 2023, €]],0)</f>
        <v>2.1502121102740549E-3</v>
      </c>
      <c r="AH130" s="177">
        <f>IFERROR(VLOOKUP(Vertailu[[#This Row],[Y-tunnus]],'Suoritepäätös 2023 oikaistu'!$AB:$AL,COLUMN('Suoritepäätös 2023 oikaistu'!I:I),FALSE),0)</f>
        <v>321346</v>
      </c>
      <c r="AI13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316150</v>
      </c>
      <c r="AJ130" s="177">
        <f>Vertailu[[#This Row],[Vaikuttavuusrahoitus 2024, €]]-Vertailu[[#This Row],[Vaikuttavuusrahoitus 2023, €]]</f>
        <v>-5196</v>
      </c>
      <c r="AK130" s="179">
        <f>IFERROR(Vertailu[[#This Row],[Vaikuttavuusrahoituksen muutos, €]]/Vertailu[[#This Row],[Vaikuttavuusrahoitus 2023, €]],0)</f>
        <v>-1.6169487094907047E-2</v>
      </c>
    </row>
    <row r="131" spans="1:37" s="1" customFormat="1" ht="12.75" customHeight="1" x14ac:dyDescent="0.25">
      <c r="A131" s="3" t="s">
        <v>379</v>
      </c>
      <c r="B131" s="151" t="s">
        <v>380</v>
      </c>
      <c r="C131" s="151" t="s">
        <v>186</v>
      </c>
      <c r="D131" s="7" t="s">
        <v>325</v>
      </c>
      <c r="E131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0.56820125089066587</v>
      </c>
      <c r="F131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0.56820125089066587</v>
      </c>
      <c r="G131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0.35029952761723804</v>
      </c>
      <c r="H131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8.1499221492096166E-2</v>
      </c>
      <c r="I131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5.651175678885282E-2</v>
      </c>
      <c r="J131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2.5334494497664477E-3</v>
      </c>
      <c r="K131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1.0934077534109202E-2</v>
      </c>
      <c r="L131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8.5246615469875709E-3</v>
      </c>
      <c r="M131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2.995276172380123E-3</v>
      </c>
      <c r="N131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1419093</v>
      </c>
      <c r="O131" s="177">
        <f>IFERROR(VLOOKUP(Vertailu[[#This Row],[Y-tunnus]],'1.2 Ohjaus-laskentataulu'!A:AT,COLUMN('1.2 Ohjaus-laskentataulu'!AF:AF),FALSE),0)</f>
        <v>1515720</v>
      </c>
      <c r="P131" s="177">
        <f>IFERROR(Vertailu[[#This Row],[Rahoitus pl. hark. kor. 2024 ilman alv, €]]-Vertailu[[#This Row],[Rahoitus pl. hark. kor. 2023 ilman alv, €]],0)</f>
        <v>96627</v>
      </c>
      <c r="Q131" s="179">
        <f>IFERROR(Vertailu[[#This Row],[Muutos, € 1]]/Vertailu[[#This Row],[Rahoitus pl. hark. kor. 2023 ilman alv, €]],0)</f>
        <v>6.8090674818352279E-2</v>
      </c>
      <c r="R131" s="182">
        <f>IFERROR(VLOOKUP(Vertailu[[#This Row],[Y-tunnus]],'Suoritepäätös 2023 oikaistu'!$AB:$AL,COLUMN('Suoritepäätös 2023 oikaistu'!J:J),FALSE),0)</f>
        <v>1419093</v>
      </c>
      <c r="S131" s="183">
        <f>IFERROR(VLOOKUP(Vertailu[[#This Row],[Y-tunnus]],'1.2 Ohjaus-laskentataulu'!A:AT,COLUMN('1.2 Ohjaus-laskentataulu'!AR:AR),FALSE),0)</f>
        <v>1515720</v>
      </c>
      <c r="T131" s="177">
        <f>IFERROR(Vertailu[[#This Row],[Rahoitus ml. hark. kor. 
2024 ilman alv, €]]-Vertailu[[#This Row],[Rahoitus ml. hark. kor. 
2023 ilman alv, €]],0)</f>
        <v>96627</v>
      </c>
      <c r="U131" s="181">
        <f>IFERROR(Vertailu[[#This Row],[Muutos, € 2]]/Vertailu[[#This Row],[Rahoitus ml. hark. kor. 
2023 ilman alv, €]],0)</f>
        <v>6.8090674818352279E-2</v>
      </c>
      <c r="V131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1719444</v>
      </c>
      <c r="W131" s="182">
        <f>IFERROR(VLOOKUP(Vertailu[[#This Row],[Y-tunnus]],'1.2 Ohjaus-laskentataulu'!A:AT,COLUMN('1.2 Ohjaus-laskentataulu'!AT:AT),FALSE),0)</f>
        <v>1600650</v>
      </c>
      <c r="X131" s="184">
        <f>IFERROR(Vertailu[[#This Row],[Rahoitus ml. hark. kor. + alv 2024, €]]-Vertailu[[#This Row],[Rahoitus ml. hark. kor. + alv 2023, €]],0)</f>
        <v>-118794</v>
      </c>
      <c r="Y131" s="179">
        <f>IFERROR(Vertailu[[#This Row],[Muutos, € 3]]/Vertailu[[#This Row],[Rahoitus ml. hark. kor. + alv 2023, €]],0)</f>
        <v>-6.9088612365392529E-2</v>
      </c>
      <c r="Z131" s="177">
        <f>IFERROR(VLOOKUP(Vertailu[[#This Row],[Y-tunnus]],'Suoritepäätös 2023 oikaistu'!$B:$N,COLUMN('Suoritepäätös 2023 oikaistu'!H:H),FALSE),0)</f>
        <v>857036</v>
      </c>
      <c r="AA131" s="177">
        <f>IFERROR(VLOOKUP(Vertailu[[#This Row],[Y-tunnus]],'1.2 Ohjaus-laskentataulu'!A:AT,COLUMN('1.2 Ohjaus-laskentataulu'!AO:AO),FALSE),0)</f>
        <v>861234</v>
      </c>
      <c r="AB131" s="177">
        <f>Vertailu[[#This Row],[Perusrahoitus 2024, €]]-Vertailu[[#This Row],[Perusrahoitus 2023, €]]</f>
        <v>4198</v>
      </c>
      <c r="AC131" s="179">
        <f>IFERROR(Vertailu[[#This Row],[Perusrahoituksen muutos, €]]/Vertailu[[#This Row],[Perusrahoitus 2023, €]],0)</f>
        <v>4.8982773185723824E-3</v>
      </c>
      <c r="AD131" s="177">
        <f>IFERROR(VLOOKUP(Vertailu[[#This Row],[Y-tunnus]],'Suoritepäätös 2023 oikaistu'!$O:$Y,COLUMN('Suoritepäätös 2023 oikaistu'!D:D),FALSE),0)</f>
        <v>433407</v>
      </c>
      <c r="AE131" s="177">
        <f>IFERROR(VLOOKUP(Vertailu[[#This Row],[Y-tunnus]],'1.2 Ohjaus-laskentataulu'!A:AT,COLUMN('1.2 Ohjaus-laskentataulu'!O:O),FALSE),0)</f>
        <v>530956</v>
      </c>
      <c r="AF131" s="177">
        <f>Vertailu[[#This Row],[Suoritusrahoitus 2024, €]]-Vertailu[[#This Row],[Suoritusrahoitus 2023, €]]</f>
        <v>97549</v>
      </c>
      <c r="AG131" s="179">
        <f>IFERROR(Vertailu[[#This Row],[Suoritusrahoituksen muutos, €]]/Vertailu[[#This Row],[Suoritusrahoitus 2023, €]],0)</f>
        <v>0.22507481420466213</v>
      </c>
      <c r="AH131" s="177">
        <f>IFERROR(VLOOKUP(Vertailu[[#This Row],[Y-tunnus]],'Suoritepäätös 2023 oikaistu'!$AB:$AL,COLUMN('Suoritepäätös 2023 oikaistu'!I:I),FALSE),0)</f>
        <v>128650</v>
      </c>
      <c r="AI131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123530</v>
      </c>
      <c r="AJ131" s="177">
        <f>Vertailu[[#This Row],[Vaikuttavuusrahoitus 2024, €]]-Vertailu[[#This Row],[Vaikuttavuusrahoitus 2023, €]]</f>
        <v>-5120</v>
      </c>
      <c r="AK131" s="179">
        <f>IFERROR(Vertailu[[#This Row],[Vaikuttavuusrahoituksen muutos, €]]/Vertailu[[#This Row],[Vaikuttavuusrahoitus 2023, €]],0)</f>
        <v>-3.979790128254955E-2</v>
      </c>
    </row>
    <row r="132" spans="1:37" s="1" customFormat="1" ht="12.75" customHeight="1" x14ac:dyDescent="0.25">
      <c r="A132" s="3" t="s">
        <v>251</v>
      </c>
      <c r="B132" s="151" t="s">
        <v>131</v>
      </c>
      <c r="C132" s="151" t="s">
        <v>186</v>
      </c>
      <c r="D132" s="7" t="s">
        <v>325</v>
      </c>
      <c r="E132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0.54982536910620738</v>
      </c>
      <c r="F132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0.54982536910620738</v>
      </c>
      <c r="G132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0.24857913954595967</v>
      </c>
      <c r="H132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0.201595491347833</v>
      </c>
      <c r="I132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0.17647245594538816</v>
      </c>
      <c r="J132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4.0919193522781392E-3</v>
      </c>
      <c r="K132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2.1031116050166693E-2</v>
      </c>
      <c r="L132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0</v>
      </c>
      <c r="M132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0</v>
      </c>
      <c r="N132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266700</v>
      </c>
      <c r="O132" s="177">
        <f>IFERROR(VLOOKUP(Vertailu[[#This Row],[Y-tunnus]],'1.2 Ohjaus-laskentataulu'!A:AT,COLUMN('1.2 Ohjaus-laskentataulu'!AF:AF),FALSE),0)</f>
        <v>251960</v>
      </c>
      <c r="P132" s="177">
        <f>IFERROR(Vertailu[[#This Row],[Rahoitus pl. hark. kor. 2024 ilman alv, €]]-Vertailu[[#This Row],[Rahoitus pl. hark. kor. 2023 ilman alv, €]],0)</f>
        <v>-14740</v>
      </c>
      <c r="Q132" s="179">
        <f>IFERROR(Vertailu[[#This Row],[Muutos, € 1]]/Vertailu[[#This Row],[Rahoitus pl. hark. kor. 2023 ilman alv, €]],0)</f>
        <v>-5.5268091488563931E-2</v>
      </c>
      <c r="R132" s="182">
        <f>IFERROR(VLOOKUP(Vertailu[[#This Row],[Y-tunnus]],'Suoritepäätös 2023 oikaistu'!$AB:$AL,COLUMN('Suoritepäätös 2023 oikaistu'!J:J),FALSE),0)</f>
        <v>266700</v>
      </c>
      <c r="S132" s="183">
        <f>IFERROR(VLOOKUP(Vertailu[[#This Row],[Y-tunnus]],'1.2 Ohjaus-laskentataulu'!A:AT,COLUMN('1.2 Ohjaus-laskentataulu'!AR:AR),FALSE),0)</f>
        <v>251960</v>
      </c>
      <c r="T132" s="177">
        <f>IFERROR(Vertailu[[#This Row],[Rahoitus ml. hark. kor. 
2024 ilman alv, €]]-Vertailu[[#This Row],[Rahoitus ml. hark. kor. 
2023 ilman alv, €]],0)</f>
        <v>-14740</v>
      </c>
      <c r="U132" s="181">
        <f>IFERROR(Vertailu[[#This Row],[Muutos, € 2]]/Vertailu[[#This Row],[Rahoitus ml. hark. kor. 
2023 ilman alv, €]],0)</f>
        <v>-5.5268091488563931E-2</v>
      </c>
      <c r="V132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278162</v>
      </c>
      <c r="W132" s="182">
        <f>IFERROR(VLOOKUP(Vertailu[[#This Row],[Y-tunnus]],'1.2 Ohjaus-laskentataulu'!A:AT,COLUMN('1.2 Ohjaus-laskentataulu'!AT:AT),FALSE),0)</f>
        <v>264486</v>
      </c>
      <c r="X132" s="184">
        <f>IFERROR(Vertailu[[#This Row],[Rahoitus ml. hark. kor. + alv 2024, €]]-Vertailu[[#This Row],[Rahoitus ml. hark. kor. + alv 2023, €]],0)</f>
        <v>-13676</v>
      </c>
      <c r="Y132" s="179">
        <f>IFERROR(Vertailu[[#This Row],[Muutos, € 3]]/Vertailu[[#This Row],[Rahoitus ml. hark. kor. + alv 2023, €]],0)</f>
        <v>-4.9165594150171479E-2</v>
      </c>
      <c r="Z132" s="177">
        <f>IFERROR(VLOOKUP(Vertailu[[#This Row],[Y-tunnus]],'Suoritepäätös 2023 oikaistu'!$B:$N,COLUMN('Suoritepäätös 2023 oikaistu'!H:H),FALSE),0)</f>
        <v>131902</v>
      </c>
      <c r="AA132" s="177">
        <f>IFERROR(VLOOKUP(Vertailu[[#This Row],[Y-tunnus]],'1.2 Ohjaus-laskentataulu'!A:AT,COLUMN('1.2 Ohjaus-laskentataulu'!AO:AO),FALSE),0)</f>
        <v>138534</v>
      </c>
      <c r="AB132" s="177">
        <f>Vertailu[[#This Row],[Perusrahoitus 2024, €]]-Vertailu[[#This Row],[Perusrahoitus 2023, €]]</f>
        <v>6632</v>
      </c>
      <c r="AC132" s="179">
        <f>IFERROR(Vertailu[[#This Row],[Perusrahoituksen muutos, €]]/Vertailu[[#This Row],[Perusrahoitus 2023, €]],0)</f>
        <v>5.0279753150065956E-2</v>
      </c>
      <c r="AD132" s="177">
        <f>IFERROR(VLOOKUP(Vertailu[[#This Row],[Y-tunnus]],'Suoritepäätös 2023 oikaistu'!$O:$Y,COLUMN('Suoritepäätös 2023 oikaistu'!D:D),FALSE),0)</f>
        <v>62022</v>
      </c>
      <c r="AE132" s="177">
        <f>IFERROR(VLOOKUP(Vertailu[[#This Row],[Y-tunnus]],'1.2 Ohjaus-laskentataulu'!A:AT,COLUMN('1.2 Ohjaus-laskentataulu'!O:O),FALSE),0)</f>
        <v>62632</v>
      </c>
      <c r="AF132" s="177">
        <f>Vertailu[[#This Row],[Suoritusrahoitus 2024, €]]-Vertailu[[#This Row],[Suoritusrahoitus 2023, €]]</f>
        <v>610</v>
      </c>
      <c r="AG132" s="179">
        <f>IFERROR(Vertailu[[#This Row],[Suoritusrahoituksen muutos, €]]/Vertailu[[#This Row],[Suoritusrahoitus 2023, €]],0)</f>
        <v>9.8352197607300632E-3</v>
      </c>
      <c r="AH132" s="177">
        <f>IFERROR(VLOOKUP(Vertailu[[#This Row],[Y-tunnus]],'Suoritepäätös 2023 oikaistu'!$AB:$AL,COLUMN('Suoritepäätös 2023 oikaistu'!I:I),FALSE),0)</f>
        <v>72776</v>
      </c>
      <c r="AI132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50794</v>
      </c>
      <c r="AJ132" s="177">
        <f>Vertailu[[#This Row],[Vaikuttavuusrahoitus 2024, €]]-Vertailu[[#This Row],[Vaikuttavuusrahoitus 2023, €]]</f>
        <v>-21982</v>
      </c>
      <c r="AK132" s="179">
        <f>IFERROR(Vertailu[[#This Row],[Vaikuttavuusrahoituksen muutos, €]]/Vertailu[[#This Row],[Vaikuttavuusrahoitus 2023, €]],0)</f>
        <v>-0.30205012641530177</v>
      </c>
    </row>
    <row r="133" spans="1:37" s="1" customFormat="1" ht="12.75" customHeight="1" x14ac:dyDescent="0.25">
      <c r="A133" s="3" t="s">
        <v>191</v>
      </c>
      <c r="B133" s="151" t="s">
        <v>118</v>
      </c>
      <c r="C133" s="151" t="s">
        <v>173</v>
      </c>
      <c r="D133" s="7" t="s">
        <v>325</v>
      </c>
      <c r="E133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0.65513225936555197</v>
      </c>
      <c r="F133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0.66580353655488145</v>
      </c>
      <c r="G133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0.23744975786763672</v>
      </c>
      <c r="H133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9.6746705577481801E-2</v>
      </c>
      <c r="I133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6.3822396283545843E-2</v>
      </c>
      <c r="J133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6.4556717492576052E-3</v>
      </c>
      <c r="K133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1.2806078445986325E-2</v>
      </c>
      <c r="L133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1.0006287962427914E-2</v>
      </c>
      <c r="M133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3.6562711362641159E-3</v>
      </c>
      <c r="N133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14971025</v>
      </c>
      <c r="O133" s="177">
        <f>IFERROR(VLOOKUP(Vertailu[[#This Row],[Y-tunnus]],'1.2 Ohjaus-laskentataulu'!A:AT,COLUMN('1.2 Ohjaus-laskentataulu'!AF:AF),FALSE),0)</f>
        <v>15225495</v>
      </c>
      <c r="P133" s="177">
        <f>IFERROR(Vertailu[[#This Row],[Rahoitus pl. hark. kor. 2024 ilman alv, €]]-Vertailu[[#This Row],[Rahoitus pl. hark. kor. 2023 ilman alv, €]],0)</f>
        <v>254470</v>
      </c>
      <c r="Q133" s="179">
        <f>IFERROR(Vertailu[[#This Row],[Muutos, € 1]]/Vertailu[[#This Row],[Rahoitus pl. hark. kor. 2023 ilman alv, €]],0)</f>
        <v>1.6997500171163964E-2</v>
      </c>
      <c r="R133" s="182">
        <f>IFERROR(VLOOKUP(Vertailu[[#This Row],[Y-tunnus]],'Suoritepäätös 2023 oikaistu'!$AB:$AL,COLUMN('Suoritepäätös 2023 oikaistu'!J:J),FALSE),0)</f>
        <v>15115025</v>
      </c>
      <c r="S133" s="183">
        <f>IFERROR(VLOOKUP(Vertailu[[#This Row],[Y-tunnus]],'1.2 Ohjaus-laskentataulu'!A:AT,COLUMN('1.2 Ohjaus-laskentataulu'!AR:AR),FALSE),0)</f>
        <v>15389723</v>
      </c>
      <c r="T133" s="177">
        <f>IFERROR(Vertailu[[#This Row],[Rahoitus ml. hark. kor. 
2024 ilman alv, €]]-Vertailu[[#This Row],[Rahoitus ml. hark. kor. 
2023 ilman alv, €]],0)</f>
        <v>274698</v>
      </c>
      <c r="U133" s="181">
        <f>IFERROR(Vertailu[[#This Row],[Muutos, € 2]]/Vertailu[[#This Row],[Rahoitus ml. hark. kor. 
2023 ilman alv, €]],0)</f>
        <v>1.8173836960243203E-2</v>
      </c>
      <c r="V133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16215810</v>
      </c>
      <c r="W133" s="182">
        <f>IFERROR(VLOOKUP(Vertailu[[#This Row],[Y-tunnus]],'1.2 Ohjaus-laskentataulu'!A:AT,COLUMN('1.2 Ohjaus-laskentataulu'!AT:AT),FALSE),0)</f>
        <v>16483436</v>
      </c>
      <c r="X133" s="184">
        <f>IFERROR(Vertailu[[#This Row],[Rahoitus ml. hark. kor. + alv 2024, €]]-Vertailu[[#This Row],[Rahoitus ml. hark. kor. + alv 2023, €]],0)</f>
        <v>267626</v>
      </c>
      <c r="Y133" s="179">
        <f>IFERROR(Vertailu[[#This Row],[Muutos, € 3]]/Vertailu[[#This Row],[Rahoitus ml. hark. kor. + alv 2023, €]],0)</f>
        <v>1.6504016758953147E-2</v>
      </c>
      <c r="Z133" s="177">
        <f>IFERROR(VLOOKUP(Vertailu[[#This Row],[Y-tunnus]],'Suoritepäätös 2023 oikaistu'!$B:$N,COLUMN('Suoritepäätös 2023 oikaistu'!H:H),FALSE),0)</f>
        <v>9445988</v>
      </c>
      <c r="AA133" s="177">
        <f>IFERROR(VLOOKUP(Vertailu[[#This Row],[Y-tunnus]],'1.2 Ohjaus-laskentataulu'!A:AT,COLUMN('1.2 Ohjaus-laskentataulu'!AO:AO),FALSE),0)</f>
        <v>10246532</v>
      </c>
      <c r="AB133" s="177">
        <f>Vertailu[[#This Row],[Perusrahoitus 2024, €]]-Vertailu[[#This Row],[Perusrahoitus 2023, €]]</f>
        <v>800544</v>
      </c>
      <c r="AC133" s="179">
        <f>IFERROR(Vertailu[[#This Row],[Perusrahoituksen muutos, €]]/Vertailu[[#This Row],[Perusrahoitus 2023, €]],0)</f>
        <v>8.4749631272027864E-2</v>
      </c>
      <c r="AD133" s="177">
        <f>IFERROR(VLOOKUP(Vertailu[[#This Row],[Y-tunnus]],'Suoritepäätös 2023 oikaistu'!$O:$Y,COLUMN('Suoritepäätös 2023 oikaistu'!D:D),FALSE),0)</f>
        <v>3848004</v>
      </c>
      <c r="AE133" s="177">
        <f>IFERROR(VLOOKUP(Vertailu[[#This Row],[Y-tunnus]],'1.2 Ohjaus-laskentataulu'!A:AT,COLUMN('1.2 Ohjaus-laskentataulu'!O:O),FALSE),0)</f>
        <v>3654286</v>
      </c>
      <c r="AF133" s="177">
        <f>Vertailu[[#This Row],[Suoritusrahoitus 2024, €]]-Vertailu[[#This Row],[Suoritusrahoitus 2023, €]]</f>
        <v>-193718</v>
      </c>
      <c r="AG133" s="179">
        <f>IFERROR(Vertailu[[#This Row],[Suoritusrahoituksen muutos, €]]/Vertailu[[#This Row],[Suoritusrahoitus 2023, €]],0)</f>
        <v>-5.0342463261472702E-2</v>
      </c>
      <c r="AH133" s="177">
        <f>IFERROR(VLOOKUP(Vertailu[[#This Row],[Y-tunnus]],'Suoritepäätös 2023 oikaistu'!$AB:$AL,COLUMN('Suoritepäätös 2023 oikaistu'!I:I),FALSE),0)</f>
        <v>1821033</v>
      </c>
      <c r="AI133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1488905</v>
      </c>
      <c r="AJ133" s="177">
        <f>Vertailu[[#This Row],[Vaikuttavuusrahoitus 2024, €]]-Vertailu[[#This Row],[Vaikuttavuusrahoitus 2023, €]]</f>
        <v>-332128</v>
      </c>
      <c r="AK133" s="179">
        <f>IFERROR(Vertailu[[#This Row],[Vaikuttavuusrahoituksen muutos, €]]/Vertailu[[#This Row],[Vaikuttavuusrahoitus 2023, €]],0)</f>
        <v>-0.18238439391268582</v>
      </c>
    </row>
    <row r="134" spans="1:37" s="1" customFormat="1" ht="12.75" customHeight="1" x14ac:dyDescent="0.25">
      <c r="A134" s="3" t="s">
        <v>190</v>
      </c>
      <c r="B134" s="151" t="s">
        <v>119</v>
      </c>
      <c r="C134" s="151" t="s">
        <v>179</v>
      </c>
      <c r="D134" s="7" t="s">
        <v>326</v>
      </c>
      <c r="E134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0.69158836600355245</v>
      </c>
      <c r="F134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0.69386435773709876</v>
      </c>
      <c r="G134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0.20418172420097913</v>
      </c>
      <c r="H134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0.10195391806192208</v>
      </c>
      <c r="I134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7.5692954651424255E-2</v>
      </c>
      <c r="J134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2.9627348156917714E-3</v>
      </c>
      <c r="K134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8.9140009254069039E-3</v>
      </c>
      <c r="L134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1.1623856018979082E-2</v>
      </c>
      <c r="M134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2.7603716504200817E-3</v>
      </c>
      <c r="N134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26070070</v>
      </c>
      <c r="O134" s="177">
        <f>IFERROR(VLOOKUP(Vertailu[[#This Row],[Y-tunnus]],'1.2 Ohjaus-laskentataulu'!A:AT,COLUMN('1.2 Ohjaus-laskentataulu'!AF:AF),FALSE),0)</f>
        <v>26880343</v>
      </c>
      <c r="P134" s="177">
        <f>IFERROR(Vertailu[[#This Row],[Rahoitus pl. hark. kor. 2024 ilman alv, €]]-Vertailu[[#This Row],[Rahoitus pl. hark. kor. 2023 ilman alv, €]],0)</f>
        <v>810273</v>
      </c>
      <c r="Q134" s="179">
        <f>IFERROR(Vertailu[[#This Row],[Muutos, € 1]]/Vertailu[[#This Row],[Rahoitus pl. hark. kor. 2023 ilman alv, €]],0)</f>
        <v>3.1080583980020001E-2</v>
      </c>
      <c r="R134" s="182">
        <f>IFERROR(VLOOKUP(Vertailu[[#This Row],[Y-tunnus]],'Suoritepäätös 2023 oikaistu'!$AB:$AL,COLUMN('Suoritepäätös 2023 oikaistu'!J:J),FALSE),0)</f>
        <v>26117070</v>
      </c>
      <c r="S134" s="183">
        <f>IFERROR(VLOOKUP(Vertailu[[#This Row],[Y-tunnus]],'1.2 Ohjaus-laskentataulu'!A:AT,COLUMN('1.2 Ohjaus-laskentataulu'!AR:AR),FALSE),0)</f>
        <v>26941662</v>
      </c>
      <c r="T134" s="177">
        <f>IFERROR(Vertailu[[#This Row],[Rahoitus ml. hark. kor. 
2024 ilman alv, €]]-Vertailu[[#This Row],[Rahoitus ml. hark. kor. 
2023 ilman alv, €]],0)</f>
        <v>824592</v>
      </c>
      <c r="U134" s="181">
        <f>IFERROR(Vertailu[[#This Row],[Muutos, € 2]]/Vertailu[[#This Row],[Rahoitus ml. hark. kor. 
2023 ilman alv, €]],0)</f>
        <v>3.1572913806946948E-2</v>
      </c>
      <c r="V134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26117070</v>
      </c>
      <c r="W134" s="182">
        <f>IFERROR(VLOOKUP(Vertailu[[#This Row],[Y-tunnus]],'1.2 Ohjaus-laskentataulu'!A:AT,COLUMN('1.2 Ohjaus-laskentataulu'!AT:AT),FALSE),0)</f>
        <v>26941662</v>
      </c>
      <c r="X134" s="184">
        <f>IFERROR(Vertailu[[#This Row],[Rahoitus ml. hark. kor. + alv 2024, €]]-Vertailu[[#This Row],[Rahoitus ml. hark. kor. + alv 2023, €]],0)</f>
        <v>824592</v>
      </c>
      <c r="Y134" s="179">
        <f>IFERROR(Vertailu[[#This Row],[Muutos, € 3]]/Vertailu[[#This Row],[Rahoitus ml. hark. kor. + alv 2023, €]],0)</f>
        <v>3.1572913806946948E-2</v>
      </c>
      <c r="Z134" s="177">
        <f>IFERROR(VLOOKUP(Vertailu[[#This Row],[Y-tunnus]],'Suoritepäätös 2023 oikaistu'!$B:$N,COLUMN('Suoritepäätös 2023 oikaistu'!H:H),FALSE),0)</f>
        <v>17868014</v>
      </c>
      <c r="AA134" s="177">
        <f>IFERROR(VLOOKUP(Vertailu[[#This Row],[Y-tunnus]],'1.2 Ohjaus-laskentataulu'!A:AT,COLUMN('1.2 Ohjaus-laskentataulu'!AO:AO),FALSE),0)</f>
        <v>18693859</v>
      </c>
      <c r="AB134" s="177">
        <f>Vertailu[[#This Row],[Perusrahoitus 2024, €]]-Vertailu[[#This Row],[Perusrahoitus 2023, €]]</f>
        <v>825845</v>
      </c>
      <c r="AC134" s="179">
        <f>IFERROR(Vertailu[[#This Row],[Perusrahoituksen muutos, €]]/Vertailu[[#This Row],[Perusrahoitus 2023, €]],0)</f>
        <v>4.621918250120019E-2</v>
      </c>
      <c r="AD134" s="177">
        <f>IFERROR(VLOOKUP(Vertailu[[#This Row],[Y-tunnus]],'Suoritepäätös 2023 oikaistu'!$O:$Y,COLUMN('Suoritepäätös 2023 oikaistu'!D:D),FALSE),0)</f>
        <v>5703789</v>
      </c>
      <c r="AE134" s="177">
        <f>IFERROR(VLOOKUP(Vertailu[[#This Row],[Y-tunnus]],'1.2 Ohjaus-laskentataulu'!A:AT,COLUMN('1.2 Ohjaus-laskentataulu'!O:O),FALSE),0)</f>
        <v>5500995</v>
      </c>
      <c r="AF134" s="177">
        <f>Vertailu[[#This Row],[Suoritusrahoitus 2024, €]]-Vertailu[[#This Row],[Suoritusrahoitus 2023, €]]</f>
        <v>-202794</v>
      </c>
      <c r="AG134" s="179">
        <f>IFERROR(Vertailu[[#This Row],[Suoritusrahoituksen muutos, €]]/Vertailu[[#This Row],[Suoritusrahoitus 2023, €]],0)</f>
        <v>-3.5554260509987307E-2</v>
      </c>
      <c r="AH134" s="177">
        <f>IFERROR(VLOOKUP(Vertailu[[#This Row],[Y-tunnus]],'Suoritepäätös 2023 oikaistu'!$AB:$AL,COLUMN('Suoritepäätös 2023 oikaistu'!I:I),FALSE),0)</f>
        <v>2545267</v>
      </c>
      <c r="AI134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2746808</v>
      </c>
      <c r="AJ134" s="177">
        <f>Vertailu[[#This Row],[Vaikuttavuusrahoitus 2024, €]]-Vertailu[[#This Row],[Vaikuttavuusrahoitus 2023, €]]</f>
        <v>201541</v>
      </c>
      <c r="AK134" s="179">
        <f>IFERROR(Vertailu[[#This Row],[Vaikuttavuusrahoituksen muutos, €]]/Vertailu[[#This Row],[Vaikuttavuusrahoitus 2023, €]],0)</f>
        <v>7.9182655493510112E-2</v>
      </c>
    </row>
    <row r="135" spans="1:37" s="1" customFormat="1" ht="12.75" customHeight="1" x14ac:dyDescent="0.25">
      <c r="A135" s="3" t="s">
        <v>189</v>
      </c>
      <c r="B135" s="151" t="s">
        <v>120</v>
      </c>
      <c r="C135" s="151" t="s">
        <v>182</v>
      </c>
      <c r="D135" s="7" t="s">
        <v>324</v>
      </c>
      <c r="E135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0.68219321979499747</v>
      </c>
      <c r="F135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0.68903402365930932</v>
      </c>
      <c r="G135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0.20138575003486317</v>
      </c>
      <c r="H135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0.10958022630582751</v>
      </c>
      <c r="I135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7.7042106310620764E-2</v>
      </c>
      <c r="J135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4.7335962612657118E-3</v>
      </c>
      <c r="K135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1.2589461719529056E-2</v>
      </c>
      <c r="L135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1.2197907928973019E-2</v>
      </c>
      <c r="M135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3.0171540854389643E-3</v>
      </c>
      <c r="N135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10724619</v>
      </c>
      <c r="O135" s="177">
        <f>IFERROR(VLOOKUP(Vertailu[[#This Row],[Y-tunnus]],'1.2 Ohjaus-laskentataulu'!A:AT,COLUMN('1.2 Ohjaus-laskentataulu'!AF:AF),FALSE),0)</f>
        <v>11337961</v>
      </c>
      <c r="P135" s="177">
        <f>IFERROR(Vertailu[[#This Row],[Rahoitus pl. hark. kor. 2024 ilman alv, €]]-Vertailu[[#This Row],[Rahoitus pl. hark. kor. 2023 ilman alv, €]],0)</f>
        <v>613342</v>
      </c>
      <c r="Q135" s="179">
        <f>IFERROR(Vertailu[[#This Row],[Muutos, € 1]]/Vertailu[[#This Row],[Rahoitus pl. hark. kor. 2023 ilman alv, €]],0)</f>
        <v>5.7190096916263415E-2</v>
      </c>
      <c r="R135" s="182">
        <f>IFERROR(VLOOKUP(Vertailu[[#This Row],[Y-tunnus]],'Suoritepäätös 2023 oikaistu'!$AB:$AL,COLUMN('Suoritepäätös 2023 oikaistu'!J:J),FALSE),0)</f>
        <v>10739619</v>
      </c>
      <c r="S135" s="183">
        <f>IFERROR(VLOOKUP(Vertailu[[#This Row],[Y-tunnus]],'1.2 Ohjaus-laskentataulu'!A:AT,COLUMN('1.2 Ohjaus-laskentataulu'!AR:AR),FALSE),0)</f>
        <v>11416056</v>
      </c>
      <c r="T135" s="177">
        <f>IFERROR(Vertailu[[#This Row],[Rahoitus ml. hark. kor. 
2024 ilman alv, €]]-Vertailu[[#This Row],[Rahoitus ml. hark. kor. 
2023 ilman alv, €]],0)</f>
        <v>676437</v>
      </c>
      <c r="U135" s="181">
        <f>IFERROR(Vertailu[[#This Row],[Muutos, € 2]]/Vertailu[[#This Row],[Rahoitus ml. hark. kor. 
2023 ilman alv, €]],0)</f>
        <v>6.2985195284860671E-2</v>
      </c>
      <c r="V135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10739619</v>
      </c>
      <c r="W135" s="182">
        <f>IFERROR(VLOOKUP(Vertailu[[#This Row],[Y-tunnus]],'1.2 Ohjaus-laskentataulu'!A:AT,COLUMN('1.2 Ohjaus-laskentataulu'!AT:AT),FALSE),0)</f>
        <v>11416056</v>
      </c>
      <c r="X135" s="184">
        <f>IFERROR(Vertailu[[#This Row],[Rahoitus ml. hark. kor. + alv 2024, €]]-Vertailu[[#This Row],[Rahoitus ml. hark. kor. + alv 2023, €]],0)</f>
        <v>676437</v>
      </c>
      <c r="Y135" s="179">
        <f>IFERROR(Vertailu[[#This Row],[Muutos, € 3]]/Vertailu[[#This Row],[Rahoitus ml. hark. kor. + alv 2023, €]],0)</f>
        <v>6.2985195284860671E-2</v>
      </c>
      <c r="Z135" s="177">
        <f>IFERROR(VLOOKUP(Vertailu[[#This Row],[Y-tunnus]],'Suoritepäätös 2023 oikaistu'!$B:$N,COLUMN('Suoritepäätös 2023 oikaistu'!H:H),FALSE),0)</f>
        <v>7327418</v>
      </c>
      <c r="AA135" s="177">
        <f>IFERROR(VLOOKUP(Vertailu[[#This Row],[Y-tunnus]],'1.2 Ohjaus-laskentataulu'!A:AT,COLUMN('1.2 Ohjaus-laskentataulu'!AO:AO),FALSE),0)</f>
        <v>7866051</v>
      </c>
      <c r="AB135" s="177">
        <f>Vertailu[[#This Row],[Perusrahoitus 2024, €]]-Vertailu[[#This Row],[Perusrahoitus 2023, €]]</f>
        <v>538633</v>
      </c>
      <c r="AC135" s="179">
        <f>IFERROR(Vertailu[[#This Row],[Perusrahoituksen muutos, €]]/Vertailu[[#This Row],[Perusrahoitus 2023, €]],0)</f>
        <v>7.3509249779390232E-2</v>
      </c>
      <c r="AD135" s="177">
        <f>IFERROR(VLOOKUP(Vertailu[[#This Row],[Y-tunnus]],'Suoritepäätös 2023 oikaistu'!$O:$Y,COLUMN('Suoritepäätös 2023 oikaistu'!D:D),FALSE),0)</f>
        <v>2176916</v>
      </c>
      <c r="AE135" s="177">
        <f>IFERROR(VLOOKUP(Vertailu[[#This Row],[Y-tunnus]],'1.2 Ohjaus-laskentataulu'!A:AT,COLUMN('1.2 Ohjaus-laskentataulu'!O:O),FALSE),0)</f>
        <v>2299031</v>
      </c>
      <c r="AF135" s="177">
        <f>Vertailu[[#This Row],[Suoritusrahoitus 2024, €]]-Vertailu[[#This Row],[Suoritusrahoitus 2023, €]]</f>
        <v>122115</v>
      </c>
      <c r="AG135" s="179">
        <f>IFERROR(Vertailu[[#This Row],[Suoritusrahoituksen muutos, €]]/Vertailu[[#This Row],[Suoritusrahoitus 2023, €]],0)</f>
        <v>5.6095412041622182E-2</v>
      </c>
      <c r="AH135" s="177">
        <f>IFERROR(VLOOKUP(Vertailu[[#This Row],[Y-tunnus]],'Suoritepäätös 2023 oikaistu'!$AB:$AL,COLUMN('Suoritepäätös 2023 oikaistu'!I:I),FALSE),0)</f>
        <v>1235285</v>
      </c>
      <c r="AI135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1250974</v>
      </c>
      <c r="AJ135" s="177">
        <f>Vertailu[[#This Row],[Vaikuttavuusrahoitus 2024, €]]-Vertailu[[#This Row],[Vaikuttavuusrahoitus 2023, €]]</f>
        <v>15689</v>
      </c>
      <c r="AK135" s="179">
        <f>IFERROR(Vertailu[[#This Row],[Vaikuttavuusrahoituksen muutos, €]]/Vertailu[[#This Row],[Vaikuttavuusrahoitus 2023, €]],0)</f>
        <v>1.2700712790975363E-2</v>
      </c>
    </row>
    <row r="136" spans="1:37" s="1" customFormat="1" ht="12.75" customHeight="1" x14ac:dyDescent="0.25">
      <c r="A136" s="3" t="s">
        <v>188</v>
      </c>
      <c r="B136" s="151" t="s">
        <v>121</v>
      </c>
      <c r="C136" s="151" t="s">
        <v>187</v>
      </c>
      <c r="D136" s="7" t="s">
        <v>325</v>
      </c>
      <c r="E136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0.57459304793067101</v>
      </c>
      <c r="F136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0.57459304793067101</v>
      </c>
      <c r="G136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0.23501225305641882</v>
      </c>
      <c r="H136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0.1903946990129102</v>
      </c>
      <c r="I136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0.12418712265377928</v>
      </c>
      <c r="J136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7.9131470503675909E-3</v>
      </c>
      <c r="K136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3.6505893788590281E-2</v>
      </c>
      <c r="L136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1.7044754459701821E-2</v>
      </c>
      <c r="M136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4.7437810604712295E-3</v>
      </c>
      <c r="N136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150177</v>
      </c>
      <c r="O136" s="177">
        <f>IFERROR(VLOOKUP(Vertailu[[#This Row],[Y-tunnus]],'1.2 Ohjaus-laskentataulu'!A:AT,COLUMN('1.2 Ohjaus-laskentataulu'!AF:AF),FALSE),0)</f>
        <v>146086</v>
      </c>
      <c r="P136" s="177">
        <f>IFERROR(Vertailu[[#This Row],[Rahoitus pl. hark. kor. 2024 ilman alv, €]]-Vertailu[[#This Row],[Rahoitus pl. hark. kor. 2023 ilman alv, €]],0)</f>
        <v>-4091</v>
      </c>
      <c r="Q136" s="179">
        <f>IFERROR(Vertailu[[#This Row],[Muutos, € 1]]/Vertailu[[#This Row],[Rahoitus pl. hark. kor. 2023 ilman alv, €]],0)</f>
        <v>-2.7241188730631187E-2</v>
      </c>
      <c r="R136" s="182">
        <f>IFERROR(VLOOKUP(Vertailu[[#This Row],[Y-tunnus]],'Suoritepäätös 2023 oikaistu'!$AB:$AL,COLUMN('Suoritepäätös 2023 oikaistu'!J:J),FALSE),0)</f>
        <v>150177</v>
      </c>
      <c r="S136" s="183">
        <f>IFERROR(VLOOKUP(Vertailu[[#This Row],[Y-tunnus]],'1.2 Ohjaus-laskentataulu'!A:AT,COLUMN('1.2 Ohjaus-laskentataulu'!AR:AR),FALSE),0)</f>
        <v>146086</v>
      </c>
      <c r="T136" s="177">
        <f>IFERROR(Vertailu[[#This Row],[Rahoitus ml. hark. kor. 
2024 ilman alv, €]]-Vertailu[[#This Row],[Rahoitus ml. hark. kor. 
2023 ilman alv, €]],0)</f>
        <v>-4091</v>
      </c>
      <c r="U136" s="181">
        <f>IFERROR(Vertailu[[#This Row],[Muutos, € 2]]/Vertailu[[#This Row],[Rahoitus ml. hark. kor. 
2023 ilman alv, €]],0)</f>
        <v>-2.7241188730631187E-2</v>
      </c>
      <c r="V136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150177</v>
      </c>
      <c r="W136" s="182">
        <f>IFERROR(VLOOKUP(Vertailu[[#This Row],[Y-tunnus]],'1.2 Ohjaus-laskentataulu'!A:AT,COLUMN('1.2 Ohjaus-laskentataulu'!AT:AT),FALSE),0)</f>
        <v>146086</v>
      </c>
      <c r="X136" s="184">
        <f>IFERROR(Vertailu[[#This Row],[Rahoitus ml. hark. kor. + alv 2024, €]]-Vertailu[[#This Row],[Rahoitus ml. hark. kor. + alv 2023, €]],0)</f>
        <v>-4091</v>
      </c>
      <c r="Y136" s="179">
        <f>IFERROR(Vertailu[[#This Row],[Muutos, € 3]]/Vertailu[[#This Row],[Rahoitus ml. hark. kor. + alv 2023, €]],0)</f>
        <v>-2.7241188730631187E-2</v>
      </c>
      <c r="Z136" s="177">
        <f>IFERROR(VLOOKUP(Vertailu[[#This Row],[Y-tunnus]],'Suoritepäätös 2023 oikaistu'!$B:$N,COLUMN('Suoritepäätös 2023 oikaistu'!H:H),FALSE),0)</f>
        <v>79921</v>
      </c>
      <c r="AA136" s="177">
        <f>IFERROR(VLOOKUP(Vertailu[[#This Row],[Y-tunnus]],'1.2 Ohjaus-laskentataulu'!A:AT,COLUMN('1.2 Ohjaus-laskentataulu'!AO:AO),FALSE),0)</f>
        <v>83940</v>
      </c>
      <c r="AB136" s="177">
        <f>Vertailu[[#This Row],[Perusrahoitus 2024, €]]-Vertailu[[#This Row],[Perusrahoitus 2023, €]]</f>
        <v>4019</v>
      </c>
      <c r="AC136" s="179">
        <f>IFERROR(Vertailu[[#This Row],[Perusrahoituksen muutos, €]]/Vertailu[[#This Row],[Perusrahoitus 2023, €]],0)</f>
        <v>5.028715856908697E-2</v>
      </c>
      <c r="AD136" s="177">
        <f>IFERROR(VLOOKUP(Vertailu[[#This Row],[Y-tunnus]],'Suoritepäätös 2023 oikaistu'!$O:$Y,COLUMN('Suoritepäätös 2023 oikaistu'!D:D),FALSE),0)</f>
        <v>33191</v>
      </c>
      <c r="AE136" s="177">
        <f>IFERROR(VLOOKUP(Vertailu[[#This Row],[Y-tunnus]],'1.2 Ohjaus-laskentataulu'!A:AT,COLUMN('1.2 Ohjaus-laskentataulu'!O:O),FALSE),0)</f>
        <v>34332</v>
      </c>
      <c r="AF136" s="177">
        <f>Vertailu[[#This Row],[Suoritusrahoitus 2024, €]]-Vertailu[[#This Row],[Suoritusrahoitus 2023, €]]</f>
        <v>1141</v>
      </c>
      <c r="AG136" s="179">
        <f>IFERROR(Vertailu[[#This Row],[Suoritusrahoituksen muutos, €]]/Vertailu[[#This Row],[Suoritusrahoitus 2023, €]],0)</f>
        <v>3.4376788888554125E-2</v>
      </c>
      <c r="AH136" s="177">
        <f>IFERROR(VLOOKUP(Vertailu[[#This Row],[Y-tunnus]],'Suoritepäätös 2023 oikaistu'!$AB:$AL,COLUMN('Suoritepäätös 2023 oikaistu'!I:I),FALSE),0)</f>
        <v>37065</v>
      </c>
      <c r="AI136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27814</v>
      </c>
      <c r="AJ136" s="177">
        <f>Vertailu[[#This Row],[Vaikuttavuusrahoitus 2024, €]]-Vertailu[[#This Row],[Vaikuttavuusrahoitus 2023, €]]</f>
        <v>-9251</v>
      </c>
      <c r="AK136" s="179">
        <f>IFERROR(Vertailu[[#This Row],[Vaikuttavuusrahoituksen muutos, €]]/Vertailu[[#This Row],[Vaikuttavuusrahoitus 2023, €]],0)</f>
        <v>-0.24958856063671928</v>
      </c>
    </row>
    <row r="137" spans="1:37" s="1" customFormat="1" ht="12.75" customHeight="1" x14ac:dyDescent="0.25">
      <c r="A137" s="3" t="s">
        <v>184</v>
      </c>
      <c r="B137" s="151" t="s">
        <v>122</v>
      </c>
      <c r="C137" s="151" t="s">
        <v>173</v>
      </c>
      <c r="D137" s="7" t="s">
        <v>326</v>
      </c>
      <c r="E137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0.69869649978975801</v>
      </c>
      <c r="F137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0.69869649978975801</v>
      </c>
      <c r="G137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0.20473885659053315</v>
      </c>
      <c r="H137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9.6564643619708818E-2</v>
      </c>
      <c r="I137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7.3884722910965844E-2</v>
      </c>
      <c r="J137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4.7695152524892936E-3</v>
      </c>
      <c r="K137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9.81290415020508E-3</v>
      </c>
      <c r="L137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6.5003384414634088E-3</v>
      </c>
      <c r="M137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1.5971628645851889E-3</v>
      </c>
      <c r="N137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36187844</v>
      </c>
      <c r="O137" s="177">
        <f>IFERROR(VLOOKUP(Vertailu[[#This Row],[Y-tunnus]],'1.2 Ohjaus-laskentataulu'!A:AT,COLUMN('1.2 Ohjaus-laskentataulu'!AF:AF),FALSE),0)</f>
        <v>38455690</v>
      </c>
      <c r="P137" s="177">
        <f>IFERROR(Vertailu[[#This Row],[Rahoitus pl. hark. kor. 2024 ilman alv, €]]-Vertailu[[#This Row],[Rahoitus pl. hark. kor. 2023 ilman alv, €]],0)</f>
        <v>2267846</v>
      </c>
      <c r="Q137" s="179">
        <f>IFERROR(Vertailu[[#This Row],[Muutos, € 1]]/Vertailu[[#This Row],[Rahoitus pl. hark. kor. 2023 ilman alv, €]],0)</f>
        <v>6.2668723784705158E-2</v>
      </c>
      <c r="R137" s="182">
        <f>IFERROR(VLOOKUP(Vertailu[[#This Row],[Y-tunnus]],'Suoritepäätös 2023 oikaistu'!$AB:$AL,COLUMN('Suoritepäätös 2023 oikaistu'!J:J),FALSE),0)</f>
        <v>36187844</v>
      </c>
      <c r="S137" s="183">
        <f>IFERROR(VLOOKUP(Vertailu[[#This Row],[Y-tunnus]],'1.2 Ohjaus-laskentataulu'!A:AT,COLUMN('1.2 Ohjaus-laskentataulu'!AR:AR),FALSE),0)</f>
        <v>38455690</v>
      </c>
      <c r="T137" s="177">
        <f>IFERROR(Vertailu[[#This Row],[Rahoitus ml. hark. kor. 
2024 ilman alv, €]]-Vertailu[[#This Row],[Rahoitus ml. hark. kor. 
2023 ilman alv, €]],0)</f>
        <v>2267846</v>
      </c>
      <c r="U137" s="181">
        <f>IFERROR(Vertailu[[#This Row],[Muutos, € 2]]/Vertailu[[#This Row],[Rahoitus ml. hark. kor. 
2023 ilman alv, €]],0)</f>
        <v>6.2668723784705158E-2</v>
      </c>
      <c r="V137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36187844</v>
      </c>
      <c r="W137" s="182">
        <f>IFERROR(VLOOKUP(Vertailu[[#This Row],[Y-tunnus]],'1.2 Ohjaus-laskentataulu'!A:AT,COLUMN('1.2 Ohjaus-laskentataulu'!AT:AT),FALSE),0)</f>
        <v>38455690</v>
      </c>
      <c r="X137" s="184">
        <f>IFERROR(Vertailu[[#This Row],[Rahoitus ml. hark. kor. + alv 2024, €]]-Vertailu[[#This Row],[Rahoitus ml. hark. kor. + alv 2023, €]],0)</f>
        <v>2267846</v>
      </c>
      <c r="Y137" s="179">
        <f>IFERROR(Vertailu[[#This Row],[Muutos, € 3]]/Vertailu[[#This Row],[Rahoitus ml. hark. kor. + alv 2023, €]],0)</f>
        <v>6.2668723784705158E-2</v>
      </c>
      <c r="Z137" s="177">
        <f>IFERROR(VLOOKUP(Vertailu[[#This Row],[Y-tunnus]],'Suoritepäätös 2023 oikaistu'!$B:$N,COLUMN('Suoritepäätös 2023 oikaistu'!H:H),FALSE),0)</f>
        <v>25753954</v>
      </c>
      <c r="AA137" s="177">
        <f>IFERROR(VLOOKUP(Vertailu[[#This Row],[Y-tunnus]],'1.2 Ohjaus-laskentataulu'!A:AT,COLUMN('1.2 Ohjaus-laskentataulu'!AO:AO),FALSE),0)</f>
        <v>26868856</v>
      </c>
      <c r="AB137" s="177">
        <f>Vertailu[[#This Row],[Perusrahoitus 2024, €]]-Vertailu[[#This Row],[Perusrahoitus 2023, €]]</f>
        <v>1114902</v>
      </c>
      <c r="AC137" s="179">
        <f>IFERROR(Vertailu[[#This Row],[Perusrahoituksen muutos, €]]/Vertailu[[#This Row],[Perusrahoitus 2023, €]],0)</f>
        <v>4.3290517642455992E-2</v>
      </c>
      <c r="AD137" s="177">
        <f>IFERROR(VLOOKUP(Vertailu[[#This Row],[Y-tunnus]],'Suoritepäätös 2023 oikaistu'!$O:$Y,COLUMN('Suoritepäätös 2023 oikaistu'!D:D),FALSE),0)</f>
        <v>7105965</v>
      </c>
      <c r="AE137" s="177">
        <f>IFERROR(VLOOKUP(Vertailu[[#This Row],[Y-tunnus]],'1.2 Ohjaus-laskentataulu'!A:AT,COLUMN('1.2 Ohjaus-laskentataulu'!O:O),FALSE),0)</f>
        <v>7873374</v>
      </c>
      <c r="AF137" s="177">
        <f>Vertailu[[#This Row],[Suoritusrahoitus 2024, €]]-Vertailu[[#This Row],[Suoritusrahoitus 2023, €]]</f>
        <v>767409</v>
      </c>
      <c r="AG137" s="179">
        <f>IFERROR(Vertailu[[#This Row],[Suoritusrahoituksen muutos, €]]/Vertailu[[#This Row],[Suoritusrahoitus 2023, €]],0)</f>
        <v>0.10799504360069322</v>
      </c>
      <c r="AH137" s="177">
        <f>IFERROR(VLOOKUP(Vertailu[[#This Row],[Y-tunnus]],'Suoritepäätös 2023 oikaistu'!$AB:$AL,COLUMN('Suoritepäätös 2023 oikaistu'!I:I),FALSE),0)</f>
        <v>3327925</v>
      </c>
      <c r="AI137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3713460</v>
      </c>
      <c r="AJ137" s="177">
        <f>Vertailu[[#This Row],[Vaikuttavuusrahoitus 2024, €]]-Vertailu[[#This Row],[Vaikuttavuusrahoitus 2023, €]]</f>
        <v>385535</v>
      </c>
      <c r="AK137" s="179">
        <f>IFERROR(Vertailu[[#This Row],[Vaikuttavuusrahoituksen muutos, €]]/Vertailu[[#This Row],[Vaikuttavuusrahoitus 2023, €]],0)</f>
        <v>0.11584846413305588</v>
      </c>
    </row>
    <row r="138" spans="1:37" s="1" customFormat="1" ht="12.75" customHeight="1" x14ac:dyDescent="0.25">
      <c r="A138" s="3" t="s">
        <v>183</v>
      </c>
      <c r="B138" s="151" t="s">
        <v>123</v>
      </c>
      <c r="C138" s="151" t="s">
        <v>182</v>
      </c>
      <c r="D138" s="7" t="s">
        <v>325</v>
      </c>
      <c r="E138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0.70509197202887552</v>
      </c>
      <c r="F138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0.70509197202887552</v>
      </c>
      <c r="G138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0.19688703122470755</v>
      </c>
      <c r="H138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9.8020996746416941E-2</v>
      </c>
      <c r="I138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6.3870205208962805E-2</v>
      </c>
      <c r="J138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2.7014917357187683E-3</v>
      </c>
      <c r="K138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1.1492888725807039E-2</v>
      </c>
      <c r="L138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1.4282639957965946E-2</v>
      </c>
      <c r="M138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5.6737711179623848E-3</v>
      </c>
      <c r="N138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2639022</v>
      </c>
      <c r="O138" s="177">
        <f>IFERROR(VLOOKUP(Vertailu[[#This Row],[Y-tunnus]],'1.2 Ohjaus-laskentataulu'!A:AT,COLUMN('1.2 Ohjaus-laskentataulu'!AF:AF),FALSE),0)</f>
        <v>2662603</v>
      </c>
      <c r="P138" s="177">
        <f>IFERROR(Vertailu[[#This Row],[Rahoitus pl. hark. kor. 2024 ilman alv, €]]-Vertailu[[#This Row],[Rahoitus pl. hark. kor. 2023 ilman alv, €]],0)</f>
        <v>23581</v>
      </c>
      <c r="Q138" s="179">
        <f>IFERROR(Vertailu[[#This Row],[Muutos, € 1]]/Vertailu[[#This Row],[Rahoitus pl. hark. kor. 2023 ilman alv, €]],0)</f>
        <v>8.9355071689436461E-3</v>
      </c>
      <c r="R138" s="182">
        <f>IFERROR(VLOOKUP(Vertailu[[#This Row],[Y-tunnus]],'Suoritepäätös 2023 oikaistu'!$AB:$AL,COLUMN('Suoritepäätös 2023 oikaistu'!J:J),FALSE),0)</f>
        <v>2644022</v>
      </c>
      <c r="S138" s="183">
        <f>IFERROR(VLOOKUP(Vertailu[[#This Row],[Y-tunnus]],'1.2 Ohjaus-laskentataulu'!A:AT,COLUMN('1.2 Ohjaus-laskentataulu'!AR:AR),FALSE),0)</f>
        <v>2662603</v>
      </c>
      <c r="T138" s="177">
        <f>IFERROR(Vertailu[[#This Row],[Rahoitus ml. hark. kor. 
2024 ilman alv, €]]-Vertailu[[#This Row],[Rahoitus ml. hark. kor. 
2023 ilman alv, €]],0)</f>
        <v>18581</v>
      </c>
      <c r="U138" s="181">
        <f>IFERROR(Vertailu[[#This Row],[Muutos, € 2]]/Vertailu[[#This Row],[Rahoitus ml. hark. kor. 
2023 ilman alv, €]],0)</f>
        <v>7.0275512079702816E-3</v>
      </c>
      <c r="V138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2784996</v>
      </c>
      <c r="W138" s="182">
        <f>IFERROR(VLOOKUP(Vertailu[[#This Row],[Y-tunnus]],'1.2 Ohjaus-laskentataulu'!A:AT,COLUMN('1.2 Ohjaus-laskentataulu'!AT:AT),FALSE),0)</f>
        <v>2821115</v>
      </c>
      <c r="X138" s="184">
        <f>IFERROR(Vertailu[[#This Row],[Rahoitus ml. hark. kor. + alv 2024, €]]-Vertailu[[#This Row],[Rahoitus ml. hark. kor. + alv 2023, €]],0)</f>
        <v>36119</v>
      </c>
      <c r="Y138" s="179">
        <f>IFERROR(Vertailu[[#This Row],[Muutos, € 3]]/Vertailu[[#This Row],[Rahoitus ml. hark. kor. + alv 2023, €]],0)</f>
        <v>1.2969138914382642E-2</v>
      </c>
      <c r="Z138" s="177">
        <f>IFERROR(VLOOKUP(Vertailu[[#This Row],[Y-tunnus]],'Suoritepäätös 2023 oikaistu'!$B:$N,COLUMN('Suoritepäätös 2023 oikaistu'!H:H),FALSE),0)</f>
        <v>1732869</v>
      </c>
      <c r="AA138" s="177">
        <f>IFERROR(VLOOKUP(Vertailu[[#This Row],[Y-tunnus]],'1.2 Ohjaus-laskentataulu'!A:AT,COLUMN('1.2 Ohjaus-laskentataulu'!AO:AO),FALSE),0)</f>
        <v>1877380</v>
      </c>
      <c r="AB138" s="177">
        <f>Vertailu[[#This Row],[Perusrahoitus 2024, €]]-Vertailu[[#This Row],[Perusrahoitus 2023, €]]</f>
        <v>144511</v>
      </c>
      <c r="AC138" s="179">
        <f>IFERROR(Vertailu[[#This Row],[Perusrahoituksen muutos, €]]/Vertailu[[#This Row],[Perusrahoitus 2023, €]],0)</f>
        <v>8.3394070757801086E-2</v>
      </c>
      <c r="AD138" s="177">
        <f>IFERROR(VLOOKUP(Vertailu[[#This Row],[Y-tunnus]],'Suoritepäätös 2023 oikaistu'!$O:$Y,COLUMN('Suoritepäätös 2023 oikaistu'!D:D),FALSE),0)</f>
        <v>615512</v>
      </c>
      <c r="AE138" s="177">
        <f>IFERROR(VLOOKUP(Vertailu[[#This Row],[Y-tunnus]],'1.2 Ohjaus-laskentataulu'!A:AT,COLUMN('1.2 Ohjaus-laskentataulu'!O:O),FALSE),0)</f>
        <v>524232</v>
      </c>
      <c r="AF138" s="177">
        <f>Vertailu[[#This Row],[Suoritusrahoitus 2024, €]]-Vertailu[[#This Row],[Suoritusrahoitus 2023, €]]</f>
        <v>-91280</v>
      </c>
      <c r="AG138" s="179">
        <f>IFERROR(Vertailu[[#This Row],[Suoritusrahoituksen muutos, €]]/Vertailu[[#This Row],[Suoritusrahoitus 2023, €]],0)</f>
        <v>-0.14829930204447681</v>
      </c>
      <c r="AH138" s="177">
        <f>IFERROR(VLOOKUP(Vertailu[[#This Row],[Y-tunnus]],'Suoritepäätös 2023 oikaistu'!$AB:$AL,COLUMN('Suoritepäätös 2023 oikaistu'!I:I),FALSE),0)</f>
        <v>295641</v>
      </c>
      <c r="AI138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260991</v>
      </c>
      <c r="AJ138" s="177">
        <f>Vertailu[[#This Row],[Vaikuttavuusrahoitus 2024, €]]-Vertailu[[#This Row],[Vaikuttavuusrahoitus 2023, €]]</f>
        <v>-34650</v>
      </c>
      <c r="AK138" s="179">
        <f>IFERROR(Vertailu[[#This Row],[Vaikuttavuusrahoituksen muutos, €]]/Vertailu[[#This Row],[Vaikuttavuusrahoitus 2023, €]],0)</f>
        <v>-0.11720295899418552</v>
      </c>
    </row>
    <row r="139" spans="1:37" s="1" customFormat="1" ht="12.75" customHeight="1" x14ac:dyDescent="0.25">
      <c r="A139" s="3" t="s">
        <v>178</v>
      </c>
      <c r="B139" s="151" t="s">
        <v>124</v>
      </c>
      <c r="C139" s="151" t="s">
        <v>177</v>
      </c>
      <c r="D139" s="7" t="s">
        <v>324</v>
      </c>
      <c r="E139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0.68293355486827401</v>
      </c>
      <c r="F139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0.68964801948759269</v>
      </c>
      <c r="G139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0.20530693700598251</v>
      </c>
      <c r="H139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0.10504504350642478</v>
      </c>
      <c r="I139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6.6075957654214174E-2</v>
      </c>
      <c r="J139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4.8394690033560636E-3</v>
      </c>
      <c r="K139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1.3763742622999316E-2</v>
      </c>
      <c r="L139" s="181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1.3168021829812328E-2</v>
      </c>
      <c r="M139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7.1978523960429096E-3</v>
      </c>
      <c r="N139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19025983</v>
      </c>
      <c r="O139" s="177">
        <f>IFERROR(VLOOKUP(Vertailu[[#This Row],[Y-tunnus]],'1.2 Ohjaus-laskentataulu'!A:AT,COLUMN('1.2 Ohjaus-laskentataulu'!AF:AF),FALSE),0)</f>
        <v>19541548</v>
      </c>
      <c r="P139" s="177">
        <f>IFERROR(Vertailu[[#This Row],[Rahoitus pl. hark. kor. 2024 ilman alv, €]]-Vertailu[[#This Row],[Rahoitus pl. hark. kor. 2023 ilman alv, €]],0)</f>
        <v>515565</v>
      </c>
      <c r="Q139" s="179">
        <f>IFERROR(Vertailu[[#This Row],[Muutos, € 1]]/Vertailu[[#This Row],[Rahoitus pl. hark. kor. 2023 ilman alv, €]],0)</f>
        <v>2.7097942850048799E-2</v>
      </c>
      <c r="R139" s="182">
        <f>IFERROR(VLOOKUP(Vertailu[[#This Row],[Y-tunnus]],'Suoritepäätös 2023 oikaistu'!$AB:$AL,COLUMN('Suoritepäätös 2023 oikaistu'!J:J),FALSE),0)</f>
        <v>19055983</v>
      </c>
      <c r="S139" s="183">
        <f>IFERROR(VLOOKUP(Vertailu[[#This Row],[Y-tunnus]],'1.2 Ohjaus-laskentataulu'!A:AT,COLUMN('1.2 Ohjaus-laskentataulu'!AR:AR),FALSE),0)</f>
        <v>19673646</v>
      </c>
      <c r="T139" s="177">
        <f>IFERROR(Vertailu[[#This Row],[Rahoitus ml. hark. kor. 
2024 ilman alv, €]]-Vertailu[[#This Row],[Rahoitus ml. hark. kor. 
2023 ilman alv, €]],0)</f>
        <v>617663</v>
      </c>
      <c r="U139" s="181">
        <f>IFERROR(Vertailu[[#This Row],[Muutos, € 2]]/Vertailu[[#This Row],[Rahoitus ml. hark. kor. 
2023 ilman alv, €]],0)</f>
        <v>3.2413074675811789E-2</v>
      </c>
      <c r="V139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19055983</v>
      </c>
      <c r="W139" s="182">
        <f>IFERROR(VLOOKUP(Vertailu[[#This Row],[Y-tunnus]],'1.2 Ohjaus-laskentataulu'!A:AT,COLUMN('1.2 Ohjaus-laskentataulu'!AT:AT),FALSE),0)</f>
        <v>19673646</v>
      </c>
      <c r="X139" s="184">
        <f>IFERROR(Vertailu[[#This Row],[Rahoitus ml. hark. kor. + alv 2024, €]]-Vertailu[[#This Row],[Rahoitus ml. hark. kor. + alv 2023, €]],0)</f>
        <v>617663</v>
      </c>
      <c r="Y139" s="179">
        <f>IFERROR(Vertailu[[#This Row],[Muutos, € 3]]/Vertailu[[#This Row],[Rahoitus ml. hark. kor. + alv 2023, €]],0)</f>
        <v>3.2413074675811789E-2</v>
      </c>
      <c r="Z139" s="177">
        <f>IFERROR(VLOOKUP(Vertailu[[#This Row],[Y-tunnus]],'Suoritepäätös 2023 oikaistu'!$B:$N,COLUMN('Suoritepäätös 2023 oikaistu'!H:H),FALSE),0)</f>
        <v>12834854</v>
      </c>
      <c r="AA139" s="177">
        <f>IFERROR(VLOOKUP(Vertailu[[#This Row],[Y-tunnus]],'1.2 Ohjaus-laskentataulu'!A:AT,COLUMN('1.2 Ohjaus-laskentataulu'!AO:AO),FALSE),0)</f>
        <v>13567891</v>
      </c>
      <c r="AB139" s="177">
        <f>Vertailu[[#This Row],[Perusrahoitus 2024, €]]-Vertailu[[#This Row],[Perusrahoitus 2023, €]]</f>
        <v>733037</v>
      </c>
      <c r="AC139" s="179">
        <f>IFERROR(Vertailu[[#This Row],[Perusrahoituksen muutos, €]]/Vertailu[[#This Row],[Perusrahoitus 2023, €]],0)</f>
        <v>5.7112998714282222E-2</v>
      </c>
      <c r="AD139" s="177">
        <f>IFERROR(VLOOKUP(Vertailu[[#This Row],[Y-tunnus]],'Suoritepäätös 2023 oikaistu'!$O:$Y,COLUMN('Suoritepäätös 2023 oikaistu'!D:D),FALSE),0)</f>
        <v>4005747</v>
      </c>
      <c r="AE139" s="177">
        <f>IFERROR(VLOOKUP(Vertailu[[#This Row],[Y-tunnus]],'1.2 Ohjaus-laskentataulu'!A:AT,COLUMN('1.2 Ohjaus-laskentataulu'!O:O),FALSE),0)</f>
        <v>4039136</v>
      </c>
      <c r="AF139" s="177">
        <f>Vertailu[[#This Row],[Suoritusrahoitus 2024, €]]-Vertailu[[#This Row],[Suoritusrahoitus 2023, €]]</f>
        <v>33389</v>
      </c>
      <c r="AG139" s="179">
        <f>IFERROR(Vertailu[[#This Row],[Suoritusrahoituksen muutos, €]]/Vertailu[[#This Row],[Suoritusrahoitus 2023, €]],0)</f>
        <v>8.3352742946571513E-3</v>
      </c>
      <c r="AH139" s="177">
        <f>IFERROR(VLOOKUP(Vertailu[[#This Row],[Y-tunnus]],'Suoritepäätös 2023 oikaistu'!$AB:$AL,COLUMN('Suoritepäätös 2023 oikaistu'!I:I),FALSE),0)</f>
        <v>2215382</v>
      </c>
      <c r="AI139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2066619</v>
      </c>
      <c r="AJ139" s="177">
        <f>Vertailu[[#This Row],[Vaikuttavuusrahoitus 2024, €]]-Vertailu[[#This Row],[Vaikuttavuusrahoitus 2023, €]]</f>
        <v>-148763</v>
      </c>
      <c r="AK139" s="179">
        <f>IFERROR(Vertailu[[#This Row],[Vaikuttavuusrahoituksen muutos, €]]/Vertailu[[#This Row],[Vaikuttavuusrahoitus 2023, €]],0)</f>
        <v>-6.7150044552135926E-2</v>
      </c>
    </row>
    <row r="140" spans="1:37" s="1" customFormat="1" ht="12.75" customHeight="1" x14ac:dyDescent="0.25">
      <c r="A140" s="3" t="s">
        <v>176</v>
      </c>
      <c r="B140" s="151" t="s">
        <v>125</v>
      </c>
      <c r="C140" s="151" t="s">
        <v>175</v>
      </c>
      <c r="D140" s="7" t="s">
        <v>324</v>
      </c>
      <c r="E140" s="178">
        <f>IFERROR(VLOOKUP(Vertailu[[#This Row],[Y-tunnus]],'1.2 Ohjaus-laskentataulu'!A:AT,COLUMN('1.2 Ohjaus-laskentataulu'!L:L),FALSE)/VLOOKUP(Vertailu[[#This Row],[Y-tunnus]],'1.2 Ohjaus-laskentataulu'!A:AT,COLUMN('1.2 Ohjaus-laskentataulu'!AR:AR),FALSE),0)</f>
        <v>0.68368826409308425</v>
      </c>
      <c r="F140" s="179">
        <f>IFERROR(VLOOKUP(Vertailu[[#This Row],[Y-tunnus]],'1.2 Ohjaus-laskentataulu'!A:AT,COLUMN('1.2 Ohjaus-laskentataulu'!AO:AO),FALSE)/VLOOKUP(Vertailu[[#This Row],[Y-tunnus]],'1.2 Ohjaus-laskentataulu'!A:AT,COLUMN('1.2 Ohjaus-laskentataulu'!AR:AR),FALSE),0)</f>
        <v>0.6885610529201398</v>
      </c>
      <c r="G140" s="180">
        <f>IFERROR(VLOOKUP(Vertailu[[#This Row],[Y-tunnus]],'1.2 Ohjaus-laskentataulu'!A:AT,COLUMN('1.2 Ohjaus-laskentataulu'!AP:AP),FALSE)/VLOOKUP(Vertailu[[#This Row],[Y-tunnus]],'1.2 Ohjaus-laskentataulu'!A:AT,COLUMN('1.2 Ohjaus-laskentataulu'!AR:AR),FALSE),0)</f>
        <v>0.20139234450259488</v>
      </c>
      <c r="H140" s="178">
        <f>IFERROR(VLOOKUP(Vertailu[[#This Row],[Y-tunnus]],'1.2 Ohjaus-laskentataulu'!A:AT,COLUMN('1.2 Ohjaus-laskentataulu'!AQ:AQ),FALSE)/VLOOKUP(Vertailu[[#This Row],[Y-tunnus]],'1.2 Ohjaus-laskentataulu'!A:AT,COLUMN('1.2 Ohjaus-laskentataulu'!AR:AR),FALSE),0)</f>
        <v>0.11004660257726533</v>
      </c>
      <c r="I140" s="181">
        <f>IFERROR(VLOOKUP(Vertailu[[#This Row],[Y-tunnus]],'1.2 Ohjaus-laskentataulu'!A:AT,COLUMN('1.2 Ohjaus-laskentataulu'!R:R),FALSE)/VLOOKUP(Vertailu[[#This Row],[Y-tunnus]],'1.2 Ohjaus-laskentataulu'!A:AT,COLUMN('1.2 Ohjaus-laskentataulu'!AR:AR),FALSE),0)</f>
        <v>7.2932981303725594E-2</v>
      </c>
      <c r="J140" s="181">
        <f>IFERROR(VLOOKUP(Vertailu[[#This Row],[Y-tunnus]],'1.2 Ohjaus-laskentataulu'!A:AT,COLUMN('1.2 Ohjaus-laskentataulu'!U:U),FALSE)/VLOOKUP(Vertailu[[#This Row],[Y-tunnus]],'1.2 Ohjaus-laskentataulu'!A:AT,COLUMN('1.2 Ohjaus-laskentataulu'!AR:AR),FALSE),0)</f>
        <v>4.3046147079026341E-3</v>
      </c>
      <c r="K140" s="181">
        <f>IFERROR(VLOOKUP(Vertailu[[#This Row],[Y-tunnus]],'1.2 Ohjaus-laskentataulu'!A:AT,COLUMN('1.2 Ohjaus-laskentataulu'!X:X),FALSE)/VLOOKUP(Vertailu[[#This Row],[Y-tunnus]],'1.2 Ohjaus-laskentataulu'!A:AT,COLUMN('1.2 Ohjaus-laskentataulu'!AR:AR),FALSE),0)</f>
        <v>1.2280941307436295E-2</v>
      </c>
      <c r="L140" s="185">
        <f>IFERROR(VLOOKUP(Vertailu[[#This Row],[Y-tunnus]],'1.2 Ohjaus-laskentataulu'!A:AT,COLUMN('1.2 Ohjaus-laskentataulu'!AA:AA),FALSE)/VLOOKUP(Vertailu[[#This Row],[Y-tunnus]],'1.2 Ohjaus-laskentataulu'!A:AT,COLUMN('1.2 Ohjaus-laskentataulu'!AR:AR),FALSE),0)</f>
        <v>1.5250018501358677E-2</v>
      </c>
      <c r="M140" s="181">
        <f>IFERROR(VLOOKUP(Vertailu[[#This Row],[Y-tunnus]],'1.2 Ohjaus-laskentataulu'!A:AT,COLUMN('1.2 Ohjaus-laskentataulu'!AD:AD),FALSE)/VLOOKUP(Vertailu[[#This Row],[Y-tunnus]],'1.2 Ohjaus-laskentataulu'!A:AT,COLUMN('1.2 Ohjaus-laskentataulu'!AR:AR),FALSE),0)</f>
        <v>5.2780467568421148E-3</v>
      </c>
      <c r="N140" s="177">
        <f>IFERROR(VLOOKUP(Vertailu[[#This Row],[Y-tunnus]],'Suoritepäätös 2023 oikaistu'!$AB:$AL,COLUMN('Suoritepäätös 2023 oikaistu'!J:J),FALSE)-VLOOKUP(Vertailu[[#This Row],[Y-tunnus]],'Suoritepäätös 2023 oikaistu'!$B:$N,COLUMN('Suoritepäätös 2023 oikaistu'!G:G),FALSE),0)</f>
        <v>18203904</v>
      </c>
      <c r="O140" s="177">
        <f>IFERROR(VLOOKUP(Vertailu[[#This Row],[Y-tunnus]],'1.2 Ohjaus-laskentataulu'!A:AT,COLUMN('1.2 Ohjaus-laskentataulu'!AF:AF),FALSE),0)</f>
        <v>19094282</v>
      </c>
      <c r="P140" s="177">
        <f>IFERROR(Vertailu[[#This Row],[Rahoitus pl. hark. kor. 2024 ilman alv, €]]-Vertailu[[#This Row],[Rahoitus pl. hark. kor. 2023 ilman alv, €]],0)</f>
        <v>890378</v>
      </c>
      <c r="Q140" s="179">
        <f>IFERROR(Vertailu[[#This Row],[Muutos, € 1]]/Vertailu[[#This Row],[Rahoitus pl. hark. kor. 2023 ilman alv, €]],0)</f>
        <v>4.8911376372892321E-2</v>
      </c>
      <c r="R140" s="182">
        <f>IFERROR(VLOOKUP(Vertailu[[#This Row],[Y-tunnus]],'Suoritepäätös 2023 oikaistu'!$AB:$AL,COLUMN('Suoritepäätös 2023 oikaistu'!J:J),FALSE),0)</f>
        <v>18231904</v>
      </c>
      <c r="S140" s="183">
        <f>IFERROR(VLOOKUP(Vertailu[[#This Row],[Y-tunnus]],'1.2 Ohjaus-laskentataulu'!A:AT,COLUMN('1.2 Ohjaus-laskentataulu'!AR:AR),FALSE),0)</f>
        <v>19187780</v>
      </c>
      <c r="T140" s="177">
        <f>IFERROR(Vertailu[[#This Row],[Rahoitus ml. hark. kor. 
2024 ilman alv, €]]-Vertailu[[#This Row],[Rahoitus ml. hark. kor. 
2023 ilman alv, €]],0)</f>
        <v>955876</v>
      </c>
      <c r="U140" s="181">
        <f>IFERROR(Vertailu[[#This Row],[Muutos, € 2]]/Vertailu[[#This Row],[Rahoitus ml. hark. kor. 
2023 ilman alv, €]],0)</f>
        <v>5.242875346425694E-2</v>
      </c>
      <c r="V140" s="183">
        <f>IFERROR(VLOOKUP(Vertailu[[#This Row],[Y-tunnus]],'Suoritepäätös 2023 oikaistu'!$AB:$AL,COLUMN('Suoritepäätös 2023 oikaistu'!J:J),FALSE)+VLOOKUP(Vertailu[[#This Row],[Y-tunnus]],'Suoritepäätös 2023 oikaistu'!$AB:$AL,COLUMN('Suoritepäätös 2023 oikaistu'!K:K),FALSE),0)</f>
        <v>18231904</v>
      </c>
      <c r="W140" s="182">
        <f>IFERROR(VLOOKUP(Vertailu[[#This Row],[Y-tunnus]],'1.2 Ohjaus-laskentataulu'!A:AT,COLUMN('1.2 Ohjaus-laskentataulu'!AT:AT),FALSE),0)</f>
        <v>19187780</v>
      </c>
      <c r="X140" s="184">
        <f>IFERROR(Vertailu[[#This Row],[Rahoitus ml. hark. kor. + alv 2024, €]]-Vertailu[[#This Row],[Rahoitus ml. hark. kor. + alv 2023, €]],0)</f>
        <v>955876</v>
      </c>
      <c r="Y140" s="179">
        <f>IFERROR(Vertailu[[#This Row],[Muutos, € 3]]/Vertailu[[#This Row],[Rahoitus ml. hark. kor. + alv 2023, €]],0)</f>
        <v>5.242875346425694E-2</v>
      </c>
      <c r="Z140" s="177">
        <f>IFERROR(VLOOKUP(Vertailu[[#This Row],[Y-tunnus]],'Suoritepäätös 2023 oikaistu'!$B:$N,COLUMN('Suoritepäätös 2023 oikaistu'!H:H),FALSE),0)</f>
        <v>12599589</v>
      </c>
      <c r="AA140" s="177">
        <f>IFERROR(VLOOKUP(Vertailu[[#This Row],[Y-tunnus]],'1.2 Ohjaus-laskentataulu'!A:AT,COLUMN('1.2 Ohjaus-laskentataulu'!AO:AO),FALSE),0)</f>
        <v>13211958</v>
      </c>
      <c r="AB140" s="177">
        <f>Vertailu[[#This Row],[Perusrahoitus 2024, €]]-Vertailu[[#This Row],[Perusrahoitus 2023, €]]</f>
        <v>612369</v>
      </c>
      <c r="AC140" s="179">
        <f>IFERROR(Vertailu[[#This Row],[Perusrahoituksen muutos, €]]/Vertailu[[#This Row],[Perusrahoitus 2023, €]],0)</f>
        <v>4.8602299646440847E-2</v>
      </c>
      <c r="AD140" s="177">
        <f>IFERROR(VLOOKUP(Vertailu[[#This Row],[Y-tunnus]],'Suoritepäätös 2023 oikaistu'!$O:$Y,COLUMN('Suoritepäätös 2023 oikaistu'!D:D),FALSE),0)</f>
        <v>3716100</v>
      </c>
      <c r="AE140" s="177">
        <f>IFERROR(VLOOKUP(Vertailu[[#This Row],[Y-tunnus]],'1.2 Ohjaus-laskentataulu'!A:AT,COLUMN('1.2 Ohjaus-laskentataulu'!O:O),FALSE),0)</f>
        <v>3864272</v>
      </c>
      <c r="AF140" s="177">
        <f>Vertailu[[#This Row],[Suoritusrahoitus 2024, €]]-Vertailu[[#This Row],[Suoritusrahoitus 2023, €]]</f>
        <v>148172</v>
      </c>
      <c r="AG140" s="179">
        <f>IFERROR(Vertailu[[#This Row],[Suoritusrahoituksen muutos, €]]/Vertailu[[#This Row],[Suoritusrahoitus 2023, €]],0)</f>
        <v>3.9872985118807353E-2</v>
      </c>
      <c r="AH140" s="177">
        <f>IFERROR(VLOOKUP(Vertailu[[#This Row],[Y-tunnus]],'Suoritepäätös 2023 oikaistu'!$AB:$AL,COLUMN('Suoritepäätös 2023 oikaistu'!I:I),FALSE),0)</f>
        <v>1916215</v>
      </c>
      <c r="AI140" s="177">
        <f>IFERROR(VLOOKUP(Vertailu[[#This Row],[Y-tunnus]],'1.2 Ohjaus-laskentataulu'!A:AT,COLUMN('1.2 Ohjaus-laskentataulu'!R:R),FALSE),0)+IFERROR(VLOOKUP(Vertailu[[#This Row],[Y-tunnus]],'1.2 Ohjaus-laskentataulu'!A:AT,COLUMN('1.2 Ohjaus-laskentataulu'!U:U),FALSE),0)+IFERROR(VLOOKUP(Vertailu[[#This Row],[Y-tunnus]],'1.2 Ohjaus-laskentataulu'!A:AT,COLUMN('1.2 Ohjaus-laskentataulu'!X:X),FALSE),0)+IFERROR(VLOOKUP(Vertailu[[#This Row],[Y-tunnus]],'1.2 Ohjaus-laskentataulu'!A:AT,COLUMN('1.2 Ohjaus-laskentataulu'!AA:AA),FALSE),0)+IFERROR(VLOOKUP(Vertailu[[#This Row],[Y-tunnus]],'1.2 Ohjaus-laskentataulu'!A:AT,COLUMN('1.2 Ohjaus-laskentataulu'!AD:AD),FALSE),0)</f>
        <v>2111550</v>
      </c>
      <c r="AJ140" s="177">
        <f>Vertailu[[#This Row],[Vaikuttavuusrahoitus 2024, €]]-Vertailu[[#This Row],[Vaikuttavuusrahoitus 2023, €]]</f>
        <v>195335</v>
      </c>
      <c r="AK140" s="179">
        <f>IFERROR(Vertailu[[#This Row],[Vaikuttavuusrahoituksen muutos, €]]/Vertailu[[#This Row],[Vaikuttavuusrahoitus 2023, €]],0)</f>
        <v>0.10193793493945096</v>
      </c>
    </row>
    <row r="141" spans="1:37" s="111" customFormat="1" ht="12.75" customHeight="1" x14ac:dyDescent="0.25">
      <c r="A141" s="129" t="s">
        <v>13</v>
      </c>
      <c r="B141" s="129">
        <f>COUNTIF(Vertailu[Nimi],"?*")</f>
        <v>135</v>
      </c>
      <c r="C141" s="129"/>
      <c r="D141" s="130"/>
      <c r="E141" s="139">
        <f>Ohj.lask.[[#Totals],[Jaettava € 1]]/Ohj.lask.[[#Totals],[Perus-, suoritus- ja vaikuttavuusrahoitus yhteensä, €]]</f>
        <v>0.69082255703234963</v>
      </c>
      <c r="F141" s="145">
        <f>Ohj.lask.[[#Totals],[Suoriteperusteinen (opiskelijavuosiin perustuva) sekä harkinnanvarainen korotus, €]]/Ohj.lask.[[#Totals],[Perus-, suoritus- ja vaikuttavuusrahoitus yhteensä, €]]</f>
        <v>0.69895402432754827</v>
      </c>
      <c r="G141" s="139">
        <f>Ohj.lask.[[#Totals],[Suoritusrahoitus, €]]/Ohj.lask.[[#Totals],[Perus-, suoritus- ja vaikuttavuusrahoitus yhteensä, €]]</f>
        <v>0.20069731586948175</v>
      </c>
      <c r="H141" s="139">
        <f>Ohj.lask.[[#Totals],[Työllistymiseen ja jatko-opintoihin siirtymiseen, opiskelijapalautteiseen sekä työelämäpalautteeseen perustuva, €]]/Ohj.lask.[[#Totals],[Perus-, suoritus- ja vaikuttavuusrahoitus yhteensä, €]]</f>
        <v>0.10034865980297</v>
      </c>
      <c r="I141" s="138">
        <f>Ohj.lask.[[#Totals],[Jaettava € 3]]/Ohj.lask.[[#Totals],[Perus-, suoritus- ja vaikuttavuusrahoitus yhteensä, €]]</f>
        <v>7.0244062282430561E-2</v>
      </c>
      <c r="J141" s="138">
        <f>Ohj.lask.[[#Totals],[Jaettava € 4]]/Ohj.lask.[[#Totals],[Perus-, suoritus- ja vaikuttavuusrahoitus yhteensä, €]]</f>
        <v>3.7630777259397698E-3</v>
      </c>
      <c r="K141" s="138">
        <f>Ohj.lask.[[#Totals],[Jaettava € 5]]/Ohj.lask.[[#Totals],[Perus-, suoritus- ja vaikuttavuusrahoitus yhteensä, €]]</f>
        <v>1.1289223836673652E-2</v>
      </c>
      <c r="L141" s="138">
        <f>Ohj.lask.[[#Totals],[Jaettava € 6]]/Ohj.lask.[[#Totals],[Perus-, suoritus- ja vaikuttavuusrahoitus yhteensä, €]]</f>
        <v>1.1289222435501803E-2</v>
      </c>
      <c r="M141" s="145">
        <f>Ohj.lask.[[#Totals],[Jaettava € 7]]/Ohj.lask.[[#Totals],[Perus-, suoritus- ja vaikuttavuusrahoitus yhteensä, €]]</f>
        <v>3.7630735224242237E-3</v>
      </c>
      <c r="N141" s="140">
        <f>SUBTOTAL(109,Vertailu[Rahoitus pl. hark. kor. 2023 ilman alv, €])</f>
        <v>2018037092</v>
      </c>
      <c r="O141" s="140">
        <f>SUBTOTAL(109,Vertailu[Rahoitus pl. hark. kor. 2024 ilman alv, €])</f>
        <v>2123654997</v>
      </c>
      <c r="P141" s="140">
        <f>SUBTOTAL(109,Vertailu[Muutos, € 1])</f>
        <v>105617905</v>
      </c>
      <c r="Q141" s="145">
        <f>IFERROR(Vertailu[[#Totals],[Muutos, € 1]]/Vertailu[[#Totals],[Rahoitus pl. hark. kor. 2023 ilman alv, €]],0)</f>
        <v>5.2336949315102084E-2</v>
      </c>
      <c r="R141" s="98">
        <f>SUBTOTAL(109,Vertailu[Rahoitus ml. hark. kor. 
2023 ilman alv, €])</f>
        <v>2030037092</v>
      </c>
      <c r="S141" s="141">
        <f>SUBTOTAL(109,Vertailu[Rahoitus ml. hark. kor. 
2024 ilman alv, €])</f>
        <v>2141064997</v>
      </c>
      <c r="T141" s="98">
        <f>SUBTOTAL(109,Vertailu[Muutos, € 2])</f>
        <v>111027905</v>
      </c>
      <c r="U141" s="138">
        <f>IFERROR(Vertailu[[#Totals],[Muutos, € 2]]/Vertailu[[#Totals],[Rahoitus ml. hark. kor. 
2023 ilman alv, €]],0)</f>
        <v>5.4692549923122294E-2</v>
      </c>
      <c r="V141" s="140">
        <f>SUBTOTAL(109,Vertailu[Rahoitus ml. hark. kor. + alv 2023, €])</f>
        <v>2070794356</v>
      </c>
      <c r="W141" s="141">
        <f>SUBTOTAL(109,Vertailu[Rahoitus ml. hark. kor. + alv 2024, €])</f>
        <v>2186429497</v>
      </c>
      <c r="X141" s="98">
        <f>SUBTOTAL(109,Vertailu[Muutos, € 3])</f>
        <v>115635141</v>
      </c>
      <c r="Y141" s="145">
        <f>IFERROR(Vertailu[[#Totals],[Muutos, € 3]]/Vertailu[[#Totals],[Rahoitus ml. hark. kor. + alv 2023, €]],0)</f>
        <v>5.5840958164172241E-2</v>
      </c>
      <c r="Z141" s="140">
        <f>SUBTOTAL(109,Vertailu[Perusrahoitus 2023, €])</f>
        <v>1415664094</v>
      </c>
      <c r="AA141" s="141">
        <f>SUBTOTAL(109,Vertailu[Perusrahoitus 2024, €])</f>
        <v>1496505996</v>
      </c>
      <c r="AB141" s="98">
        <f>SUBTOTAL(109,Vertailu[Perusrahoituksen muutos, €])</f>
        <v>80841902</v>
      </c>
      <c r="AC141" s="145">
        <f>IFERROR(Vertailu[[#Totals],[Perusrahoituksen muutos, €]]/Vertailu[[#Totals],[Perusrahoitus 2023, €]],0)</f>
        <v>5.7105285316362629E-2</v>
      </c>
      <c r="AD141" s="140">
        <f>SUBTOTAL(109,Vertailu[Suoritusrahoitus 2023, €])</f>
        <v>409582000</v>
      </c>
      <c r="AE141" s="141">
        <f>SUBTOTAL(109,Vertailu[Suoritusrahoitus 2024, €])</f>
        <v>429705998</v>
      </c>
      <c r="AF141" s="98">
        <f>SUBTOTAL(109,Vertailu[Suoritusrahoituksen muutos, €])</f>
        <v>20123998</v>
      </c>
      <c r="AG141" s="145">
        <f>IFERROR(Vertailu[[#Totals],[Suoritusrahoituksen muutos, €]]/Vertailu[[#Totals],[Suoritusrahoitus 2023, €]],0)</f>
        <v>4.9133013657826761E-2</v>
      </c>
      <c r="AH141" s="140">
        <f>SUBTOTAL(109,Vertailu[Vaikuttavuusrahoitus 2023, €])</f>
        <v>204790998</v>
      </c>
      <c r="AI141" s="141">
        <f>SUBTOTAL(109,Vertailu[Vaikuttavuusrahoitus 2024, €])</f>
        <v>214853003</v>
      </c>
      <c r="AJ141" s="98">
        <f>SUBTOTAL(109,Vertailu[Vaikuttavuusrahoituksen muutos, €])</f>
        <v>10062005</v>
      </c>
      <c r="AK141" s="145">
        <f>IFERROR(Vertailu[[#Totals],[Vaikuttavuusrahoituksen muutos, €]]/Vertailu[[#Totals],[Vaikuttavuusrahoitus 2023, €]],0)</f>
        <v>4.9133043435825238E-2</v>
      </c>
    </row>
    <row r="142" spans="1:37" x14ac:dyDescent="0.25">
      <c r="A142"/>
      <c r="B142"/>
      <c r="C142"/>
      <c r="D142"/>
      <c r="E142" s="296" t="s">
        <v>564</v>
      </c>
      <c r="F142"/>
      <c r="G142"/>
      <c r="H142"/>
      <c r="I142"/>
      <c r="J142"/>
      <c r="K142"/>
      <c r="L142"/>
      <c r="M142"/>
      <c r="N142" s="137"/>
      <c r="O142"/>
    </row>
    <row r="143" spans="1:37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37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 x14ac:dyDescent="0.25">
      <c r="A154"/>
      <c r="B154"/>
      <c r="C154"/>
      <c r="D154"/>
      <c r="E154"/>
      <c r="F154"/>
      <c r="G154"/>
      <c r="H154"/>
      <c r="I154"/>
      <c r="J154"/>
      <c r="K154"/>
      <c r="L154" s="137"/>
      <c r="M154" s="137"/>
      <c r="N154"/>
      <c r="O154"/>
    </row>
    <row r="155" spans="1:15" x14ac:dyDescent="0.25">
      <c r="A155"/>
      <c r="B155"/>
      <c r="C155"/>
      <c r="D155"/>
      <c r="E155"/>
      <c r="F155"/>
      <c r="G155"/>
      <c r="H155"/>
      <c r="I155"/>
      <c r="J155"/>
      <c r="K155"/>
      <c r="L155" s="137"/>
      <c r="M155" s="137"/>
      <c r="N155"/>
      <c r="O155"/>
    </row>
    <row r="156" spans="1:15" x14ac:dyDescent="0.25">
      <c r="A156"/>
      <c r="B156"/>
      <c r="C156"/>
      <c r="D156"/>
      <c r="E156"/>
      <c r="F156"/>
      <c r="G156"/>
      <c r="H156"/>
      <c r="I156"/>
      <c r="J156"/>
      <c r="K156"/>
      <c r="L156" s="137"/>
      <c r="M156" s="137"/>
      <c r="N156"/>
      <c r="O156"/>
    </row>
    <row r="157" spans="1:15" x14ac:dyDescent="0.25">
      <c r="A157"/>
      <c r="B157"/>
      <c r="C157"/>
      <c r="D157"/>
      <c r="E157"/>
      <c r="F157"/>
      <c r="G157"/>
      <c r="H157"/>
      <c r="I157"/>
      <c r="J157"/>
      <c r="K157"/>
      <c r="L157" s="137"/>
      <c r="M157" s="137"/>
      <c r="N157"/>
      <c r="O157"/>
    </row>
    <row r="158" spans="1:15" x14ac:dyDescent="0.25">
      <c r="A158"/>
      <c r="B158"/>
      <c r="C158"/>
      <c r="D158"/>
      <c r="E158"/>
      <c r="F158"/>
      <c r="G158"/>
      <c r="H158"/>
      <c r="I158"/>
      <c r="J158"/>
      <c r="K158"/>
      <c r="L158" s="137"/>
      <c r="M158" s="137"/>
      <c r="N158"/>
      <c r="O158"/>
    </row>
    <row r="159" spans="1:15" x14ac:dyDescent="0.25">
      <c r="A159"/>
      <c r="B159"/>
      <c r="C159"/>
      <c r="D159"/>
      <c r="E159"/>
      <c r="F159"/>
      <c r="G159"/>
      <c r="H159"/>
      <c r="I159"/>
      <c r="J159"/>
      <c r="K159"/>
      <c r="L159" s="137"/>
      <c r="M159" s="137"/>
      <c r="N159"/>
      <c r="O159"/>
    </row>
    <row r="160" spans="1:15" x14ac:dyDescent="0.25">
      <c r="A160"/>
      <c r="B160"/>
      <c r="C160"/>
      <c r="D160"/>
      <c r="E160"/>
      <c r="F160"/>
      <c r="G160"/>
      <c r="H160"/>
      <c r="I160"/>
      <c r="J160"/>
      <c r="K160"/>
      <c r="L160" s="137"/>
      <c r="M160" s="137"/>
      <c r="N160"/>
      <c r="O160"/>
    </row>
    <row r="161" spans="1:15" x14ac:dyDescent="0.25">
      <c r="A161"/>
      <c r="B161"/>
      <c r="C161"/>
      <c r="D161"/>
      <c r="E161"/>
      <c r="F161"/>
      <c r="G161"/>
      <c r="H161"/>
      <c r="I161"/>
      <c r="J161"/>
      <c r="K161"/>
      <c r="L161" s="137"/>
      <c r="M161" s="137"/>
      <c r="N161"/>
      <c r="O161"/>
    </row>
    <row r="162" spans="1:15" x14ac:dyDescent="0.25">
      <c r="A162"/>
      <c r="B162"/>
      <c r="C162"/>
      <c r="D162"/>
      <c r="E162"/>
      <c r="F162"/>
      <c r="G162"/>
      <c r="H162"/>
      <c r="I162"/>
      <c r="J162"/>
      <c r="K162"/>
      <c r="L162" s="137"/>
      <c r="M162" s="137"/>
      <c r="N162"/>
      <c r="O162"/>
    </row>
    <row r="163" spans="1:15" x14ac:dyDescent="0.25">
      <c r="A163"/>
      <c r="B163"/>
      <c r="C163"/>
      <c r="D163"/>
      <c r="E163"/>
      <c r="F163"/>
      <c r="G163"/>
      <c r="H163"/>
      <c r="I163"/>
      <c r="J163"/>
      <c r="K163"/>
      <c r="L163" s="137"/>
      <c r="M163" s="137"/>
      <c r="N163"/>
      <c r="O163"/>
    </row>
    <row r="164" spans="1:15" x14ac:dyDescent="0.25">
      <c r="A164"/>
      <c r="B164"/>
      <c r="C164"/>
      <c r="D164"/>
      <c r="E164"/>
      <c r="F164"/>
      <c r="G164"/>
      <c r="H164"/>
      <c r="I164"/>
      <c r="J164"/>
      <c r="K164"/>
      <c r="L164" s="137"/>
      <c r="M164" s="137"/>
      <c r="N164"/>
      <c r="O164"/>
    </row>
    <row r="165" spans="1:15" x14ac:dyDescent="0.25">
      <c r="A165"/>
      <c r="B165"/>
      <c r="C165"/>
      <c r="D165"/>
      <c r="E165"/>
      <c r="F165"/>
      <c r="G165"/>
      <c r="H165"/>
      <c r="I165"/>
      <c r="J165"/>
      <c r="K165"/>
      <c r="L165" s="137"/>
      <c r="M165" s="137"/>
      <c r="N165"/>
      <c r="O165"/>
    </row>
    <row r="166" spans="1:15" x14ac:dyDescent="0.25">
      <c r="A166"/>
      <c r="B166"/>
      <c r="C166"/>
      <c r="D166"/>
      <c r="E166"/>
      <c r="F166"/>
      <c r="G166"/>
      <c r="H166"/>
      <c r="I166"/>
      <c r="J166"/>
      <c r="K166"/>
      <c r="L166" s="137"/>
      <c r="M166" s="137"/>
      <c r="N166"/>
      <c r="O166"/>
    </row>
    <row r="167" spans="1:15" x14ac:dyDescent="0.25">
      <c r="A167"/>
      <c r="B167"/>
      <c r="C167"/>
      <c r="D167"/>
      <c r="E167"/>
      <c r="F167"/>
      <c r="G167"/>
      <c r="H167"/>
      <c r="I167"/>
      <c r="J167"/>
      <c r="K167"/>
      <c r="L167" s="137"/>
      <c r="M167" s="137"/>
      <c r="N167"/>
      <c r="O167"/>
    </row>
    <row r="168" spans="1:15" x14ac:dyDescent="0.25">
      <c r="A168"/>
      <c r="B168"/>
      <c r="C168"/>
      <c r="D168"/>
      <c r="E168"/>
      <c r="F168"/>
      <c r="G168"/>
      <c r="H168"/>
      <c r="I168"/>
      <c r="J168"/>
      <c r="K168"/>
      <c r="L168" s="137"/>
      <c r="M168" s="137"/>
      <c r="N168"/>
      <c r="O168"/>
    </row>
    <row r="169" spans="1:15" x14ac:dyDescent="0.25">
      <c r="A169"/>
      <c r="B169"/>
      <c r="C169"/>
      <c r="D169"/>
      <c r="E169"/>
      <c r="F169"/>
      <c r="G169"/>
      <c r="H169"/>
      <c r="I169"/>
      <c r="J169"/>
      <c r="K169"/>
      <c r="L169" s="137"/>
      <c r="M169" s="137"/>
      <c r="N169"/>
      <c r="O169"/>
    </row>
    <row r="170" spans="1:15" x14ac:dyDescent="0.25">
      <c r="A170"/>
      <c r="B170"/>
      <c r="C170"/>
      <c r="D170"/>
      <c r="E170"/>
      <c r="F170"/>
      <c r="G170"/>
      <c r="H170"/>
      <c r="I170"/>
      <c r="J170"/>
      <c r="K170"/>
      <c r="L170" s="137"/>
      <c r="M170" s="137"/>
      <c r="N170"/>
      <c r="O170"/>
    </row>
    <row r="171" spans="1:15" x14ac:dyDescent="0.25">
      <c r="A171"/>
      <c r="B171"/>
      <c r="C171"/>
      <c r="D171"/>
      <c r="E171"/>
      <c r="F171"/>
      <c r="G171"/>
      <c r="H171"/>
      <c r="I171"/>
      <c r="J171"/>
      <c r="K171"/>
      <c r="L171" s="137"/>
      <c r="M171" s="137"/>
      <c r="N171"/>
      <c r="O171"/>
    </row>
    <row r="172" spans="1:15" x14ac:dyDescent="0.25">
      <c r="A172"/>
      <c r="B172"/>
      <c r="C172"/>
      <c r="D172"/>
      <c r="E172"/>
      <c r="F172"/>
      <c r="G172"/>
      <c r="H172"/>
      <c r="I172"/>
      <c r="J172"/>
      <c r="K172"/>
      <c r="L172" s="137"/>
      <c r="M172" s="137"/>
      <c r="N172"/>
      <c r="O172"/>
    </row>
    <row r="173" spans="1:15" x14ac:dyDescent="0.25">
      <c r="A173"/>
      <c r="B173"/>
      <c r="C173"/>
      <c r="D173"/>
      <c r="E173"/>
      <c r="F173"/>
      <c r="G173"/>
      <c r="H173"/>
      <c r="I173"/>
      <c r="J173"/>
      <c r="K173"/>
      <c r="L173" s="137"/>
      <c r="M173" s="137"/>
      <c r="N173"/>
      <c r="O173"/>
    </row>
    <row r="174" spans="1:15" x14ac:dyDescent="0.25">
      <c r="A174"/>
      <c r="B174"/>
      <c r="C174"/>
      <c r="D174"/>
      <c r="E174"/>
      <c r="F174"/>
      <c r="G174"/>
      <c r="H174"/>
      <c r="I174"/>
      <c r="J174"/>
      <c r="K174"/>
      <c r="L174" s="137"/>
      <c r="M174" s="137"/>
      <c r="N174"/>
      <c r="O174"/>
    </row>
    <row r="175" spans="1:15" x14ac:dyDescent="0.25">
      <c r="A175"/>
      <c r="B175"/>
      <c r="C175"/>
      <c r="D175"/>
      <c r="E175"/>
      <c r="F175"/>
      <c r="G175"/>
      <c r="H175"/>
      <c r="I175"/>
      <c r="J175"/>
      <c r="K175"/>
      <c r="L175" s="137"/>
      <c r="M175" s="137"/>
      <c r="N175"/>
      <c r="O175"/>
    </row>
    <row r="176" spans="1:15" x14ac:dyDescent="0.25">
      <c r="A176"/>
      <c r="B176"/>
      <c r="C176"/>
      <c r="D176"/>
      <c r="E176"/>
      <c r="F176"/>
      <c r="G176"/>
      <c r="H176"/>
      <c r="I176"/>
      <c r="J176"/>
      <c r="K176"/>
      <c r="L176" s="137"/>
      <c r="M176" s="137"/>
      <c r="N176"/>
      <c r="O176"/>
    </row>
    <row r="177" spans="1:15" x14ac:dyDescent="0.25">
      <c r="A177"/>
      <c r="B177"/>
      <c r="C177"/>
      <c r="D177"/>
      <c r="E177"/>
      <c r="F177"/>
      <c r="G177"/>
      <c r="H177"/>
      <c r="I177"/>
      <c r="J177"/>
      <c r="K177"/>
      <c r="L177" s="137"/>
      <c r="M177" s="137"/>
      <c r="N177"/>
      <c r="O177"/>
    </row>
    <row r="178" spans="1:15" x14ac:dyDescent="0.25">
      <c r="A178"/>
      <c r="B178"/>
      <c r="C178"/>
      <c r="D178"/>
      <c r="E178"/>
      <c r="F178"/>
      <c r="G178"/>
      <c r="H178"/>
      <c r="I178"/>
      <c r="J178"/>
      <c r="K178"/>
      <c r="L178" s="137"/>
      <c r="M178" s="137"/>
      <c r="N178"/>
      <c r="O178"/>
    </row>
    <row r="179" spans="1:15" x14ac:dyDescent="0.25">
      <c r="A179"/>
      <c r="B179"/>
      <c r="C179"/>
      <c r="D179"/>
      <c r="E179"/>
      <c r="F179"/>
      <c r="G179"/>
      <c r="H179"/>
      <c r="I179"/>
      <c r="J179"/>
      <c r="K179"/>
      <c r="L179" s="137"/>
      <c r="M179" s="137"/>
      <c r="N179"/>
      <c r="O179"/>
    </row>
    <row r="180" spans="1:15" x14ac:dyDescent="0.25">
      <c r="A180"/>
      <c r="B180"/>
      <c r="C180"/>
      <c r="D180"/>
      <c r="E180"/>
      <c r="F180"/>
      <c r="G180"/>
      <c r="H180"/>
      <c r="I180"/>
      <c r="J180"/>
      <c r="K180"/>
      <c r="L180" s="137"/>
      <c r="M180" s="137"/>
      <c r="N180"/>
      <c r="O180"/>
    </row>
    <row r="181" spans="1:15" x14ac:dyDescent="0.25">
      <c r="A181"/>
      <c r="B181"/>
      <c r="C181"/>
      <c r="D181"/>
      <c r="E181"/>
      <c r="F181"/>
      <c r="G181"/>
      <c r="H181"/>
      <c r="I181"/>
      <c r="J181"/>
      <c r="K181"/>
      <c r="L181" s="137"/>
      <c r="M181" s="137"/>
      <c r="N181"/>
      <c r="O181"/>
    </row>
    <row r="182" spans="1:15" x14ac:dyDescent="0.25">
      <c r="A182"/>
      <c r="B182"/>
      <c r="C182"/>
      <c r="D182"/>
      <c r="E182"/>
      <c r="F182"/>
      <c r="G182"/>
      <c r="H182"/>
      <c r="I182"/>
      <c r="J182"/>
      <c r="K182"/>
      <c r="L182" s="137"/>
      <c r="M182" s="137"/>
      <c r="N182"/>
      <c r="O182"/>
    </row>
    <row r="183" spans="1:15" x14ac:dyDescent="0.25">
      <c r="A183"/>
      <c r="B183"/>
      <c r="C183"/>
      <c r="D183"/>
      <c r="E183"/>
      <c r="F183"/>
      <c r="G183"/>
      <c r="H183"/>
      <c r="I183"/>
      <c r="J183"/>
      <c r="K183"/>
      <c r="L183" s="137"/>
      <c r="M183" s="137"/>
      <c r="N183"/>
      <c r="O183"/>
    </row>
    <row r="184" spans="1:15" x14ac:dyDescent="0.25">
      <c r="A184"/>
      <c r="B184"/>
      <c r="C184"/>
      <c r="D184"/>
      <c r="E184"/>
      <c r="F184"/>
      <c r="G184"/>
      <c r="H184"/>
      <c r="I184"/>
      <c r="J184"/>
      <c r="K184"/>
      <c r="L184" s="137"/>
      <c r="M184" s="137"/>
      <c r="N184"/>
      <c r="O184"/>
    </row>
    <row r="185" spans="1:15" x14ac:dyDescent="0.25">
      <c r="A185"/>
      <c r="B185"/>
      <c r="C185"/>
      <c r="D185"/>
      <c r="E185"/>
      <c r="F185"/>
      <c r="G185"/>
      <c r="H185"/>
      <c r="I185"/>
      <c r="J185"/>
      <c r="K185"/>
      <c r="L185" s="137"/>
      <c r="M185" s="137"/>
      <c r="N185"/>
      <c r="O185"/>
    </row>
    <row r="186" spans="1:15" x14ac:dyDescent="0.25">
      <c r="A186"/>
      <c r="B186"/>
      <c r="C186"/>
      <c r="D186"/>
      <c r="E186"/>
      <c r="F186"/>
      <c r="G186"/>
      <c r="H186"/>
      <c r="I186"/>
      <c r="J186"/>
      <c r="K186"/>
      <c r="L186" s="137"/>
      <c r="M186" s="137"/>
      <c r="N186"/>
      <c r="O186"/>
    </row>
    <row r="187" spans="1:15" x14ac:dyDescent="0.25">
      <c r="A187"/>
      <c r="B187"/>
      <c r="C187"/>
      <c r="D187"/>
      <c r="E187"/>
      <c r="F187"/>
      <c r="G187"/>
      <c r="H187"/>
      <c r="I187"/>
      <c r="J187"/>
      <c r="K187"/>
      <c r="L187" s="137"/>
      <c r="M187" s="137"/>
      <c r="N187"/>
      <c r="O187"/>
    </row>
    <row r="188" spans="1:15" x14ac:dyDescent="0.25">
      <c r="A188"/>
      <c r="B188"/>
      <c r="C188"/>
      <c r="D188"/>
      <c r="E188"/>
      <c r="F188"/>
      <c r="G188"/>
      <c r="H188"/>
      <c r="I188"/>
      <c r="J188"/>
      <c r="K188"/>
      <c r="L188" s="137"/>
      <c r="M188" s="137"/>
      <c r="N188"/>
      <c r="O188"/>
    </row>
    <row r="189" spans="1:15" x14ac:dyDescent="0.25">
      <c r="A189"/>
      <c r="B189"/>
      <c r="C189"/>
      <c r="D189"/>
      <c r="E189"/>
      <c r="F189"/>
      <c r="G189"/>
      <c r="H189"/>
      <c r="I189"/>
      <c r="J189"/>
      <c r="K189"/>
      <c r="L189" s="137"/>
      <c r="M189" s="137"/>
      <c r="N189"/>
      <c r="O189"/>
    </row>
    <row r="190" spans="1:15" x14ac:dyDescent="0.25">
      <c r="A190"/>
      <c r="B190"/>
      <c r="C190"/>
      <c r="D190"/>
      <c r="E190"/>
      <c r="F190"/>
      <c r="G190"/>
      <c r="H190"/>
      <c r="I190"/>
      <c r="J190"/>
      <c r="K190"/>
      <c r="L190" s="137"/>
      <c r="M190" s="137"/>
      <c r="N190"/>
      <c r="O190"/>
    </row>
    <row r="191" spans="1:15" x14ac:dyDescent="0.25">
      <c r="A191"/>
      <c r="B191"/>
      <c r="C191"/>
      <c r="D191"/>
      <c r="E191"/>
      <c r="F191"/>
      <c r="G191"/>
      <c r="H191"/>
      <c r="I191"/>
      <c r="J191"/>
      <c r="K191"/>
      <c r="L191" s="137"/>
      <c r="M191" s="137"/>
      <c r="N191"/>
      <c r="O191"/>
    </row>
    <row r="192" spans="1:15" x14ac:dyDescent="0.25">
      <c r="A192"/>
      <c r="B192"/>
      <c r="C192"/>
      <c r="D192"/>
      <c r="E192"/>
      <c r="F192"/>
      <c r="G192"/>
      <c r="H192"/>
      <c r="I192"/>
      <c r="J192"/>
      <c r="K192"/>
      <c r="L192" s="137"/>
      <c r="M192" s="137"/>
      <c r="N192"/>
      <c r="O192"/>
    </row>
    <row r="193" spans="1:15" x14ac:dyDescent="0.25">
      <c r="A193"/>
      <c r="B193"/>
      <c r="C193"/>
      <c r="D193"/>
      <c r="E193"/>
      <c r="F193"/>
      <c r="G193"/>
      <c r="H193"/>
      <c r="I193"/>
      <c r="J193"/>
      <c r="K193"/>
      <c r="L193" s="137"/>
      <c r="M193" s="137"/>
      <c r="N193"/>
      <c r="O193"/>
    </row>
    <row r="194" spans="1:15" x14ac:dyDescent="0.25">
      <c r="A194"/>
      <c r="B194"/>
      <c r="C194"/>
      <c r="D194"/>
      <c r="E194"/>
      <c r="F194"/>
      <c r="G194"/>
      <c r="H194"/>
      <c r="I194"/>
      <c r="J194"/>
      <c r="K194"/>
      <c r="L194" s="137"/>
      <c r="M194" s="137"/>
      <c r="N194"/>
      <c r="O194"/>
    </row>
    <row r="195" spans="1:15" x14ac:dyDescent="0.25">
      <c r="A195"/>
      <c r="B195"/>
      <c r="C195"/>
      <c r="D195"/>
      <c r="E195"/>
      <c r="F195"/>
      <c r="G195"/>
      <c r="H195"/>
      <c r="I195"/>
      <c r="J195"/>
      <c r="K195"/>
      <c r="L195" s="137"/>
      <c r="M195" s="137"/>
      <c r="N195"/>
      <c r="O195"/>
    </row>
    <row r="196" spans="1:15" x14ac:dyDescent="0.25">
      <c r="A196"/>
      <c r="B196"/>
      <c r="C196"/>
      <c r="D196"/>
      <c r="E196"/>
      <c r="F196"/>
      <c r="G196"/>
      <c r="H196"/>
      <c r="I196"/>
      <c r="J196"/>
      <c r="K196"/>
      <c r="L196" s="137"/>
      <c r="M196" s="137"/>
      <c r="N196"/>
      <c r="O196"/>
    </row>
    <row r="197" spans="1:15" x14ac:dyDescent="0.25">
      <c r="A197"/>
      <c r="B197"/>
      <c r="C197"/>
      <c r="D197"/>
      <c r="E197"/>
      <c r="F197"/>
      <c r="G197"/>
      <c r="H197"/>
      <c r="I197"/>
      <c r="J197"/>
      <c r="K197"/>
      <c r="L197" s="137"/>
      <c r="M197" s="137"/>
      <c r="N197"/>
      <c r="O197"/>
    </row>
    <row r="198" spans="1:15" x14ac:dyDescent="0.25">
      <c r="A198"/>
      <c r="B198"/>
      <c r="C198"/>
      <c r="D198"/>
      <c r="E198"/>
      <c r="F198"/>
      <c r="G198"/>
      <c r="H198"/>
      <c r="I198"/>
      <c r="J198"/>
      <c r="K198"/>
      <c r="L198" s="137"/>
      <c r="M198" s="137"/>
      <c r="N198"/>
      <c r="O198"/>
    </row>
    <row r="199" spans="1:15" x14ac:dyDescent="0.25">
      <c r="A199"/>
      <c r="B199"/>
      <c r="C199"/>
      <c r="D199"/>
      <c r="E199"/>
      <c r="F199"/>
      <c r="G199"/>
      <c r="H199"/>
      <c r="I199"/>
      <c r="J199"/>
      <c r="K199"/>
      <c r="L199" s="137"/>
      <c r="M199" s="137"/>
      <c r="N199"/>
      <c r="O199"/>
    </row>
    <row r="200" spans="1:15" x14ac:dyDescent="0.25">
      <c r="A200"/>
      <c r="B200"/>
      <c r="C200"/>
      <c r="D200"/>
      <c r="E200"/>
      <c r="F200"/>
      <c r="G200"/>
      <c r="H200"/>
      <c r="I200"/>
      <c r="J200"/>
      <c r="K200"/>
      <c r="L200" s="137"/>
      <c r="M200" s="137"/>
      <c r="N200"/>
      <c r="O200"/>
    </row>
    <row r="201" spans="1:15" x14ac:dyDescent="0.25">
      <c r="K201"/>
      <c r="L201" s="137"/>
      <c r="M201" s="137"/>
    </row>
    <row r="202" spans="1:15" x14ac:dyDescent="0.25">
      <c r="K202"/>
      <c r="L202" s="137"/>
      <c r="M202" s="137"/>
    </row>
    <row r="203" spans="1:15" x14ac:dyDescent="0.25">
      <c r="K203"/>
      <c r="L203" s="137"/>
      <c r="M203" s="137"/>
    </row>
    <row r="204" spans="1:15" x14ac:dyDescent="0.25">
      <c r="K204"/>
      <c r="L204" s="137"/>
      <c r="M204" s="137"/>
    </row>
    <row r="205" spans="1:15" x14ac:dyDescent="0.25">
      <c r="K205"/>
      <c r="L205" s="137"/>
      <c r="M205" s="137"/>
    </row>
    <row r="206" spans="1:15" x14ac:dyDescent="0.25">
      <c r="K206"/>
      <c r="L206" s="137"/>
      <c r="M206" s="137"/>
    </row>
    <row r="207" spans="1:15" x14ac:dyDescent="0.25">
      <c r="K207"/>
      <c r="L207" s="137"/>
      <c r="M207" s="137"/>
    </row>
    <row r="208" spans="1:15" x14ac:dyDescent="0.25">
      <c r="K208"/>
      <c r="L208" s="137"/>
      <c r="M208" s="137"/>
    </row>
    <row r="209" spans="11:13" x14ac:dyDescent="0.25">
      <c r="K209"/>
      <c r="L209" s="137"/>
      <c r="M209" s="137"/>
    </row>
    <row r="210" spans="11:13" x14ac:dyDescent="0.25">
      <c r="K210"/>
      <c r="L210" s="137"/>
      <c r="M210" s="137"/>
    </row>
    <row r="211" spans="11:13" x14ac:dyDescent="0.25">
      <c r="K211"/>
      <c r="L211" s="137"/>
      <c r="M211" s="137"/>
    </row>
    <row r="212" spans="11:13" x14ac:dyDescent="0.25">
      <c r="K212"/>
      <c r="L212" s="137"/>
      <c r="M212" s="137"/>
    </row>
    <row r="213" spans="11:13" x14ac:dyDescent="0.25">
      <c r="K213"/>
      <c r="L213" s="137"/>
      <c r="M213" s="137"/>
    </row>
    <row r="214" spans="11:13" x14ac:dyDescent="0.25">
      <c r="K214"/>
      <c r="L214" s="137"/>
      <c r="M214" s="137"/>
    </row>
    <row r="215" spans="11:13" x14ac:dyDescent="0.25">
      <c r="K215"/>
      <c r="L215" s="137"/>
      <c r="M215" s="137"/>
    </row>
  </sheetData>
  <sortState ref="H182:H222">
    <sortCondition ref="H182"/>
  </sortState>
  <mergeCells count="14">
    <mergeCell ref="A2:B4"/>
    <mergeCell ref="E2:K2"/>
    <mergeCell ref="E4:F4"/>
    <mergeCell ref="AH2:AK2"/>
    <mergeCell ref="AH3:AK4"/>
    <mergeCell ref="H4:M4"/>
    <mergeCell ref="Z2:AC2"/>
    <mergeCell ref="Z3:AC4"/>
    <mergeCell ref="AD2:AG2"/>
    <mergeCell ref="AD3:AG4"/>
    <mergeCell ref="N3:Q4"/>
    <mergeCell ref="R3:U4"/>
    <mergeCell ref="V3:Y4"/>
    <mergeCell ref="N2:Q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>
    <tabColor theme="4" tint="0.59999389629810485"/>
  </sheetPr>
  <dimension ref="A1:DX28"/>
  <sheetViews>
    <sheetView zoomScale="90" zoomScaleNormal="9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A2" sqref="A2:B4"/>
    </sheetView>
  </sheetViews>
  <sheetFormatPr defaultColWidth="9.140625" defaultRowHeight="12.75" x14ac:dyDescent="0.2"/>
  <cols>
    <col min="1" max="1" width="22.7109375" style="15" customWidth="1"/>
    <col min="2" max="2" width="13.28515625" style="15" customWidth="1"/>
    <col min="3" max="5" width="0" style="15" hidden="1" customWidth="1"/>
    <col min="6" max="6" width="16.7109375" style="15" customWidth="1"/>
    <col min="7" max="7" width="18.7109375" style="15" customWidth="1"/>
    <col min="8" max="11" width="10.28515625" style="15" customWidth="1"/>
    <col min="12" max="12" width="12.28515625" style="15" customWidth="1"/>
    <col min="13" max="14" width="10.28515625" style="15" customWidth="1"/>
    <col min="15" max="15" width="12.28515625" style="15" customWidth="1"/>
    <col min="16" max="17" width="10.28515625" style="15" customWidth="1"/>
    <col min="18" max="18" width="12.28515625" style="15" customWidth="1"/>
    <col min="19" max="20" width="10.28515625" style="15" customWidth="1"/>
    <col min="21" max="21" width="12.28515625" style="15" customWidth="1"/>
    <col min="22" max="23" width="10.28515625" style="15" customWidth="1"/>
    <col min="24" max="30" width="12.28515625" style="15" customWidth="1"/>
    <col min="31" max="31" width="10.28515625" style="15" customWidth="1"/>
    <col min="32" max="32" width="15.42578125" style="15" customWidth="1"/>
    <col min="33" max="40" width="20.7109375" style="15" customWidth="1"/>
    <col min="41" max="44" width="25.5703125" style="15" customWidth="1"/>
    <col min="45" max="53" width="13.140625" style="15" customWidth="1"/>
    <col min="54" max="55" width="25.5703125" style="15" customWidth="1"/>
    <col min="56" max="57" width="13.140625" style="15" customWidth="1"/>
    <col min="58" max="128" width="9.140625" style="2"/>
    <col min="129" max="16384" width="9.140625" style="15"/>
  </cols>
  <sheetData>
    <row r="1" spans="1:57" x14ac:dyDescent="0.2">
      <c r="A1" s="297" t="s">
        <v>350</v>
      </c>
      <c r="F1" s="90"/>
    </row>
    <row r="2" spans="1:57" ht="53.25" customHeight="1" x14ac:dyDescent="0.2">
      <c r="A2" s="287" t="s">
        <v>464</v>
      </c>
      <c r="B2" s="287"/>
      <c r="C2" s="69"/>
      <c r="D2" s="69"/>
      <c r="E2" s="69"/>
      <c r="F2" s="305" t="s">
        <v>558</v>
      </c>
      <c r="G2" s="306"/>
      <c r="H2" s="306"/>
      <c r="I2" s="306"/>
      <c r="J2" s="307"/>
      <c r="K2" s="307"/>
      <c r="L2" s="307"/>
      <c r="M2" s="307"/>
      <c r="N2" s="307"/>
      <c r="O2" s="307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7"/>
      <c r="AF2" s="309"/>
      <c r="AG2" s="310" t="s">
        <v>432</v>
      </c>
      <c r="AH2" s="310"/>
      <c r="AI2" s="310"/>
      <c r="AJ2" s="310"/>
      <c r="AK2" s="310"/>
      <c r="AL2" s="310"/>
      <c r="AM2" s="310"/>
      <c r="AN2" s="311"/>
      <c r="AO2" s="312" t="s">
        <v>559</v>
      </c>
      <c r="AP2" s="313"/>
      <c r="AQ2" s="313"/>
      <c r="AR2" s="314"/>
      <c r="AS2" s="301" t="s">
        <v>563</v>
      </c>
      <c r="AT2" s="302"/>
      <c r="AU2" s="302"/>
      <c r="AV2" s="302"/>
      <c r="AW2" s="302"/>
      <c r="AX2" s="302"/>
      <c r="AY2" s="302"/>
      <c r="AZ2" s="302"/>
      <c r="BA2" s="315"/>
      <c r="BB2" s="316" t="s">
        <v>565</v>
      </c>
      <c r="BC2" s="317"/>
      <c r="BD2" s="317"/>
      <c r="BE2" s="318"/>
    </row>
    <row r="3" spans="1:57" ht="15" customHeight="1" x14ac:dyDescent="0.2">
      <c r="A3" s="287"/>
      <c r="B3" s="287"/>
      <c r="C3" s="69"/>
      <c r="D3" s="69"/>
      <c r="E3" s="69"/>
      <c r="F3" s="260" t="s">
        <v>421</v>
      </c>
      <c r="G3" s="261"/>
      <c r="H3" s="261"/>
      <c r="I3" s="261"/>
      <c r="J3" s="261"/>
      <c r="K3" s="261"/>
      <c r="L3" s="262"/>
      <c r="M3" s="260" t="s">
        <v>150</v>
      </c>
      <c r="N3" s="261"/>
      <c r="O3" s="262"/>
      <c r="P3" s="267" t="s">
        <v>327</v>
      </c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88"/>
      <c r="AE3" s="260" t="s">
        <v>13</v>
      </c>
      <c r="AF3" s="262"/>
      <c r="AG3" s="294" t="s">
        <v>517</v>
      </c>
      <c r="AH3" s="294" t="s">
        <v>518</v>
      </c>
      <c r="AI3" s="294" t="s">
        <v>519</v>
      </c>
      <c r="AJ3" s="249" t="s">
        <v>520</v>
      </c>
      <c r="AK3" s="294" t="s">
        <v>560</v>
      </c>
      <c r="AL3" s="249" t="s">
        <v>539</v>
      </c>
      <c r="AM3" s="249" t="s">
        <v>561</v>
      </c>
      <c r="AN3" s="249" t="s">
        <v>562</v>
      </c>
      <c r="AO3" s="245" t="s">
        <v>358</v>
      </c>
      <c r="AP3" s="246" t="s">
        <v>359</v>
      </c>
      <c r="AQ3" s="246" t="s">
        <v>360</v>
      </c>
      <c r="AR3" s="248" t="s">
        <v>420</v>
      </c>
      <c r="AS3" s="25"/>
      <c r="AT3" s="29"/>
      <c r="AU3" s="40"/>
      <c r="AV3" s="25"/>
      <c r="AW3" s="26"/>
      <c r="AX3" s="26"/>
      <c r="AY3" s="26"/>
      <c r="AZ3" s="26"/>
      <c r="BA3" s="29"/>
      <c r="BB3" s="279" t="s">
        <v>546</v>
      </c>
      <c r="BC3" s="280"/>
      <c r="BD3" s="280"/>
      <c r="BE3" s="281"/>
    </row>
    <row r="4" spans="1:57" ht="29.45" customHeight="1" x14ac:dyDescent="0.2">
      <c r="A4" s="287"/>
      <c r="B4" s="287"/>
      <c r="C4" s="69"/>
      <c r="D4" s="69"/>
      <c r="E4" s="69"/>
      <c r="F4" s="254" t="s">
        <v>162</v>
      </c>
      <c r="G4" s="255"/>
      <c r="H4" s="255"/>
      <c r="I4" s="255"/>
      <c r="J4" s="255"/>
      <c r="K4" s="255"/>
      <c r="L4" s="256"/>
      <c r="M4" s="264" t="s">
        <v>163</v>
      </c>
      <c r="N4" s="265"/>
      <c r="O4" s="266"/>
      <c r="P4" s="265" t="s">
        <v>164</v>
      </c>
      <c r="Q4" s="265"/>
      <c r="R4" s="265"/>
      <c r="S4" s="250" t="s">
        <v>165</v>
      </c>
      <c r="T4" s="251"/>
      <c r="U4" s="252"/>
      <c r="V4" s="250" t="s">
        <v>328</v>
      </c>
      <c r="W4" s="251"/>
      <c r="X4" s="252"/>
      <c r="Y4" s="250" t="s">
        <v>505</v>
      </c>
      <c r="Z4" s="251"/>
      <c r="AA4" s="252"/>
      <c r="AB4" s="250" t="s">
        <v>506</v>
      </c>
      <c r="AC4" s="251"/>
      <c r="AD4" s="252"/>
      <c r="AE4" s="250" t="s">
        <v>507</v>
      </c>
      <c r="AF4" s="252"/>
      <c r="AG4" s="294"/>
      <c r="AH4" s="294"/>
      <c r="AI4" s="294"/>
      <c r="AJ4" s="249"/>
      <c r="AK4" s="294"/>
      <c r="AL4" s="249"/>
      <c r="AM4" s="249"/>
      <c r="AN4" s="249"/>
      <c r="AO4" s="245"/>
      <c r="AP4" s="246"/>
      <c r="AQ4" s="246"/>
      <c r="AR4" s="248"/>
      <c r="AS4" s="276" t="s">
        <v>421</v>
      </c>
      <c r="AT4" s="278"/>
      <c r="AU4" s="40"/>
      <c r="AV4" s="276" t="s">
        <v>327</v>
      </c>
      <c r="AW4" s="277"/>
      <c r="AX4" s="277"/>
      <c r="AY4" s="277"/>
      <c r="AZ4" s="277"/>
      <c r="BA4" s="278"/>
      <c r="BB4" s="279"/>
      <c r="BC4" s="280"/>
      <c r="BD4" s="280"/>
      <c r="BE4" s="281"/>
    </row>
    <row r="5" spans="1:57" ht="50.25" customHeight="1" x14ac:dyDescent="0.2">
      <c r="A5" s="22" t="s">
        <v>332</v>
      </c>
      <c r="B5" s="113" t="s">
        <v>348</v>
      </c>
      <c r="C5" s="24" t="s">
        <v>347</v>
      </c>
      <c r="D5" s="24" t="s">
        <v>346</v>
      </c>
      <c r="E5" s="24" t="s">
        <v>349</v>
      </c>
      <c r="F5" s="70" t="s">
        <v>365</v>
      </c>
      <c r="G5" s="17" t="s">
        <v>433</v>
      </c>
      <c r="H5" s="18" t="s">
        <v>457</v>
      </c>
      <c r="I5" s="17" t="s">
        <v>345</v>
      </c>
      <c r="J5" s="17" t="s">
        <v>169</v>
      </c>
      <c r="K5" s="17" t="s">
        <v>157</v>
      </c>
      <c r="L5" s="17" t="s">
        <v>424</v>
      </c>
      <c r="M5" s="19" t="s">
        <v>158</v>
      </c>
      <c r="N5" s="17" t="s">
        <v>159</v>
      </c>
      <c r="O5" s="21" t="s">
        <v>425</v>
      </c>
      <c r="P5" s="20" t="s">
        <v>160</v>
      </c>
      <c r="Q5" s="17" t="s">
        <v>161</v>
      </c>
      <c r="R5" s="20" t="s">
        <v>426</v>
      </c>
      <c r="S5" s="19" t="s">
        <v>166</v>
      </c>
      <c r="T5" s="17" t="s">
        <v>167</v>
      </c>
      <c r="U5" s="21" t="s">
        <v>427</v>
      </c>
      <c r="V5" s="19" t="s">
        <v>172</v>
      </c>
      <c r="W5" s="17" t="s">
        <v>171</v>
      </c>
      <c r="X5" s="176" t="s">
        <v>428</v>
      </c>
      <c r="Y5" s="19" t="s">
        <v>508</v>
      </c>
      <c r="Z5" s="17" t="s">
        <v>168</v>
      </c>
      <c r="AA5" s="21" t="s">
        <v>429</v>
      </c>
      <c r="AB5" s="19" t="s">
        <v>532</v>
      </c>
      <c r="AC5" s="17" t="s">
        <v>509</v>
      </c>
      <c r="AD5" s="176" t="s">
        <v>510</v>
      </c>
      <c r="AE5" s="19" t="s">
        <v>511</v>
      </c>
      <c r="AF5" s="21" t="s">
        <v>512</v>
      </c>
      <c r="AG5" s="298" t="s">
        <v>568</v>
      </c>
      <c r="AH5" s="298" t="s">
        <v>569</v>
      </c>
      <c r="AI5" s="298" t="s">
        <v>570</v>
      </c>
      <c r="AJ5" s="299" t="s">
        <v>571</v>
      </c>
      <c r="AK5" s="298" t="s">
        <v>572</v>
      </c>
      <c r="AL5" s="298" t="s">
        <v>573</v>
      </c>
      <c r="AM5" s="299" t="s">
        <v>574</v>
      </c>
      <c r="AN5" s="298" t="s">
        <v>575</v>
      </c>
      <c r="AO5" s="101" t="s">
        <v>416</v>
      </c>
      <c r="AP5" s="300" t="s">
        <v>361</v>
      </c>
      <c r="AQ5" s="101" t="s">
        <v>516</v>
      </c>
      <c r="AR5" s="97" t="s">
        <v>362</v>
      </c>
      <c r="AS5" s="27" t="s">
        <v>422</v>
      </c>
      <c r="AT5" s="28" t="s">
        <v>423</v>
      </c>
      <c r="AU5" s="41" t="s">
        <v>333</v>
      </c>
      <c r="AV5" s="27" t="s">
        <v>334</v>
      </c>
      <c r="AW5" s="38" t="s">
        <v>335</v>
      </c>
      <c r="AX5" s="38" t="s">
        <v>336</v>
      </c>
      <c r="AY5" s="38" t="s">
        <v>337</v>
      </c>
      <c r="AZ5" s="38" t="s">
        <v>527</v>
      </c>
      <c r="BA5" s="39" t="s">
        <v>528</v>
      </c>
      <c r="BB5" s="114" t="s">
        <v>526</v>
      </c>
      <c r="BC5" s="97" t="s">
        <v>555</v>
      </c>
      <c r="BD5" s="30" t="s">
        <v>576</v>
      </c>
      <c r="BE5" s="31" t="s">
        <v>577</v>
      </c>
    </row>
    <row r="6" spans="1:57" x14ac:dyDescent="0.2">
      <c r="A6" s="15" t="s">
        <v>311</v>
      </c>
      <c r="B6" s="15">
        <f>COUNTIF(Ohj.lask.[Maakunta],Maakunt.[[#This Row],[Maakunta]])</f>
        <v>1</v>
      </c>
      <c r="C6" s="15">
        <f>COUNTIFS(Ohj.lask.[Maakunta],Maakunt.[[#This Row],[Maakunta]],Ohj.lask.[Omistajatyyppi],"=yksityinen")</f>
        <v>0</v>
      </c>
      <c r="D6" s="15">
        <f>COUNTIFS(Ohj.lask.[Maakunta],Maakunt.[[#This Row],[Maakunta]],Ohj.lask.[Omistajatyyppi],"=kunta")</f>
        <v>0</v>
      </c>
      <c r="E6" s="15">
        <f>COUNTIFS(Ohj.lask.[Maakunta],Maakunt.[[#This Row],[Maakunta]],Ohj.lask.[Omistajatyyppi],"=kuntayhtymä")</f>
        <v>1</v>
      </c>
      <c r="F6" s="11">
        <f>SUMIF(Ohj.lask.[Maakunta],Maakunt.[[#This Row],[Maakunta]],Ohj.lask.[Järjestämisluvan opisk.vuosien vähimmäismäärä])</f>
        <v>2885</v>
      </c>
      <c r="G6" s="10">
        <f>SUMIF(Ohj.lask.[Maakunta],Maakunt.[[#This Row],[Maakunta]],Ohj.lask.[Suoritepäätöksellä jaettavat opisk.vuodet (luvan ylittävä osuus)])</f>
        <v>138</v>
      </c>
      <c r="H6" s="10">
        <f>SUMIF(Ohj.lask.[Maakunta],Maakunt.[[#This Row],[Maakunta]],Ohj.lask.[Tavoitteelliset opiskelija-vuodet])</f>
        <v>3023</v>
      </c>
      <c r="I6" s="73">
        <f>Maakunt.[[#This Row],[Painotetut opiskelija-vuodet]]/Maakunt.[[#This Row],[Tavoitteelliset opiskelija-vuodet]]</f>
        <v>1.1065497849818062</v>
      </c>
      <c r="J6" s="74">
        <f>SUMIF(Ohj.lask.[Maakunta],Maakunt.[[#This Row],[Maakunta]],Ohj.lask.[Painotetut opiskelija-vuodet])</f>
        <v>3345.1</v>
      </c>
      <c r="K6" s="9">
        <f>SUMIF(Ohj.lask.[Maakunta],Maakunt.[[#This Row],[Maakunta]],Ohj.lask.[%-osuus 1])</f>
        <v>1.5433856023268668E-2</v>
      </c>
      <c r="L6" s="10">
        <f>SUMIF(Ohj.lask.[Maakunta],Maakunt.[[#This Row],[Maakunta]],Ohj.lask.[Jaettava € 1])</f>
        <v>22828155</v>
      </c>
      <c r="M6" s="11">
        <f>SUMIF(Ohj.lask.[Maakunta],Maakunt.[[#This Row],[Maakunta]],Ohj.lask.[Painotetut pisteet 2])</f>
        <v>258988.9</v>
      </c>
      <c r="N6" s="9">
        <f>SUMIF(Ohj.lask.[Maakunta],Maakunt.[[#This Row],[Maakunta]],Ohj.lask.[%-osuus 2])</f>
        <v>1.690662106931794E-2</v>
      </c>
      <c r="O6" s="10">
        <f>SUMIF(Ohj.lask.[Maakunta],Maakunt.[[#This Row],[Maakunta]],Ohj.lask.[Jaettava € 2])</f>
        <v>7264877</v>
      </c>
      <c r="P6" s="11">
        <f>SUMIF(Ohj.lask.[Maakunta],Maakunt.[[#This Row],[Maakunta]],Ohj.lask.[Painotetut pisteet 3])</f>
        <v>5375.8</v>
      </c>
      <c r="Q6" s="9">
        <f>SUMIF(Ohj.lask.[Maakunta],Maakunt.[[#This Row],[Maakunta]],Ohj.lask.[%-osuus 3])</f>
        <v>1.7200578493357561E-2</v>
      </c>
      <c r="R6" s="10">
        <f>SUMIF(Ohj.lask.[Maakunta],Maakunt.[[#This Row],[Maakunta]],Ohj.lask.[Jaettava € 3])</f>
        <v>2586917</v>
      </c>
      <c r="S6" s="11">
        <f>SUMIF(Ohj.lask.[Maakunta],Maakunt.[[#This Row],[Maakunta]],Ohj.lask.[Painotetut pisteet 4])</f>
        <v>25533.5</v>
      </c>
      <c r="T6" s="9">
        <f>SUMIF(Ohj.lask.[Maakunta],Maakunt.[[#This Row],[Maakunta]],Ohj.lask.[%-osuus 4])</f>
        <v>1.5318000514849434E-2</v>
      </c>
      <c r="U6" s="10">
        <f>SUMIF(Ohj.lask.[Maakunta],Maakunt.[[#This Row],[Maakunta]],Ohj.lask.[Jaettava € 4])</f>
        <v>123417</v>
      </c>
      <c r="V6" s="11">
        <f>SUMIF(Ohj.lask.[Maakunta],Maakunt.[[#This Row],[Maakunta]],Ohj.lask.[Painotetut pisteet 5])</f>
        <v>172021.6</v>
      </c>
      <c r="W6" s="9">
        <f>SUMIF(Ohj.lask.[Maakunta],Maakunt.[[#This Row],[Maakunta]],Ohj.lask.[%-osuus 5])</f>
        <v>1.6819628333474963E-2</v>
      </c>
      <c r="X6" s="16">
        <f>SUMIF(Ohj.lask.[Maakunta],Maakunt.[[#This Row],[Maakunta]],Ohj.lask.[Jaettava € 5])</f>
        <v>406547</v>
      </c>
      <c r="Y6" s="11">
        <f>SUMIF(Ohj.lask.[Maakunta],Maakunt.[[#This Row],[Maakunta]],Ohj.lask.[Painotetut pisteet 6])</f>
        <v>5038014.0999999996</v>
      </c>
      <c r="Z6" s="9">
        <f>SUMIF(Ohj.lask.[Maakunta],Maakunt.[[#This Row],[Maakunta]],Ohj.lask.[%-osuus 6])</f>
        <v>1.4843578576924404E-2</v>
      </c>
      <c r="AA6" s="16">
        <f>SUMIF(Ohj.lask.[Maakunta],Maakunt.[[#This Row],[Maakunta]],Ohj.lask.[Jaettava € 6])</f>
        <v>358784</v>
      </c>
      <c r="AB6" s="10">
        <f>SUMIF(Ohj.lask.[Maakunta],Maakunt.[[#This Row],[Maakunta]],Ohj.lask.[Pisteet 7])</f>
        <v>4889225.5</v>
      </c>
      <c r="AC6" s="9">
        <f>SUMIF(Ohj.lask.[Maakunta],Maakunt.[[#This Row],[Maakunta]],Ohj.lask.[%-osuus 7])</f>
        <v>2.6495980901697729E-2</v>
      </c>
      <c r="AD6" s="10">
        <f>SUMIF(Ohj.lask.[Maakunta],Maakunt.[[#This Row],[Maakunta]],Ohj.lask.[Jaettava € 7])</f>
        <v>213478</v>
      </c>
      <c r="AE6" s="12">
        <f>SUMIF(Ohj.lask.[Maakunta],Maakunt.[[#This Row],[Maakunta]],Ohj.lask.[%-osuus 8])</f>
        <v>1.5907562691549564E-2</v>
      </c>
      <c r="AF6" s="16">
        <f>SUMIF(Ohj.lask.[Maakunta],Maakunt.[[#This Row],[Maakunta]],Ohj.lask.[Jaettava € 8])</f>
        <v>33782175</v>
      </c>
      <c r="AG6" s="33">
        <f>SUMIF(Ohj.lask.[Maakunta],Maakunt.[[#This Row],[Maakunta]],Ohj.lask.[Harkinnanvarainen korotus 1, €])</f>
        <v>0</v>
      </c>
      <c r="AH6" s="33">
        <f>SUMIF(Ohj.lask.[Maakunta],Maakunt.[[#This Row],[Maakunta]],Ohj.lask.[Harkinnanvarainen korotus 2, €])</f>
        <v>0</v>
      </c>
      <c r="AI6" s="33">
        <f>SUMIF(Ohj.lask.[Maakunta],Maakunt.[[#This Row],[Maakunta]],Ohj.lask.[Harkinnanvarainen korotus 3, €])</f>
        <v>0</v>
      </c>
      <c r="AJ6" s="16">
        <f>SUMIF(Ohj.lask.[Maakunta],Maakunt.[[#This Row],[Maakunta]],Ohj.lask.[Harkinnanvarainen korotus 4, €])</f>
        <v>0</v>
      </c>
      <c r="AK6" s="11">
        <f>SUMIF(Ohj.lask.[Maakunta],Maakunt.[[#This Row],[Maakunta]],Ohj.lask.[Harkinnanvarainen korotus 5, €])</f>
        <v>46000</v>
      </c>
      <c r="AL6" s="10">
        <f>SUMIF(Ohj.lask.[Maakunta],Maakunt.[[#This Row],[Maakunta]],Ohj.lask.[Harkinnanvarainen korotus 6, €])</f>
        <v>0</v>
      </c>
      <c r="AM6" s="11">
        <f>SUMIF(Ohj.lask.[Maakunta],Maakunt.[[#This Row],[Maakunta]],Ohj.lask.[Harkinnanvarainen korotus 7, €])</f>
        <v>62629</v>
      </c>
      <c r="AN6" s="16">
        <f>SUMIF(Ohj.lask.[Maakunta],Maakunt.[[#This Row],[Maakunta]],Ohj.lask.[Harkinnanvarainen korotus 8, €])</f>
        <v>108629</v>
      </c>
      <c r="AO6" s="33">
        <f>SUMIF(Ohj.lask.[Maakunta],Maakunt.[[#This Row],[Maakunta]],Ohj.lask.[Suoriteperusteinen (opiskelijavuosiin perustuva) sekä harkinnanvarainen korotus, €])</f>
        <v>22936784</v>
      </c>
      <c r="AP6" s="10">
        <f>SUMIF(Ohj.lask.[Maakunta],Maakunt.[[#This Row],[Maakunta]],Ohj.lask.[Suoritusrahoitus, €])</f>
        <v>7264877</v>
      </c>
      <c r="AQ6" s="11">
        <f>SUMIF(Ohj.lask.[Maakunta],Maakunt.[[#This Row],[Maakunta]],Ohj.lask.[Työllistymiseen ja jatko-opintoihin siirtymiseen, opiskelijapalautteiseen sekä työelämäpalautteeseen perustuva, €])</f>
        <v>3689143</v>
      </c>
      <c r="AR6" s="11">
        <f>SUMIF(Ohj.lask.[Maakunta],Maakunt.[[#This Row],[Maakunta]],Ohj.lask.[Perus-, suoritus- ja vaikuttavuusrahoitus yhteensä, €])</f>
        <v>33890804</v>
      </c>
      <c r="AS6" s="12">
        <f>Maakunt.[[#This Row],[Jaettava € 1]]/Maakunt.[[#This Row],[Perus-, suoritus- ja vaikuttavuusrahoitus yhteensä, €]]</f>
        <v>0.67357962354625756</v>
      </c>
      <c r="AT6" s="34">
        <f>Maakunt.[[#This Row],[Suoriteperusteinen (opiskelijavuosiin perustuva) sekä harkinnanvarainen korotus, €]]/Maakunt.[[#This Row],[Perus-, suoritus- ja vaikuttavuusrahoitus yhteensä, €]]</f>
        <v>0.6767848883136558</v>
      </c>
      <c r="AU6" s="42">
        <f>Maakunt.[[#This Row],[Suoritusrahoitus, €]]/Maakunt.[[#This Row],[Perus-, suoritus- ja vaikuttavuusrahoitus yhteensä, €]]</f>
        <v>0.21436130579846971</v>
      </c>
      <c r="AV6" s="9">
        <f>Maakunt.[[#This Row],[Työllistymiseen ja jatko-opintoihin siirtymiseen, opiskelijapalautteiseen sekä työelämäpalautteeseen perustuva, €]]/Maakunt.[[#This Row],[Perus-, suoritus- ja vaikuttavuusrahoitus yhteensä, €]]</f>
        <v>0.10885380588787448</v>
      </c>
      <c r="AW6" s="9">
        <f>SUMIF(Ohj.lask.[Maakunta],Maakunt.[[#This Row],[Maakunta]],Ohj.lask.[Jaettava € 3])/Maakunt.[[#This Row],[Perus-, suoritus- ja vaikuttavuusrahoitus yhteensä, €]]</f>
        <v>7.633094216354383E-2</v>
      </c>
      <c r="AX6" s="9">
        <f>SUMIF(Ohj.lask.[Maakunta],Maakunt.[[#This Row],[Maakunta]],Ohj.lask.[Jaettava € 4])/Maakunt.[[#This Row],[Perus-, suoritus- ja vaikuttavuusrahoitus yhteensä, €]]</f>
        <v>3.6416073221514603E-3</v>
      </c>
      <c r="AY6" s="9">
        <f>SUMIF(Ohj.lask.[Maakunta],Maakunt.[[#This Row],[Maakunta]],Ohj.lask.[Jaettava € 5])/Maakunt.[[#This Row],[Perus-, suoritus- ja vaikuttavuusrahoitus yhteensä, €]]</f>
        <v>1.1995790952613576E-2</v>
      </c>
      <c r="AZ6" s="9">
        <f>SUMIF(Ohj.lask.[Maakunta],Maakunt.[[#This Row],[Maakunta]],Ohj.lask.[Jaettava € 6])/Maakunt.[[#This Row],[Perus-, suoritus- ja vaikuttavuusrahoitus yhteensä, €]]</f>
        <v>1.0586470595386288E-2</v>
      </c>
      <c r="BA6" s="9">
        <f>SUMIF(Ohj.lask.[Maakunta],Maakunt.[[#This Row],[Maakunta]],Ohj.lask.[Jaettava € 7])/Maakunt.[[#This Row],[Perus-, suoritus- ja vaikuttavuusrahoitus yhteensä, €]]</f>
        <v>6.2989948541793224E-3</v>
      </c>
      <c r="BB6" s="11">
        <f>SUMIF(Vertailu[Maakunta],Maakunt.[[#This Row],[Maakunta]],Vertailu[Rahoitus ml. hark. kor. 
2023 ilman alv, €])</f>
        <v>31797846</v>
      </c>
      <c r="BC6" s="11">
        <f>SUMIF(Vertailu[Maakunta],Maakunt.[[#This Row],[Maakunta]],Vertailu[Rahoitus ml. hark. kor. 
2024 ilman alv, €])</f>
        <v>33890804</v>
      </c>
      <c r="BD6" s="11">
        <f>SUMIF(Vertailu[Maakunta],Maakunt.[[#This Row],[Maakunta]],Vertailu[Muutos, € 2])</f>
        <v>2092958</v>
      </c>
      <c r="BE6" s="34">
        <f>IFERROR(Maakunt.[[#This Row],[Muutos, €]]/Maakunt.[[#This Row],[Rahoitus ml. hark. kor. 
2023 ilman alv, €]],0)</f>
        <v>6.5820747732409299E-2</v>
      </c>
    </row>
    <row r="7" spans="1:57" x14ac:dyDescent="0.2">
      <c r="A7" s="15" t="s">
        <v>199</v>
      </c>
      <c r="B7" s="15">
        <f>COUNTIF(Ohj.lask.[Maakunta],Maakunt.[[#This Row],[Maakunta]])</f>
        <v>6</v>
      </c>
      <c r="C7" s="15">
        <f>COUNTIFS(Ohj.lask.[Maakunta],Maakunt.[[#This Row],[Maakunta]],Ohj.lask.[Omistajatyyppi],"=yksityinen")</f>
        <v>3</v>
      </c>
      <c r="D7" s="15">
        <f>COUNTIFS(Ohj.lask.[Maakunta],Maakunt.[[#This Row],[Maakunta]],Ohj.lask.[Omistajatyyppi],"=kunta")</f>
        <v>0</v>
      </c>
      <c r="E7" s="15">
        <f>COUNTIFS(Ohj.lask.[Maakunta],Maakunt.[[#This Row],[Maakunta]],Ohj.lask.[Omistajatyyppi],"=kuntayhtymä")</f>
        <v>3</v>
      </c>
      <c r="F7" s="11">
        <f>SUMIF(Ohj.lask.[Maakunta],Maakunt.[[#This Row],[Maakunta]],Ohj.lask.[Järjestämisluvan opisk.vuosien vähimmäismäärä])</f>
        <v>5902</v>
      </c>
      <c r="G7" s="10">
        <f>SUMIF(Ohj.lask.[Maakunta],Maakunt.[[#This Row],[Maakunta]],Ohj.lask.[Suoritepäätöksellä jaettavat opisk.vuodet (luvan ylittävä osuus)])</f>
        <v>897</v>
      </c>
      <c r="H7" s="10">
        <f>SUMIF(Ohj.lask.[Maakunta],Maakunt.[[#This Row],[Maakunta]],Ohj.lask.[Tavoitteelliset opiskelija-vuodet])</f>
        <v>6799</v>
      </c>
      <c r="I7" s="73">
        <f>Maakunt.[[#This Row],[Painotetut opiskelija-vuodet]]/Maakunt.[[#This Row],[Tavoitteelliset opiskelija-vuodet]]</f>
        <v>1.1460803059273423</v>
      </c>
      <c r="J7" s="74">
        <f>SUMIF(Ohj.lask.[Maakunta],Maakunt.[[#This Row],[Maakunta]],Ohj.lask.[Painotetut opiskelija-vuodet])</f>
        <v>7792.2000000000007</v>
      </c>
      <c r="K7" s="9">
        <f>SUMIF(Ohj.lask.[Maakunta],Maakunt.[[#This Row],[Maakunta]],Ohj.lask.[%-osuus 1])</f>
        <v>3.5952196617295179E-2</v>
      </c>
      <c r="L7" s="10">
        <f>SUMIF(Ohj.lask.[Maakunta],Maakunt.[[#This Row],[Maakunta]],Ohj.lask.[Jaettava € 1])</f>
        <v>53176749</v>
      </c>
      <c r="M7" s="11">
        <f>SUMIF(Ohj.lask.[Maakunta],Maakunt.[[#This Row],[Maakunta]],Ohj.lask.[Painotetut pisteet 2])</f>
        <v>612546.29999999993</v>
      </c>
      <c r="N7" s="9">
        <f>SUMIF(Ohj.lask.[Maakunta],Maakunt.[[#This Row],[Maakunta]],Ohj.lask.[%-osuus 2])</f>
        <v>3.9986610165581415E-2</v>
      </c>
      <c r="O7" s="10">
        <f>SUMIF(Ohj.lask.[Maakunta],Maakunt.[[#This Row],[Maakunta]],Ohj.lask.[Jaettava € 2])</f>
        <v>17182486</v>
      </c>
      <c r="P7" s="11">
        <f>SUMIF(Ohj.lask.[Maakunta],Maakunt.[[#This Row],[Maakunta]],Ohj.lask.[Painotetut pisteet 3])</f>
        <v>12691</v>
      </c>
      <c r="Q7" s="9">
        <f>SUMIF(Ohj.lask.[Maakunta],Maakunt.[[#This Row],[Maakunta]],Ohj.lask.[%-osuus 3])</f>
        <v>4.0606522128650763E-2</v>
      </c>
      <c r="R7" s="10">
        <f>SUMIF(Ohj.lask.[Maakunta],Maakunt.[[#This Row],[Maakunta]],Ohj.lask.[Jaettava € 3])</f>
        <v>6107103</v>
      </c>
      <c r="S7" s="11">
        <f>SUMIF(Ohj.lask.[Maakunta],Maakunt.[[#This Row],[Maakunta]],Ohj.lask.[Painotetut pisteet 4])</f>
        <v>64216.4</v>
      </c>
      <c r="T7" s="9">
        <f>SUMIF(Ohj.lask.[Maakunta],Maakunt.[[#This Row],[Maakunta]],Ohj.lask.[%-osuus 4])</f>
        <v>3.8524559823830545E-2</v>
      </c>
      <c r="U7" s="10">
        <f>SUMIF(Ohj.lask.[Maakunta],Maakunt.[[#This Row],[Maakunta]],Ohj.lask.[Jaettava € 4])</f>
        <v>310393</v>
      </c>
      <c r="V7" s="11">
        <f>SUMIF(Ohj.lask.[Maakunta],Maakunt.[[#This Row],[Maakunta]],Ohj.lask.[Painotetut pisteet 5])</f>
        <v>470989.19999999995</v>
      </c>
      <c r="W7" s="9">
        <f>SUMIF(Ohj.lask.[Maakunta],Maakunt.[[#This Row],[Maakunta]],Ohj.lask.[%-osuus 5])</f>
        <v>4.6051561507861258E-2</v>
      </c>
      <c r="X7" s="16">
        <f>SUMIF(Ohj.lask.[Maakunta],Maakunt.[[#This Row],[Maakunta]],Ohj.lask.[Jaettava € 5])</f>
        <v>1113110</v>
      </c>
      <c r="Y7" s="11">
        <f>SUMIF(Ohj.lask.[Maakunta],Maakunt.[[#This Row],[Maakunta]],Ohj.lask.[Painotetut pisteet 6])</f>
        <v>12533580.9</v>
      </c>
      <c r="Z7" s="9">
        <f>SUMIF(Ohj.lask.[Maakunta],Maakunt.[[#This Row],[Maakunta]],Ohj.lask.[%-osuus 6])</f>
        <v>3.6927882543915248E-2</v>
      </c>
      <c r="AA7" s="16">
        <f>SUMIF(Ohj.lask.[Maakunta],Maakunt.[[#This Row],[Maakunta]],Ohj.lask.[Jaettava € 6])</f>
        <v>892582</v>
      </c>
      <c r="AB7" s="10">
        <f>SUMIF(Ohj.lask.[Maakunta],Maakunt.[[#This Row],[Maakunta]],Ohj.lask.[Pisteet 7])</f>
        <v>8170676.5999999996</v>
      </c>
      <c r="AC7" s="9">
        <f>SUMIF(Ohj.lask.[Maakunta],Maakunt.[[#This Row],[Maakunta]],Ohj.lask.[%-osuus 7])</f>
        <v>4.4279015387518633E-2</v>
      </c>
      <c r="AD7" s="10">
        <f>SUMIF(Ohj.lask.[Maakunta],Maakunt.[[#This Row],[Maakunta]],Ohj.lask.[Jaettava € 7])</f>
        <v>356755</v>
      </c>
      <c r="AE7" s="12">
        <f>SUMIF(Ohj.lask.[Maakunta],Maakunt.[[#This Row],[Maakunta]],Ohj.lask.[%-osuus 8])</f>
        <v>3.7265553073261265E-2</v>
      </c>
      <c r="AF7" s="16">
        <f>SUMIF(Ohj.lask.[Maakunta],Maakunt.[[#This Row],[Maakunta]],Ohj.lask.[Jaettava € 8])</f>
        <v>79139178</v>
      </c>
      <c r="AG7" s="33">
        <f>SUMIF(Ohj.lask.[Maakunta],Maakunt.[[#This Row],[Maakunta]],Ohj.lask.[Harkinnanvarainen korotus 1, €])</f>
        <v>0</v>
      </c>
      <c r="AH7" s="33">
        <f>SUMIF(Ohj.lask.[Maakunta],Maakunt.[[#This Row],[Maakunta]],Ohj.lask.[Harkinnanvarainen korotus 2, €])</f>
        <v>0</v>
      </c>
      <c r="AI7" s="33">
        <f>SUMIF(Ohj.lask.[Maakunta],Maakunt.[[#This Row],[Maakunta]],Ohj.lask.[Harkinnanvarainen korotus 3, €])</f>
        <v>0</v>
      </c>
      <c r="AJ7" s="16">
        <f>SUMIF(Ohj.lask.[Maakunta],Maakunt.[[#This Row],[Maakunta]],Ohj.lask.[Harkinnanvarainen korotus 4, €])</f>
        <v>0</v>
      </c>
      <c r="AK7" s="11">
        <f>SUMIF(Ohj.lask.[Maakunta],Maakunt.[[#This Row],[Maakunta]],Ohj.lask.[Harkinnanvarainen korotus 5, €])</f>
        <v>55000</v>
      </c>
      <c r="AL7" s="10">
        <f>SUMIF(Ohj.lask.[Maakunta],Maakunt.[[#This Row],[Maakunta]],Ohj.lask.[Harkinnanvarainen korotus 6, €])</f>
        <v>6000</v>
      </c>
      <c r="AM7" s="11">
        <f>SUMIF(Ohj.lask.[Maakunta],Maakunt.[[#This Row],[Maakunta]],Ohj.lask.[Harkinnanvarainen korotus 7, €])</f>
        <v>209504</v>
      </c>
      <c r="AN7" s="16">
        <f>SUMIF(Ohj.lask.[Maakunta],Maakunt.[[#This Row],[Maakunta]],Ohj.lask.[Harkinnanvarainen korotus 8, €])</f>
        <v>270504</v>
      </c>
      <c r="AO7" s="33">
        <f>SUMIF(Ohj.lask.[Maakunta],Maakunt.[[#This Row],[Maakunta]],Ohj.lask.[Suoriteperusteinen (opiskelijavuosiin perustuva) sekä harkinnanvarainen korotus, €])</f>
        <v>53447253</v>
      </c>
      <c r="AP7" s="10">
        <f>SUMIF(Ohj.lask.[Maakunta],Maakunt.[[#This Row],[Maakunta]],Ohj.lask.[Suoritusrahoitus, €])</f>
        <v>17182486</v>
      </c>
      <c r="AQ7" s="11">
        <f>SUMIF(Ohj.lask.[Maakunta],Maakunt.[[#This Row],[Maakunta]],Ohj.lask.[Työllistymiseen ja jatko-opintoihin siirtymiseen, opiskelijapalautteiseen sekä työelämäpalautteeseen perustuva, €])</f>
        <v>8779943</v>
      </c>
      <c r="AR7" s="11">
        <f>SUMIF(Ohj.lask.[Maakunta],Maakunt.[[#This Row],[Maakunta]],Ohj.lask.[Perus-, suoritus- ja vaikuttavuusrahoitus yhteensä, €])</f>
        <v>79409682</v>
      </c>
      <c r="AS7" s="12">
        <f>Maakunt.[[#This Row],[Jaettava € 1]]/Maakunt.[[#This Row],[Perus-, suoritus- ja vaikuttavuusrahoitus yhteensä, €]]</f>
        <v>0.66965069826120194</v>
      </c>
      <c r="AT7" s="9">
        <f>Maakunt.[[#This Row],[Suoriteperusteinen (opiskelijavuosiin perustuva) sekä harkinnanvarainen korotus, €]]/Maakunt.[[#This Row],[Perus-, suoritus- ja vaikuttavuusrahoitus yhteensä, €]]</f>
        <v>0.67305713426733027</v>
      </c>
      <c r="AU7" s="42">
        <f>Maakunt.[[#This Row],[Suoritusrahoitus, €]]/Maakunt.[[#This Row],[Perus-, suoritus- ja vaikuttavuusrahoitus yhteensä, €]]</f>
        <v>0.21637772079228323</v>
      </c>
      <c r="AV7" s="9">
        <f>Maakunt.[[#This Row],[Työllistymiseen ja jatko-opintoihin siirtymiseen, opiskelijapalautteiseen sekä työelämäpalautteeseen perustuva, €]]/Maakunt.[[#This Row],[Perus-, suoritus- ja vaikuttavuusrahoitus yhteensä, €]]</f>
        <v>0.11056514494038649</v>
      </c>
      <c r="AW7" s="9">
        <f>SUMIF(Ohj.lask.[Maakunta],Maakunt.[[#This Row],[Maakunta]],Ohj.lask.[Jaettava € 3])/Maakunt.[[#This Row],[Perus-, suoritus- ja vaikuttavuusrahoitus yhteensä, €]]</f>
        <v>7.6906276995291331E-2</v>
      </c>
      <c r="AX7" s="9">
        <f>SUMIF(Ohj.lask.[Maakunta],Maakunt.[[#This Row],[Maakunta]],Ohj.lask.[Jaettava € 4])/Maakunt.[[#This Row],[Perus-, suoritus- ja vaikuttavuusrahoitus yhteensä, €]]</f>
        <v>3.9087551062098446E-3</v>
      </c>
      <c r="AY7" s="9">
        <f>SUMIF(Ohj.lask.[Maakunta],Maakunt.[[#This Row],[Maakunta]],Ohj.lask.[Jaettava € 5])/Maakunt.[[#This Row],[Perus-, suoritus- ja vaikuttavuusrahoitus yhteensä, €]]</f>
        <v>1.4017308368014873E-2</v>
      </c>
      <c r="AZ7" s="9">
        <f>SUMIF(Ohj.lask.[Maakunta],Maakunt.[[#This Row],[Maakunta]],Ohj.lask.[Jaettava € 6])/Maakunt.[[#This Row],[Perus-, suoritus- ja vaikuttavuusrahoitus yhteensä, €]]</f>
        <v>1.1240216274886984E-2</v>
      </c>
      <c r="BA7" s="9">
        <f>SUMIF(Ohj.lask.[Maakunta],Maakunt.[[#This Row],[Maakunta]],Ohj.lask.[Jaettava € 7])/Maakunt.[[#This Row],[Perus-, suoritus- ja vaikuttavuusrahoitus yhteensä, €]]</f>
        <v>4.4925881959834574E-3</v>
      </c>
      <c r="BB7" s="11">
        <f>SUMIF(Vertailu[Maakunta],Maakunt.[[#This Row],[Maakunta]],Vertailu[Rahoitus ml. hark. kor. 
2023 ilman alv, €])</f>
        <v>74013131</v>
      </c>
      <c r="BC7" s="11">
        <f>SUMIF(Vertailu[Maakunta],Maakunt.[[#This Row],[Maakunta]],Vertailu[Rahoitus ml. hark. kor. 
2024 ilman alv, €])</f>
        <v>79409682</v>
      </c>
      <c r="BD7" s="11">
        <f>SUMIF(Vertailu[Maakunta],Maakunt.[[#This Row],[Maakunta]],Vertailu[Muutos, € 2])</f>
        <v>5396551</v>
      </c>
      <c r="BE7" s="34">
        <f>IFERROR(Maakunt.[[#This Row],[Muutos, €]]/Maakunt.[[#This Row],[Rahoitus ml. hark. kor. 
2023 ilman alv, €]],0)</f>
        <v>7.2913426672896728E-2</v>
      </c>
    </row>
    <row r="8" spans="1:57" x14ac:dyDescent="0.2">
      <c r="A8" s="15" t="s">
        <v>200</v>
      </c>
      <c r="B8" s="15">
        <f>COUNTIF(Ohj.lask.[Maakunta],Maakunt.[[#This Row],[Maakunta]])</f>
        <v>5</v>
      </c>
      <c r="C8" s="15">
        <f>COUNTIFS(Ohj.lask.[Maakunta],Maakunt.[[#This Row],[Maakunta]],Ohj.lask.[Omistajatyyppi],"=yksityinen")</f>
        <v>4</v>
      </c>
      <c r="D8" s="15">
        <f>COUNTIFS(Ohj.lask.[Maakunta],Maakunt.[[#This Row],[Maakunta]],Ohj.lask.[Omistajatyyppi],"=kunta")</f>
        <v>0</v>
      </c>
      <c r="E8" s="15">
        <f>COUNTIFS(Ohj.lask.[Maakunta],Maakunt.[[#This Row],[Maakunta]],Ohj.lask.[Omistajatyyppi],"=kuntayhtymä")</f>
        <v>1</v>
      </c>
      <c r="F8" s="11">
        <f>SUMIF(Ohj.lask.[Maakunta],Maakunt.[[#This Row],[Maakunta]],Ohj.lask.[Järjestämisluvan opisk.vuosien vähimmäismäärä])</f>
        <v>4024</v>
      </c>
      <c r="G8" s="10">
        <f>SUMIF(Ohj.lask.[Maakunta],Maakunt.[[#This Row],[Maakunta]],Ohj.lask.[Suoritepäätöksellä jaettavat opisk.vuodet (luvan ylittävä osuus)])</f>
        <v>247</v>
      </c>
      <c r="H8" s="10">
        <f>SUMIF(Ohj.lask.[Maakunta],Maakunt.[[#This Row],[Maakunta]],Ohj.lask.[Tavoitteelliset opiskelija-vuodet])</f>
        <v>4271</v>
      </c>
      <c r="I8" s="73">
        <f>Maakunt.[[#This Row],[Painotetut opiskelija-vuodet]]/Maakunt.[[#This Row],[Tavoitteelliset opiskelija-vuodet]]</f>
        <v>1.1842659798642003</v>
      </c>
      <c r="J8" s="74">
        <f>SUMIF(Ohj.lask.[Maakunta],Maakunt.[[#This Row],[Maakunta]],Ohj.lask.[Painotetut opiskelija-vuodet])</f>
        <v>5058</v>
      </c>
      <c r="K8" s="9">
        <f>SUMIF(Ohj.lask.[Maakunta],Maakunt.[[#This Row],[Maakunta]],Ohj.lask.[%-osuus 1])</f>
        <v>2.3336953683206155E-2</v>
      </c>
      <c r="L8" s="10">
        <f>SUMIF(Ohj.lask.[Maakunta],Maakunt.[[#This Row],[Maakunta]],Ohj.lask.[Jaettava € 1])</f>
        <v>34517594</v>
      </c>
      <c r="M8" s="11">
        <f>SUMIF(Ohj.lask.[Maakunta],Maakunt.[[#This Row],[Maakunta]],Ohj.lask.[Painotetut pisteet 2])</f>
        <v>406167.6</v>
      </c>
      <c r="N8" s="9">
        <f>SUMIF(Ohj.lask.[Maakunta],Maakunt.[[#This Row],[Maakunta]],Ohj.lask.[%-osuus 2])</f>
        <v>2.6514347540895777E-2</v>
      </c>
      <c r="O8" s="10">
        <f>SUMIF(Ohj.lask.[Maakunta],Maakunt.[[#This Row],[Maakunta]],Ohj.lask.[Jaettava € 2])</f>
        <v>11393375</v>
      </c>
      <c r="P8" s="11">
        <f>SUMIF(Ohj.lask.[Maakunta],Maakunt.[[#This Row],[Maakunta]],Ohj.lask.[Painotetut pisteet 3])</f>
        <v>8448.1999999999989</v>
      </c>
      <c r="Q8" s="9">
        <f>SUMIF(Ohj.lask.[Maakunta],Maakunt.[[#This Row],[Maakunta]],Ohj.lask.[%-osuus 3])</f>
        <v>2.7031126014283143E-2</v>
      </c>
      <c r="R8" s="10">
        <f>SUMIF(Ohj.lask.[Maakunta],Maakunt.[[#This Row],[Maakunta]],Ohj.lask.[Jaettava € 3])</f>
        <v>4065404</v>
      </c>
      <c r="S8" s="11">
        <f>SUMIF(Ohj.lask.[Maakunta],Maakunt.[[#This Row],[Maakunta]],Ohj.lask.[Painotetut pisteet 4])</f>
        <v>54466.399999999994</v>
      </c>
      <c r="T8" s="9">
        <f>SUMIF(Ohj.lask.[Maakunta],Maakunt.[[#This Row],[Maakunta]],Ohj.lask.[%-osuus 4])</f>
        <v>3.2675361514950763E-2</v>
      </c>
      <c r="U8" s="10">
        <f>SUMIF(Ohj.lask.[Maakunta],Maakunt.[[#This Row],[Maakunta]],Ohj.lask.[Jaettava € 4])</f>
        <v>263265</v>
      </c>
      <c r="V8" s="11">
        <f>SUMIF(Ohj.lask.[Maakunta],Maakunt.[[#This Row],[Maakunta]],Ohj.lask.[Painotetut pisteet 5])</f>
        <v>268398.90000000002</v>
      </c>
      <c r="W8" s="9">
        <f>SUMIF(Ohj.lask.[Maakunta],Maakunt.[[#This Row],[Maakunta]],Ohj.lask.[%-osuus 5])</f>
        <v>2.6243040078185023E-2</v>
      </c>
      <c r="X8" s="16">
        <f>SUMIF(Ohj.lask.[Maakunta],Maakunt.[[#This Row],[Maakunta]],Ohj.lask.[Jaettava € 5])</f>
        <v>634320</v>
      </c>
      <c r="Y8" s="11">
        <f>SUMIF(Ohj.lask.[Maakunta],Maakunt.[[#This Row],[Maakunta]],Ohj.lask.[Painotetut pisteet 6])</f>
        <v>8204309.7000000002</v>
      </c>
      <c r="Z8" s="9">
        <f>SUMIF(Ohj.lask.[Maakunta],Maakunt.[[#This Row],[Maakunta]],Ohj.lask.[%-osuus 6])</f>
        <v>2.4172484094749376E-2</v>
      </c>
      <c r="AA8" s="16">
        <f>SUMIF(Ohj.lask.[Maakunta],Maakunt.[[#This Row],[Maakunta]],Ohj.lask.[Jaettava € 6])</f>
        <v>584271</v>
      </c>
      <c r="AB8" s="10">
        <f>SUMIF(Ohj.lask.[Maakunta],Maakunt.[[#This Row],[Maakunta]],Ohj.lask.[Pisteet 7])</f>
        <v>5654111.9000000004</v>
      </c>
      <c r="AC8" s="9">
        <f>SUMIF(Ohj.lask.[Maakunta],Maakunt.[[#This Row],[Maakunta]],Ohj.lask.[%-osuus 7])</f>
        <v>3.0641098660403751E-2</v>
      </c>
      <c r="AD8" s="10">
        <f>SUMIF(Ohj.lask.[Maakunta],Maakunt.[[#This Row],[Maakunta]],Ohj.lask.[Jaettava € 7])</f>
        <v>246874</v>
      </c>
      <c r="AE8" s="12">
        <f>SUMIF(Ohj.lask.[Maakunta],Maakunt.[[#This Row],[Maakunta]],Ohj.lask.[%-osuus 8])</f>
        <v>2.4347223571174071E-2</v>
      </c>
      <c r="AF8" s="16">
        <f>SUMIF(Ohj.lask.[Maakunta],Maakunt.[[#This Row],[Maakunta]],Ohj.lask.[Jaettava € 8])</f>
        <v>51705103</v>
      </c>
      <c r="AG8" s="33">
        <f>SUMIF(Ohj.lask.[Maakunta],Maakunt.[[#This Row],[Maakunta]],Ohj.lask.[Harkinnanvarainen korotus 1, €])</f>
        <v>0</v>
      </c>
      <c r="AH8" s="33">
        <f>SUMIF(Ohj.lask.[Maakunta],Maakunt.[[#This Row],[Maakunta]],Ohj.lask.[Harkinnanvarainen korotus 2, €])</f>
        <v>0</v>
      </c>
      <c r="AI8" s="33">
        <f>SUMIF(Ohj.lask.[Maakunta],Maakunt.[[#This Row],[Maakunta]],Ohj.lask.[Harkinnanvarainen korotus 3, €])</f>
        <v>0</v>
      </c>
      <c r="AJ8" s="16">
        <f>SUMIF(Ohj.lask.[Maakunta],Maakunt.[[#This Row],[Maakunta]],Ohj.lask.[Harkinnanvarainen korotus 4, €])</f>
        <v>0</v>
      </c>
      <c r="AK8" s="11">
        <f>SUMIF(Ohj.lask.[Maakunta],Maakunt.[[#This Row],[Maakunta]],Ohj.lask.[Harkinnanvarainen korotus 5, €])</f>
        <v>62000</v>
      </c>
      <c r="AL8" s="10">
        <f>SUMIF(Ohj.lask.[Maakunta],Maakunt.[[#This Row],[Maakunta]],Ohj.lask.[Harkinnanvarainen korotus 6, €])</f>
        <v>0</v>
      </c>
      <c r="AM8" s="11">
        <f>SUMIF(Ohj.lask.[Maakunta],Maakunt.[[#This Row],[Maakunta]],Ohj.lask.[Harkinnanvarainen korotus 7, €])</f>
        <v>143461</v>
      </c>
      <c r="AN8" s="16">
        <f>SUMIF(Ohj.lask.[Maakunta],Maakunt.[[#This Row],[Maakunta]],Ohj.lask.[Harkinnanvarainen korotus 8, €])</f>
        <v>205461</v>
      </c>
      <c r="AO8" s="33">
        <f>SUMIF(Ohj.lask.[Maakunta],Maakunt.[[#This Row],[Maakunta]],Ohj.lask.[Suoriteperusteinen (opiskelijavuosiin perustuva) sekä harkinnanvarainen korotus, €])</f>
        <v>34723055</v>
      </c>
      <c r="AP8" s="10">
        <f>SUMIF(Ohj.lask.[Maakunta],Maakunt.[[#This Row],[Maakunta]],Ohj.lask.[Suoritusrahoitus, €])</f>
        <v>11393375</v>
      </c>
      <c r="AQ8" s="11">
        <f>SUMIF(Ohj.lask.[Maakunta],Maakunt.[[#This Row],[Maakunta]],Ohj.lask.[Työllistymiseen ja jatko-opintoihin siirtymiseen, opiskelijapalautteiseen sekä työelämäpalautteeseen perustuva, €])</f>
        <v>5794134</v>
      </c>
      <c r="AR8" s="11">
        <f>SUMIF(Ohj.lask.[Maakunta],Maakunt.[[#This Row],[Maakunta]],Ohj.lask.[Perus-, suoritus- ja vaikuttavuusrahoitus yhteensä, €])</f>
        <v>51910564</v>
      </c>
      <c r="AS8" s="12">
        <f>Maakunt.[[#This Row],[Jaettava € 1]]/Maakunt.[[#This Row],[Perus-, suoritus- ja vaikuttavuusrahoitus yhteensä, €]]</f>
        <v>0.66494353634840109</v>
      </c>
      <c r="AT8" s="9">
        <f>Maakunt.[[#This Row],[Suoriteperusteinen (opiskelijavuosiin perustuva) sekä harkinnanvarainen korotus, €]]/Maakunt.[[#This Row],[Perus-, suoritus- ja vaikuttavuusrahoitus yhteensä, €]]</f>
        <v>0.66890151684732224</v>
      </c>
      <c r="AU8" s="42">
        <f>Maakunt.[[#This Row],[Suoritusrahoitus, €]]/Maakunt.[[#This Row],[Perus-, suoritus- ja vaikuttavuusrahoitus yhteensä, €]]</f>
        <v>0.2194808555730583</v>
      </c>
      <c r="AV8" s="9">
        <f>Maakunt.[[#This Row],[Työllistymiseen ja jatko-opintoihin siirtymiseen, opiskelijapalautteiseen sekä työelämäpalautteeseen perustuva, €]]/Maakunt.[[#This Row],[Perus-, suoritus- ja vaikuttavuusrahoitus yhteensä, €]]</f>
        <v>0.11161762757961943</v>
      </c>
      <c r="AW8" s="9">
        <f>SUMIF(Ohj.lask.[Maakunta],Maakunt.[[#This Row],[Maakunta]],Ohj.lask.[Jaettava € 3])/Maakunt.[[#This Row],[Perus-, suoritus- ja vaikuttavuusrahoitus yhteensä, €]]</f>
        <v>7.8315542863298504E-2</v>
      </c>
      <c r="AX8" s="9">
        <f>SUMIF(Ohj.lask.[Maakunta],Maakunt.[[#This Row],[Maakunta]],Ohj.lask.[Jaettava € 4])/Maakunt.[[#This Row],[Perus-, suoritus- ja vaikuttavuusrahoitus yhteensä, €]]</f>
        <v>5.0715110704634223E-3</v>
      </c>
      <c r="AY8" s="9">
        <f>SUMIF(Ohj.lask.[Maakunta],Maakunt.[[#This Row],[Maakunta]],Ohj.lask.[Jaettava € 5])/Maakunt.[[#This Row],[Perus-, suoritus- ja vaikuttavuusrahoitus yhteensä, €]]</f>
        <v>1.221947810083512E-2</v>
      </c>
      <c r="AZ8" s="9">
        <f>SUMIF(Ohj.lask.[Maakunta],Maakunt.[[#This Row],[Maakunta]],Ohj.lask.[Jaettava € 6])/Maakunt.[[#This Row],[Perus-, suoritus- ja vaikuttavuusrahoitus yhteensä, €]]</f>
        <v>1.1255339086664517E-2</v>
      </c>
      <c r="BA8" s="9">
        <f>SUMIF(Ohj.lask.[Maakunta],Maakunt.[[#This Row],[Maakunta]],Ohj.lask.[Jaettava € 7])/Maakunt.[[#This Row],[Perus-, suoritus- ja vaikuttavuusrahoitus yhteensä, €]]</f>
        <v>4.7557564583578784E-3</v>
      </c>
      <c r="BB8" s="11">
        <f>SUMIF(Vertailu[Maakunta],Maakunt.[[#This Row],[Maakunta]],Vertailu[Rahoitus ml. hark. kor. 
2023 ilman alv, €])</f>
        <v>49920701</v>
      </c>
      <c r="BC8" s="11">
        <f>SUMIF(Vertailu[Maakunta],Maakunt.[[#This Row],[Maakunta]],Vertailu[Rahoitus ml. hark. kor. 
2024 ilman alv, €])</f>
        <v>51910564</v>
      </c>
      <c r="BD8" s="11">
        <f>SUMIF(Vertailu[Maakunta],Maakunt.[[#This Row],[Maakunta]],Vertailu[Muutos, € 2])</f>
        <v>1989863</v>
      </c>
      <c r="BE8" s="34">
        <f>IFERROR(Maakunt.[[#This Row],[Muutos, €]]/Maakunt.[[#This Row],[Rahoitus ml. hark. kor. 
2023 ilman alv, €]],0)</f>
        <v>3.986047792077279E-2</v>
      </c>
    </row>
    <row r="9" spans="1:57" x14ac:dyDescent="0.2">
      <c r="A9" s="15" t="s">
        <v>181</v>
      </c>
      <c r="B9" s="15">
        <f>COUNTIF(Ohj.lask.[Maakunta],Maakunt.[[#This Row],[Maakunta]])</f>
        <v>1</v>
      </c>
      <c r="C9" s="15">
        <f>COUNTIFS(Ohj.lask.[Maakunta],Maakunt.[[#This Row],[Maakunta]],Ohj.lask.[Omistajatyyppi],"=yksityinen")</f>
        <v>0</v>
      </c>
      <c r="D9" s="15">
        <f>COUNTIFS(Ohj.lask.[Maakunta],Maakunt.[[#This Row],[Maakunta]],Ohj.lask.[Omistajatyyppi],"=kunta")</f>
        <v>1</v>
      </c>
      <c r="E9" s="15">
        <f>COUNTIFS(Ohj.lask.[Maakunta],Maakunt.[[#This Row],[Maakunta]],Ohj.lask.[Omistajatyyppi],"=kuntayhtymä")</f>
        <v>0</v>
      </c>
      <c r="F9" s="11">
        <f>SUMIF(Ohj.lask.[Maakunta],Maakunt.[[#This Row],[Maakunta]],Ohj.lask.[Järjestämisluvan opisk.vuosien vähimmäismäärä])</f>
        <v>2596</v>
      </c>
      <c r="G9" s="10">
        <f>SUMIF(Ohj.lask.[Maakunta],Maakunt.[[#This Row],[Maakunta]],Ohj.lask.[Suoritepäätöksellä jaettavat opisk.vuodet (luvan ylittävä osuus)])</f>
        <v>219</v>
      </c>
      <c r="H9" s="10">
        <f>SUMIF(Ohj.lask.[Maakunta],Maakunt.[[#This Row],[Maakunta]],Ohj.lask.[Tavoitteelliset opiskelija-vuodet])</f>
        <v>2815</v>
      </c>
      <c r="I9" s="73">
        <f>Maakunt.[[#This Row],[Painotetut opiskelija-vuodet]]/Maakunt.[[#This Row],[Tavoitteelliset opiskelija-vuodet]]</f>
        <v>1.1139609236234458</v>
      </c>
      <c r="J9" s="74">
        <f>SUMIF(Ohj.lask.[Maakunta],Maakunt.[[#This Row],[Maakunta]],Ohj.lask.[Painotetut opiskelija-vuodet])</f>
        <v>3135.8</v>
      </c>
      <c r="K9" s="9">
        <f>SUMIF(Ohj.lask.[Maakunta],Maakunt.[[#This Row],[Maakunta]],Ohj.lask.[%-osuus 1])</f>
        <v>1.4468173064412391E-2</v>
      </c>
      <c r="L9" s="10">
        <f>SUMIF(Ohj.lask.[Maakunta],Maakunt.[[#This Row],[Maakunta]],Ohj.lask.[Jaettava € 1])</f>
        <v>21399817</v>
      </c>
      <c r="M9" s="11">
        <f>SUMIF(Ohj.lask.[Maakunta],Maakunt.[[#This Row],[Maakunta]],Ohj.lask.[Painotetut pisteet 2])</f>
        <v>216608</v>
      </c>
      <c r="N9" s="9">
        <f>SUMIF(Ohj.lask.[Maakunta],Maakunt.[[#This Row],[Maakunta]],Ohj.lask.[%-osuus 2])</f>
        <v>1.4140024443452288E-2</v>
      </c>
      <c r="O9" s="10">
        <f>SUMIF(Ohj.lask.[Maakunta],Maakunt.[[#This Row],[Maakunta]],Ohj.lask.[Jaettava € 2])</f>
        <v>6076053</v>
      </c>
      <c r="P9" s="11">
        <f>SUMIF(Ohj.lask.[Maakunta],Maakunt.[[#This Row],[Maakunta]],Ohj.lask.[Painotetut pisteet 3])</f>
        <v>5030.3</v>
      </c>
      <c r="Q9" s="9">
        <f>SUMIF(Ohj.lask.[Maakunta],Maakunt.[[#This Row],[Maakunta]],Ohj.lask.[%-osuus 3])</f>
        <v>1.6095105843806787E-2</v>
      </c>
      <c r="R9" s="10">
        <f>SUMIF(Ohj.lask.[Maakunta],Maakunt.[[#This Row],[Maakunta]],Ohj.lask.[Jaettava € 3])</f>
        <v>2420657</v>
      </c>
      <c r="S9" s="11">
        <f>SUMIF(Ohj.lask.[Maakunta],Maakunt.[[#This Row],[Maakunta]],Ohj.lask.[Painotetut pisteet 4])</f>
        <v>25971.7</v>
      </c>
      <c r="T9" s="9">
        <f>SUMIF(Ohj.lask.[Maakunta],Maakunt.[[#This Row],[Maakunta]],Ohj.lask.[%-osuus 4])</f>
        <v>1.5580884483972626E-2</v>
      </c>
      <c r="U9" s="10">
        <f>SUMIF(Ohj.lask.[Maakunta],Maakunt.[[#This Row],[Maakunta]],Ohj.lask.[Jaettava € 4])</f>
        <v>125535</v>
      </c>
      <c r="V9" s="11">
        <f>SUMIF(Ohj.lask.[Maakunta],Maakunt.[[#This Row],[Maakunta]],Ohj.lask.[Painotetut pisteet 5])</f>
        <v>162010.79999999999</v>
      </c>
      <c r="W9" s="9">
        <f>SUMIF(Ohj.lask.[Maakunta],Maakunt.[[#This Row],[Maakunta]],Ohj.lask.[%-osuus 5])</f>
        <v>1.5840809770452925E-2</v>
      </c>
      <c r="X9" s="16">
        <f>SUMIF(Ohj.lask.[Maakunta],Maakunt.[[#This Row],[Maakunta]],Ohj.lask.[Jaettava € 5])</f>
        <v>382888</v>
      </c>
      <c r="Y9" s="11">
        <f>SUMIF(Ohj.lask.[Maakunta],Maakunt.[[#This Row],[Maakunta]],Ohj.lask.[Painotetut pisteet 6])</f>
        <v>7999171.5999999996</v>
      </c>
      <c r="Z9" s="9">
        <f>SUMIF(Ohj.lask.[Maakunta],Maakunt.[[#This Row],[Maakunta]],Ohj.lask.[%-osuus 6])</f>
        <v>2.3568082549610594E-2</v>
      </c>
      <c r="AA9" s="16">
        <f>SUMIF(Ohj.lask.[Maakunta],Maakunt.[[#This Row],[Maakunta]],Ohj.lask.[Jaettava € 6])</f>
        <v>569663</v>
      </c>
      <c r="AB9" s="10">
        <f>SUMIF(Ohj.lask.[Maakunta],Maakunt.[[#This Row],[Maakunta]],Ohj.lask.[Pisteet 7])</f>
        <v>4041418.1</v>
      </c>
      <c r="AC9" s="9">
        <f>SUMIF(Ohj.lask.[Maakunta],Maakunt.[[#This Row],[Maakunta]],Ohj.lask.[%-osuus 7])</f>
        <v>2.190149274018462E-2</v>
      </c>
      <c r="AD9" s="10">
        <f>SUMIF(Ohj.lask.[Maakunta],Maakunt.[[#This Row],[Maakunta]],Ohj.lask.[Jaettava € 7])</f>
        <v>176460</v>
      </c>
      <c r="AE9" s="12">
        <f>SUMIF(Ohj.lask.[Maakunta],Maakunt.[[#This Row],[Maakunta]],Ohj.lask.[%-osuus 8])</f>
        <v>1.4668612860377904E-2</v>
      </c>
      <c r="AF9" s="16">
        <f>SUMIF(Ohj.lask.[Maakunta],Maakunt.[[#This Row],[Maakunta]],Ohj.lask.[Jaettava € 8])</f>
        <v>31151073</v>
      </c>
      <c r="AG9" s="33">
        <f>SUMIF(Ohj.lask.[Maakunta],Maakunt.[[#This Row],[Maakunta]],Ohj.lask.[Harkinnanvarainen korotus 1, €])</f>
        <v>0</v>
      </c>
      <c r="AH9" s="33">
        <f>SUMIF(Ohj.lask.[Maakunta],Maakunt.[[#This Row],[Maakunta]],Ohj.lask.[Harkinnanvarainen korotus 2, €])</f>
        <v>0</v>
      </c>
      <c r="AI9" s="33">
        <f>SUMIF(Ohj.lask.[Maakunta],Maakunt.[[#This Row],[Maakunta]],Ohj.lask.[Harkinnanvarainen korotus 3, €])</f>
        <v>0</v>
      </c>
      <c r="AJ9" s="16">
        <f>SUMIF(Ohj.lask.[Maakunta],Maakunt.[[#This Row],[Maakunta]],Ohj.lask.[Harkinnanvarainen korotus 4, €])</f>
        <v>0</v>
      </c>
      <c r="AK9" s="11">
        <f>SUMIF(Ohj.lask.[Maakunta],Maakunt.[[#This Row],[Maakunta]],Ohj.lask.[Harkinnanvarainen korotus 5, €])</f>
        <v>54000</v>
      </c>
      <c r="AL9" s="10">
        <f>SUMIF(Ohj.lask.[Maakunta],Maakunt.[[#This Row],[Maakunta]],Ohj.lask.[Harkinnanvarainen korotus 6, €])</f>
        <v>0</v>
      </c>
      <c r="AM9" s="11">
        <f>SUMIF(Ohj.lask.[Maakunta],Maakunt.[[#This Row],[Maakunta]],Ohj.lask.[Harkinnanvarainen korotus 7, €])</f>
        <v>113946</v>
      </c>
      <c r="AN9" s="16">
        <f>SUMIF(Ohj.lask.[Maakunta],Maakunt.[[#This Row],[Maakunta]],Ohj.lask.[Harkinnanvarainen korotus 8, €])</f>
        <v>167946</v>
      </c>
      <c r="AO9" s="33">
        <f>SUMIF(Ohj.lask.[Maakunta],Maakunt.[[#This Row],[Maakunta]],Ohj.lask.[Suoriteperusteinen (opiskelijavuosiin perustuva) sekä harkinnanvarainen korotus, €])</f>
        <v>21567763</v>
      </c>
      <c r="AP9" s="10">
        <f>SUMIF(Ohj.lask.[Maakunta],Maakunt.[[#This Row],[Maakunta]],Ohj.lask.[Suoritusrahoitus, €])</f>
        <v>6076053</v>
      </c>
      <c r="AQ9" s="11">
        <f>SUMIF(Ohj.lask.[Maakunta],Maakunt.[[#This Row],[Maakunta]],Ohj.lask.[Työllistymiseen ja jatko-opintoihin siirtymiseen, opiskelijapalautteiseen sekä työelämäpalautteeseen perustuva, €])</f>
        <v>3675203</v>
      </c>
      <c r="AR9" s="11">
        <f>SUMIF(Ohj.lask.[Maakunta],Maakunt.[[#This Row],[Maakunta]],Ohj.lask.[Perus-, suoritus- ja vaikuttavuusrahoitus yhteensä, €])</f>
        <v>31319019</v>
      </c>
      <c r="AS9" s="12">
        <f>Maakunt.[[#This Row],[Jaettava € 1]]/Maakunt.[[#This Row],[Perus-, suoritus- ja vaikuttavuusrahoitus yhteensä, €]]</f>
        <v>0.68328503520496608</v>
      </c>
      <c r="AT9" s="9">
        <f>Maakunt.[[#This Row],[Suoriteperusteinen (opiskelijavuosiin perustuva) sekä harkinnanvarainen korotus, €]]/Maakunt.[[#This Row],[Perus-, suoritus- ja vaikuttavuusrahoitus yhteensä, €]]</f>
        <v>0.68864746370248697</v>
      </c>
      <c r="AU9" s="42">
        <f>Maakunt.[[#This Row],[Suoritusrahoitus, €]]/Maakunt.[[#This Row],[Perus-, suoritus- ja vaikuttavuusrahoitus yhteensä, €]]</f>
        <v>0.1940052145311448</v>
      </c>
      <c r="AV9" s="9">
        <f>Maakunt.[[#This Row],[Työllistymiseen ja jatko-opintoihin siirtymiseen, opiskelijapalautteiseen sekä työelämäpalautteeseen perustuva, €]]/Maakunt.[[#This Row],[Perus-, suoritus- ja vaikuttavuusrahoitus yhteensä, €]]</f>
        <v>0.11734732176636822</v>
      </c>
      <c r="AW9" s="9">
        <f>SUMIF(Ohj.lask.[Maakunta],Maakunt.[[#This Row],[Maakunta]],Ohj.lask.[Jaettava € 3])/Maakunt.[[#This Row],[Perus-, suoritus- ja vaikuttavuusrahoitus yhteensä, €]]</f>
        <v>7.729031998096747E-2</v>
      </c>
      <c r="AX9" s="9">
        <f>SUMIF(Ohj.lask.[Maakunta],Maakunt.[[#This Row],[Maakunta]],Ohj.lask.[Jaettava € 4])/Maakunt.[[#This Row],[Perus-, suoritus- ja vaikuttavuusrahoitus yhteensä, €]]</f>
        <v>4.0082673087557434E-3</v>
      </c>
      <c r="AY9" s="9">
        <f>SUMIF(Ohj.lask.[Maakunta],Maakunt.[[#This Row],[Maakunta]],Ohj.lask.[Jaettava € 5])/Maakunt.[[#This Row],[Perus-, suoritus- ja vaikuttavuusrahoitus yhteensä, €]]</f>
        <v>1.2225414850956857E-2</v>
      </c>
      <c r="AZ9" s="9">
        <f>SUMIF(Ohj.lask.[Maakunta],Maakunt.[[#This Row],[Maakunta]],Ohj.lask.[Jaettava € 6])/Maakunt.[[#This Row],[Perus-, suoritus- ja vaikuttavuusrahoitus yhteensä, €]]</f>
        <v>1.8189043532940798E-2</v>
      </c>
      <c r="BA9" s="9">
        <f>SUMIF(Ohj.lask.[Maakunta],Maakunt.[[#This Row],[Maakunta]],Ohj.lask.[Jaettava € 7])/Maakunt.[[#This Row],[Perus-, suoritus- ja vaikuttavuusrahoitus yhteensä, €]]</f>
        <v>5.6342760927473494E-3</v>
      </c>
      <c r="BB9" s="11">
        <f>SUMIF(Vertailu[Maakunta],Maakunt.[[#This Row],[Maakunta]],Vertailu[Rahoitus ml. hark. kor. 
2023 ilman alv, €])</f>
        <v>29553847</v>
      </c>
      <c r="BC9" s="11">
        <f>SUMIF(Vertailu[Maakunta],Maakunt.[[#This Row],[Maakunta]],Vertailu[Rahoitus ml. hark. kor. 
2024 ilman alv, €])</f>
        <v>31319019</v>
      </c>
      <c r="BD9" s="11">
        <f>SUMIF(Vertailu[Maakunta],Maakunt.[[#This Row],[Maakunta]],Vertailu[Muutos, € 2])</f>
        <v>1765172</v>
      </c>
      <c r="BE9" s="34">
        <f>IFERROR(Maakunt.[[#This Row],[Muutos, €]]/Maakunt.[[#This Row],[Rahoitus ml. hark. kor. 
2023 ilman alv, €]],0)</f>
        <v>5.9727317394584874E-2</v>
      </c>
    </row>
    <row r="10" spans="1:57" x14ac:dyDescent="0.2">
      <c r="A10" s="15" t="s">
        <v>255</v>
      </c>
      <c r="B10" s="15">
        <f>COUNTIF(Ohj.lask.[Maakunta],Maakunt.[[#This Row],[Maakunta]])</f>
        <v>6</v>
      </c>
      <c r="C10" s="15">
        <f>COUNTIFS(Ohj.lask.[Maakunta],Maakunt.[[#This Row],[Maakunta]],Ohj.lask.[Omistajatyyppi],"=yksityinen")</f>
        <v>4</v>
      </c>
      <c r="D10" s="15">
        <f>COUNTIFS(Ohj.lask.[Maakunta],Maakunt.[[#This Row],[Maakunta]],Ohj.lask.[Omistajatyyppi],"=kunta")</f>
        <v>0</v>
      </c>
      <c r="E10" s="15">
        <f>COUNTIFS(Ohj.lask.[Maakunta],Maakunt.[[#This Row],[Maakunta]],Ohj.lask.[Omistajatyyppi],"=kuntayhtymä")</f>
        <v>2</v>
      </c>
      <c r="F10" s="11">
        <f>SUMIF(Ohj.lask.[Maakunta],Maakunt.[[#This Row],[Maakunta]],Ohj.lask.[Järjestämisluvan opisk.vuosien vähimmäismäärä])</f>
        <v>4633</v>
      </c>
      <c r="G10" s="10">
        <f>SUMIF(Ohj.lask.[Maakunta],Maakunt.[[#This Row],[Maakunta]],Ohj.lask.[Suoritepäätöksellä jaettavat opisk.vuodet (luvan ylittävä osuus)])</f>
        <v>510</v>
      </c>
      <c r="H10" s="10">
        <f>SUMIF(Ohj.lask.[Maakunta],Maakunt.[[#This Row],[Maakunta]],Ohj.lask.[Tavoitteelliset opiskelija-vuodet])</f>
        <v>5143</v>
      </c>
      <c r="I10" s="73">
        <f>Maakunt.[[#This Row],[Painotetut opiskelija-vuodet]]/Maakunt.[[#This Row],[Tavoitteelliset opiskelija-vuodet]]</f>
        <v>1.7797200077775615</v>
      </c>
      <c r="J10" s="74">
        <f>SUMIF(Ohj.lask.[Maakunta],Maakunt.[[#This Row],[Maakunta]],Ohj.lask.[Painotetut opiskelija-vuodet])</f>
        <v>9153.0999999999985</v>
      </c>
      <c r="K10" s="9">
        <f>SUMIF(Ohj.lask.[Maakunta],Maakunt.[[#This Row],[Maakunta]],Ohj.lask.[%-osuus 1])</f>
        <v>4.2231212091291874E-2</v>
      </c>
      <c r="L10" s="10">
        <f>SUMIF(Ohj.lask.[Maakunta],Maakunt.[[#This Row],[Maakunta]],Ohj.lask.[Jaettava € 1])</f>
        <v>62464017</v>
      </c>
      <c r="M10" s="11">
        <f>SUMIF(Ohj.lask.[Maakunta],Maakunt.[[#This Row],[Maakunta]],Ohj.lask.[Painotetut pisteet 2])</f>
        <v>524906</v>
      </c>
      <c r="N10" s="9">
        <f>SUMIF(Ohj.lask.[Maakunta],Maakunt.[[#This Row],[Maakunta]],Ohj.lask.[%-osuus 2])</f>
        <v>3.4265510371337932E-2</v>
      </c>
      <c r="O10" s="10">
        <f>SUMIF(Ohj.lask.[Maakunta],Maakunt.[[#This Row],[Maakunta]],Ohj.lask.[Jaettava € 2])</f>
        <v>14724096</v>
      </c>
      <c r="P10" s="11">
        <f>SUMIF(Ohj.lask.[Maakunta],Maakunt.[[#This Row],[Maakunta]],Ohj.lask.[Painotetut pisteet 3])</f>
        <v>8169</v>
      </c>
      <c r="Q10" s="9">
        <f>SUMIF(Ohj.lask.[Maakunta],Maakunt.[[#This Row],[Maakunta]],Ohj.lask.[%-osuus 3])</f>
        <v>2.613778892671563E-2</v>
      </c>
      <c r="R10" s="10">
        <f>SUMIF(Ohj.lask.[Maakunta],Maakunt.[[#This Row],[Maakunta]],Ohj.lask.[Jaettava € 3])</f>
        <v>3931047</v>
      </c>
      <c r="S10" s="11">
        <f>SUMIF(Ohj.lask.[Maakunta],Maakunt.[[#This Row],[Maakunta]],Ohj.lask.[Painotetut pisteet 4])</f>
        <v>45303</v>
      </c>
      <c r="T10" s="9">
        <f>SUMIF(Ohj.lask.[Maakunta],Maakunt.[[#This Row],[Maakunta]],Ohj.lask.[%-osuus 4])</f>
        <v>2.7178074973044194E-2</v>
      </c>
      <c r="U10" s="10">
        <f>SUMIF(Ohj.lask.[Maakunta],Maakunt.[[#This Row],[Maakunta]],Ohj.lask.[Jaettava € 4])</f>
        <v>218974</v>
      </c>
      <c r="V10" s="11">
        <f>SUMIF(Ohj.lask.[Maakunta],Maakunt.[[#This Row],[Maakunta]],Ohj.lask.[Painotetut pisteet 5])</f>
        <v>273550.8</v>
      </c>
      <c r="W10" s="9">
        <f>SUMIF(Ohj.lask.[Maakunta],Maakunt.[[#This Row],[Maakunta]],Ohj.lask.[%-osuus 5])</f>
        <v>2.6746773581484782E-2</v>
      </c>
      <c r="X10" s="16">
        <f>SUMIF(Ohj.lask.[Maakunta],Maakunt.[[#This Row],[Maakunta]],Ohj.lask.[Jaettava € 5])</f>
        <v>646496</v>
      </c>
      <c r="Y10" s="11">
        <f>SUMIF(Ohj.lask.[Maakunta],Maakunt.[[#This Row],[Maakunta]],Ohj.lask.[Painotetut pisteet 6])</f>
        <v>11494170.5</v>
      </c>
      <c r="Z10" s="9">
        <f>SUMIF(Ohj.lask.[Maakunta],Maakunt.[[#This Row],[Maakunta]],Ohj.lask.[%-osuus 6])</f>
        <v>3.3865451665432318E-2</v>
      </c>
      <c r="AA10" s="16">
        <f>SUMIF(Ohj.lask.[Maakunta],Maakunt.[[#This Row],[Maakunta]],Ohj.lask.[Jaettava € 6])</f>
        <v>818561</v>
      </c>
      <c r="AB10" s="10">
        <f>SUMIF(Ohj.lask.[Maakunta],Maakunt.[[#This Row],[Maakunta]],Ohj.lask.[Pisteet 7])</f>
        <v>6574085.1999999993</v>
      </c>
      <c r="AC10" s="9">
        <f>SUMIF(Ohj.lask.[Maakunta],Maakunt.[[#This Row],[Maakunta]],Ohj.lask.[%-osuus 7])</f>
        <v>3.5626672548716293E-2</v>
      </c>
      <c r="AD10" s="10">
        <f>SUMIF(Ohj.lask.[Maakunta],Maakunt.[[#This Row],[Maakunta]],Ohj.lask.[Jaettava € 7])</f>
        <v>287044</v>
      </c>
      <c r="AE10" s="12">
        <f>SUMIF(Ohj.lask.[Maakunta],Maakunt.[[#This Row],[Maakunta]],Ohj.lask.[%-osuus 8])</f>
        <v>3.9126051603192685E-2</v>
      </c>
      <c r="AF10" s="16">
        <f>SUMIF(Ohj.lask.[Maakunta],Maakunt.[[#This Row],[Maakunta]],Ohj.lask.[Jaettava € 8])</f>
        <v>83090235</v>
      </c>
      <c r="AG10" s="33">
        <f>SUMIF(Ohj.lask.[Maakunta],Maakunt.[[#This Row],[Maakunta]],Ohj.lask.[Harkinnanvarainen korotus 1, €])</f>
        <v>0</v>
      </c>
      <c r="AH10" s="33">
        <f>SUMIF(Ohj.lask.[Maakunta],Maakunt.[[#This Row],[Maakunta]],Ohj.lask.[Harkinnanvarainen korotus 2, €])</f>
        <v>150000</v>
      </c>
      <c r="AI10" s="33">
        <f>SUMIF(Ohj.lask.[Maakunta],Maakunt.[[#This Row],[Maakunta]],Ohj.lask.[Harkinnanvarainen korotus 3, €])</f>
        <v>0</v>
      </c>
      <c r="AJ10" s="16">
        <f>SUMIF(Ohj.lask.[Maakunta],Maakunt.[[#This Row],[Maakunta]],Ohj.lask.[Harkinnanvarainen korotus 4, €])</f>
        <v>0</v>
      </c>
      <c r="AK10" s="11">
        <f>SUMIF(Ohj.lask.[Maakunta],Maakunt.[[#This Row],[Maakunta]],Ohj.lask.[Harkinnanvarainen korotus 5, €])</f>
        <v>70000</v>
      </c>
      <c r="AL10" s="10">
        <f>SUMIF(Ohj.lask.[Maakunta],Maakunt.[[#This Row],[Maakunta]],Ohj.lask.[Harkinnanvarainen korotus 6, €])</f>
        <v>0</v>
      </c>
      <c r="AM10" s="11">
        <f>SUMIF(Ohj.lask.[Maakunta],Maakunt.[[#This Row],[Maakunta]],Ohj.lask.[Harkinnanvarainen korotus 7, €])</f>
        <v>162314</v>
      </c>
      <c r="AN10" s="16">
        <f>SUMIF(Ohj.lask.[Maakunta],Maakunt.[[#This Row],[Maakunta]],Ohj.lask.[Harkinnanvarainen korotus 8, €])</f>
        <v>382314</v>
      </c>
      <c r="AO10" s="33">
        <f>SUMIF(Ohj.lask.[Maakunta],Maakunt.[[#This Row],[Maakunta]],Ohj.lask.[Suoriteperusteinen (opiskelijavuosiin perustuva) sekä harkinnanvarainen korotus, €])</f>
        <v>62846331</v>
      </c>
      <c r="AP10" s="10">
        <f>SUMIF(Ohj.lask.[Maakunta],Maakunt.[[#This Row],[Maakunta]],Ohj.lask.[Suoritusrahoitus, €])</f>
        <v>14724096</v>
      </c>
      <c r="AQ10" s="11">
        <f>SUMIF(Ohj.lask.[Maakunta],Maakunt.[[#This Row],[Maakunta]],Ohj.lask.[Työllistymiseen ja jatko-opintoihin siirtymiseen, opiskelijapalautteiseen sekä työelämäpalautteeseen perustuva, €])</f>
        <v>5902122</v>
      </c>
      <c r="AR10" s="11">
        <f>SUMIF(Ohj.lask.[Maakunta],Maakunt.[[#This Row],[Maakunta]],Ohj.lask.[Perus-, suoritus- ja vaikuttavuusrahoitus yhteensä, €])</f>
        <v>83472549</v>
      </c>
      <c r="AS10" s="12">
        <f>Maakunt.[[#This Row],[Jaettava € 1]]/Maakunt.[[#This Row],[Perus-, suoritus- ja vaikuttavuusrahoitus yhteensä, €]]</f>
        <v>0.74831807280738483</v>
      </c>
      <c r="AT10" s="9">
        <f>Maakunt.[[#This Row],[Suoriteperusteinen (opiskelijavuosiin perustuva) sekä harkinnanvarainen korotus, €]]/Maakunt.[[#This Row],[Perus-, suoritus- ja vaikuttavuusrahoitus yhteensä, €]]</f>
        <v>0.75289818931970076</v>
      </c>
      <c r="AU10" s="42">
        <f>Maakunt.[[#This Row],[Suoritusrahoitus, €]]/Maakunt.[[#This Row],[Perus-, suoritus- ja vaikuttavuusrahoitus yhteensä, €]]</f>
        <v>0.17639446951596027</v>
      </c>
      <c r="AV10" s="9">
        <f>Maakunt.[[#This Row],[Työllistymiseen ja jatko-opintoihin siirtymiseen, opiskelijapalautteiseen sekä työelämäpalautteeseen perustuva, €]]/Maakunt.[[#This Row],[Perus-, suoritus- ja vaikuttavuusrahoitus yhteensä, €]]</f>
        <v>7.0707341164338952E-2</v>
      </c>
      <c r="AW10" s="9">
        <f>SUMIF(Ohj.lask.[Maakunta],Maakunt.[[#This Row],[Maakunta]],Ohj.lask.[Jaettava € 3])/Maakunt.[[#This Row],[Perus-, suoritus- ja vaikuttavuusrahoitus yhteensä, €]]</f>
        <v>4.7093889513305745E-2</v>
      </c>
      <c r="AX10" s="9">
        <f>SUMIF(Ohj.lask.[Maakunta],Maakunt.[[#This Row],[Maakunta]],Ohj.lask.[Jaettava € 4])/Maakunt.[[#This Row],[Perus-, suoritus- ja vaikuttavuusrahoitus yhteensä, €]]</f>
        <v>2.6233055372491382E-3</v>
      </c>
      <c r="AY10" s="9">
        <f>SUMIF(Ohj.lask.[Maakunta],Maakunt.[[#This Row],[Maakunta]],Ohj.lask.[Jaettava € 5])/Maakunt.[[#This Row],[Perus-, suoritus- ja vaikuttavuusrahoitus yhteensä, €]]</f>
        <v>7.7450132737650074E-3</v>
      </c>
      <c r="AZ10" s="9">
        <f>SUMIF(Ohj.lask.[Maakunta],Maakunt.[[#This Row],[Maakunta]],Ohj.lask.[Jaettava € 6])/Maakunt.[[#This Row],[Perus-, suoritus- ja vaikuttavuusrahoitus yhteensä, €]]</f>
        <v>9.8063496299843431E-3</v>
      </c>
      <c r="BA10" s="9">
        <f>SUMIF(Ohj.lask.[Maakunta],Maakunt.[[#This Row],[Maakunta]],Ohj.lask.[Jaettava € 7])/Maakunt.[[#This Row],[Perus-, suoritus- ja vaikuttavuusrahoitus yhteensä, €]]</f>
        <v>3.4387832100347144E-3</v>
      </c>
      <c r="BB10" s="11">
        <f>SUMIF(Vertailu[Maakunta],Maakunt.[[#This Row],[Maakunta]],Vertailu[Rahoitus ml. hark. kor. 
2023 ilman alv, €])</f>
        <v>78123895</v>
      </c>
      <c r="BC10" s="11">
        <f>SUMIF(Vertailu[Maakunta],Maakunt.[[#This Row],[Maakunta]],Vertailu[Rahoitus ml. hark. kor. 
2024 ilman alv, €])</f>
        <v>83472549</v>
      </c>
      <c r="BD10" s="11">
        <f>SUMIF(Vertailu[Maakunta],Maakunt.[[#This Row],[Maakunta]],Vertailu[Muutos, € 2])</f>
        <v>5348654</v>
      </c>
      <c r="BE10" s="34">
        <f>IFERROR(Maakunt.[[#This Row],[Muutos, €]]/Maakunt.[[#This Row],[Rahoitus ml. hark. kor. 
2023 ilman alv, €]],0)</f>
        <v>6.8463739551132205E-2</v>
      </c>
    </row>
    <row r="11" spans="1:57" x14ac:dyDescent="0.2">
      <c r="A11" s="15" t="s">
        <v>265</v>
      </c>
      <c r="B11" s="15">
        <f>COUNTIF(Ohj.lask.[Maakunta],Maakunt.[[#This Row],[Maakunta]])</f>
        <v>2</v>
      </c>
      <c r="C11" s="15">
        <f>COUNTIFS(Ohj.lask.[Maakunta],Maakunt.[[#This Row],[Maakunta]],Ohj.lask.[Omistajatyyppi],"=yksityinen")</f>
        <v>1</v>
      </c>
      <c r="D11" s="15">
        <f>COUNTIFS(Ohj.lask.[Maakunta],Maakunt.[[#This Row],[Maakunta]],Ohj.lask.[Omistajatyyppi],"=kunta")</f>
        <v>0</v>
      </c>
      <c r="E11" s="15">
        <f>COUNTIFS(Ohj.lask.[Maakunta],Maakunt.[[#This Row],[Maakunta]],Ohj.lask.[Omistajatyyppi],"=kuntayhtymä")</f>
        <v>1</v>
      </c>
      <c r="F11" s="11">
        <f>SUMIF(Ohj.lask.[Maakunta],Maakunt.[[#This Row],[Maakunta]],Ohj.lask.[Järjestämisluvan opisk.vuosien vähimmäismäärä])</f>
        <v>2615</v>
      </c>
      <c r="G11" s="10">
        <f>SUMIF(Ohj.lask.[Maakunta],Maakunt.[[#This Row],[Maakunta]],Ohj.lask.[Suoritepäätöksellä jaettavat opisk.vuodet (luvan ylittävä osuus)])</f>
        <v>74</v>
      </c>
      <c r="H11" s="10">
        <f>SUMIF(Ohj.lask.[Maakunta],Maakunt.[[#This Row],[Maakunta]],Ohj.lask.[Tavoitteelliset opiskelija-vuodet])</f>
        <v>2689</v>
      </c>
      <c r="I11" s="73">
        <f>Maakunt.[[#This Row],[Painotetut opiskelija-vuodet]]/Maakunt.[[#This Row],[Tavoitteelliset opiskelija-vuodet]]</f>
        <v>1.2101524730383044</v>
      </c>
      <c r="J11" s="74">
        <f>SUMIF(Ohj.lask.[Maakunta],Maakunt.[[#This Row],[Maakunta]],Ohj.lask.[Painotetut opiskelija-vuodet])</f>
        <v>3254.1000000000004</v>
      </c>
      <c r="K11" s="9">
        <f>SUMIF(Ohj.lask.[Maakunta],Maakunt.[[#This Row],[Maakunta]],Ohj.lask.[%-osuus 1])</f>
        <v>1.50139938672442E-2</v>
      </c>
      <c r="L11" s="10">
        <f>SUMIF(Ohj.lask.[Maakunta],Maakunt.[[#This Row],[Maakunta]],Ohj.lask.[Jaettava € 1])</f>
        <v>22207138</v>
      </c>
      <c r="M11" s="11">
        <f>SUMIF(Ohj.lask.[Maakunta],Maakunt.[[#This Row],[Maakunta]],Ohj.lask.[Painotetut pisteet 2])</f>
        <v>259919.6</v>
      </c>
      <c r="N11" s="9">
        <f>SUMIF(Ohj.lask.[Maakunta],Maakunt.[[#This Row],[Maakunta]],Ohj.lask.[%-osuus 2])</f>
        <v>1.6967376538873643E-2</v>
      </c>
      <c r="O11" s="10">
        <f>SUMIF(Ohj.lask.[Maakunta],Maakunt.[[#This Row],[Maakunta]],Ohj.lask.[Jaettava € 2])</f>
        <v>7290983</v>
      </c>
      <c r="P11" s="11">
        <f>SUMIF(Ohj.lask.[Maakunta],Maakunt.[[#This Row],[Maakunta]],Ohj.lask.[Painotetut pisteet 3])</f>
        <v>5529.5999999999995</v>
      </c>
      <c r="Q11" s="9">
        <f>SUMIF(Ohj.lask.[Maakunta],Maakunt.[[#This Row],[Maakunta]],Ohj.lask.[%-osuus 3])</f>
        <v>1.7692681803056279E-2</v>
      </c>
      <c r="R11" s="10">
        <f>SUMIF(Ohj.lask.[Maakunta],Maakunt.[[#This Row],[Maakunta]],Ohj.lask.[Jaettava € 3])</f>
        <v>2660928</v>
      </c>
      <c r="S11" s="11">
        <f>SUMIF(Ohj.lask.[Maakunta],Maakunt.[[#This Row],[Maakunta]],Ohj.lask.[Painotetut pisteet 4])</f>
        <v>27534.799999999999</v>
      </c>
      <c r="T11" s="9">
        <f>SUMIF(Ohj.lask.[Maakunta],Maakunt.[[#This Row],[Maakunta]],Ohj.lask.[%-osuus 4])</f>
        <v>1.6518615958496727E-2</v>
      </c>
      <c r="U11" s="10">
        <f>SUMIF(Ohj.lask.[Maakunta],Maakunt.[[#This Row],[Maakunta]],Ohj.lask.[Jaettava € 4])</f>
        <v>133090</v>
      </c>
      <c r="V11" s="11">
        <f>SUMIF(Ohj.lask.[Maakunta],Maakunt.[[#This Row],[Maakunta]],Ohj.lask.[Painotetut pisteet 5])</f>
        <v>179205.80000000002</v>
      </c>
      <c r="W11" s="9">
        <f>SUMIF(Ohj.lask.[Maakunta],Maakunt.[[#This Row],[Maakunta]],Ohj.lask.[%-osuus 5])</f>
        <v>1.7522072525793547E-2</v>
      </c>
      <c r="X11" s="16">
        <f>SUMIF(Ohj.lask.[Maakunta],Maakunt.[[#This Row],[Maakunta]],Ohj.lask.[Jaettava € 5])</f>
        <v>423526</v>
      </c>
      <c r="Y11" s="11">
        <f>SUMIF(Ohj.lask.[Maakunta],Maakunt.[[#This Row],[Maakunta]],Ohj.lask.[Painotetut pisteet 6])</f>
        <v>7881434.7000000002</v>
      </c>
      <c r="Z11" s="9">
        <f>SUMIF(Ohj.lask.[Maakunta],Maakunt.[[#This Row],[Maakunta]],Ohj.lask.[%-osuus 6])</f>
        <v>2.3221192506854761E-2</v>
      </c>
      <c r="AA11" s="16">
        <f>SUMIF(Ohj.lask.[Maakunta],Maakunt.[[#This Row],[Maakunta]],Ohj.lask.[Jaettava € 6])</f>
        <v>561279</v>
      </c>
      <c r="AB11" s="10">
        <f>SUMIF(Ohj.lask.[Maakunta],Maakunt.[[#This Row],[Maakunta]],Ohj.lask.[Pisteet 7])</f>
        <v>7926424.5999999996</v>
      </c>
      <c r="AC11" s="9">
        <f>SUMIF(Ohj.lask.[Maakunta],Maakunt.[[#This Row],[Maakunta]],Ohj.lask.[%-osuus 7])</f>
        <v>4.2955350457929795E-2</v>
      </c>
      <c r="AD11" s="10">
        <f>SUMIF(Ohj.lask.[Maakunta],Maakunt.[[#This Row],[Maakunta]],Ohj.lask.[Jaettava € 7])</f>
        <v>346091</v>
      </c>
      <c r="AE11" s="12">
        <f>SUMIF(Ohj.lask.[Maakunta],Maakunt.[[#This Row],[Maakunta]],Ohj.lask.[%-osuus 8])</f>
        <v>1.5832625849065821E-2</v>
      </c>
      <c r="AF11" s="16">
        <f>SUMIF(Ohj.lask.[Maakunta],Maakunt.[[#This Row],[Maakunta]],Ohj.lask.[Jaettava € 8])</f>
        <v>33623035</v>
      </c>
      <c r="AG11" s="33">
        <f>SUMIF(Ohj.lask.[Maakunta],Maakunt.[[#This Row],[Maakunta]],Ohj.lask.[Harkinnanvarainen korotus 1, €])</f>
        <v>0</v>
      </c>
      <c r="AH11" s="33">
        <f>SUMIF(Ohj.lask.[Maakunta],Maakunt.[[#This Row],[Maakunta]],Ohj.lask.[Harkinnanvarainen korotus 2, €])</f>
        <v>0</v>
      </c>
      <c r="AI11" s="33">
        <f>SUMIF(Ohj.lask.[Maakunta],Maakunt.[[#This Row],[Maakunta]],Ohj.lask.[Harkinnanvarainen korotus 3, €])</f>
        <v>0</v>
      </c>
      <c r="AJ11" s="16">
        <f>SUMIF(Ohj.lask.[Maakunta],Maakunt.[[#This Row],[Maakunta]],Ohj.lask.[Harkinnanvarainen korotus 4, €])</f>
        <v>0</v>
      </c>
      <c r="AK11" s="11">
        <f>SUMIF(Ohj.lask.[Maakunta],Maakunt.[[#This Row],[Maakunta]],Ohj.lask.[Harkinnanvarainen korotus 5, €])</f>
        <v>41000</v>
      </c>
      <c r="AL11" s="10">
        <f>SUMIF(Ohj.lask.[Maakunta],Maakunt.[[#This Row],[Maakunta]],Ohj.lask.[Harkinnanvarainen korotus 6, €])</f>
        <v>4000</v>
      </c>
      <c r="AM11" s="11">
        <f>SUMIF(Ohj.lask.[Maakunta],Maakunt.[[#This Row],[Maakunta]],Ohj.lask.[Harkinnanvarainen korotus 7, €])</f>
        <v>100067</v>
      </c>
      <c r="AN11" s="16">
        <f>SUMIF(Ohj.lask.[Maakunta],Maakunt.[[#This Row],[Maakunta]],Ohj.lask.[Harkinnanvarainen korotus 8, €])</f>
        <v>145067</v>
      </c>
      <c r="AO11" s="33">
        <f>SUMIF(Ohj.lask.[Maakunta],Maakunt.[[#This Row],[Maakunta]],Ohj.lask.[Suoriteperusteinen (opiskelijavuosiin perustuva) sekä harkinnanvarainen korotus, €])</f>
        <v>22352205</v>
      </c>
      <c r="AP11" s="10">
        <f>SUMIF(Ohj.lask.[Maakunta],Maakunt.[[#This Row],[Maakunta]],Ohj.lask.[Suoritusrahoitus, €])</f>
        <v>7290983</v>
      </c>
      <c r="AQ11" s="11">
        <f>SUMIF(Ohj.lask.[Maakunta],Maakunt.[[#This Row],[Maakunta]],Ohj.lask.[Työllistymiseen ja jatko-opintoihin siirtymiseen, opiskelijapalautteiseen sekä työelämäpalautteeseen perustuva, €])</f>
        <v>4124914</v>
      </c>
      <c r="AR11" s="11">
        <f>SUMIF(Ohj.lask.[Maakunta],Maakunt.[[#This Row],[Maakunta]],Ohj.lask.[Perus-, suoritus- ja vaikuttavuusrahoitus yhteensä, €])</f>
        <v>33768102</v>
      </c>
      <c r="AS11" s="12">
        <f>Maakunt.[[#This Row],[Jaettava € 1]]/Maakunt.[[#This Row],[Perus-, suoritus- ja vaikuttavuusrahoitus yhteensä, €]]</f>
        <v>0.65763654705852281</v>
      </c>
      <c r="AT11" s="9">
        <f>Maakunt.[[#This Row],[Suoriteperusteinen (opiskelijavuosiin perustuva) sekä harkinnanvarainen korotus, €]]/Maakunt.[[#This Row],[Perus-, suoritus- ja vaikuttavuusrahoitus yhteensä, €]]</f>
        <v>0.66193252436870753</v>
      </c>
      <c r="AU11" s="42">
        <f>Maakunt.[[#This Row],[Suoritusrahoitus, €]]/Maakunt.[[#This Row],[Perus-, suoritus- ja vaikuttavuusrahoitus yhteensä, €]]</f>
        <v>0.21591331961743068</v>
      </c>
      <c r="AV11" s="9">
        <f>Maakunt.[[#This Row],[Työllistymiseen ja jatko-opintoihin siirtymiseen, opiskelijapalautteiseen sekä työelämäpalautteeseen perustuva, €]]/Maakunt.[[#This Row],[Perus-, suoritus- ja vaikuttavuusrahoitus yhteensä, €]]</f>
        <v>0.12215415601386184</v>
      </c>
      <c r="AW11" s="9">
        <f>SUMIF(Ohj.lask.[Maakunta],Maakunt.[[#This Row],[Maakunta]],Ohj.lask.[Jaettava € 3])/Maakunt.[[#This Row],[Perus-, suoritus- ja vaikuttavuusrahoitus yhteensä, €]]</f>
        <v>7.8800046268516957E-2</v>
      </c>
      <c r="AX11" s="9">
        <f>SUMIF(Ohj.lask.[Maakunta],Maakunt.[[#This Row],[Maakunta]],Ohj.lask.[Jaettava € 4])/Maakunt.[[#This Row],[Perus-, suoritus- ja vaikuttavuusrahoitus yhteensä, €]]</f>
        <v>3.941293472757219E-3</v>
      </c>
      <c r="AY11" s="9">
        <f>SUMIF(Ohj.lask.[Maakunta],Maakunt.[[#This Row],[Maakunta]],Ohj.lask.[Jaettava € 5])/Maakunt.[[#This Row],[Perus-, suoritus- ja vaikuttavuusrahoitus yhteensä, €]]</f>
        <v>1.2542191444458442E-2</v>
      </c>
      <c r="AZ11" s="9">
        <f>SUMIF(Ohj.lask.[Maakunta],Maakunt.[[#This Row],[Maakunta]],Ohj.lask.[Jaettava € 6])/Maakunt.[[#This Row],[Perus-, suoritus- ja vaikuttavuusrahoitus yhteensä, €]]</f>
        <v>1.6621573815430907E-2</v>
      </c>
      <c r="BA11" s="9">
        <f>SUMIF(Ohj.lask.[Maakunta],Maakunt.[[#This Row],[Maakunta]],Ohj.lask.[Jaettava € 7])/Maakunt.[[#This Row],[Perus-, suoritus- ja vaikuttavuusrahoitus yhteensä, €]]</f>
        <v>1.0249051012698315E-2</v>
      </c>
      <c r="BB11" s="11">
        <f>SUMIF(Vertailu[Maakunta],Maakunt.[[#This Row],[Maakunta]],Vertailu[Rahoitus ml. hark. kor. 
2023 ilman alv, €])</f>
        <v>32735009</v>
      </c>
      <c r="BC11" s="11">
        <f>SUMIF(Vertailu[Maakunta],Maakunt.[[#This Row],[Maakunta]],Vertailu[Rahoitus ml. hark. kor. 
2024 ilman alv, €])</f>
        <v>33768102</v>
      </c>
      <c r="BD11" s="11">
        <f>SUMIF(Vertailu[Maakunta],Maakunt.[[#This Row],[Maakunta]],Vertailu[Muutos, € 2])</f>
        <v>1033093</v>
      </c>
      <c r="BE11" s="34">
        <f>IFERROR(Maakunt.[[#This Row],[Muutos, €]]/Maakunt.[[#This Row],[Rahoitus ml. hark. kor. 
2023 ilman alv, €]],0)</f>
        <v>3.1559270382360366E-2</v>
      </c>
    </row>
    <row r="12" spans="1:57" x14ac:dyDescent="0.2">
      <c r="A12" s="15" t="s">
        <v>175</v>
      </c>
      <c r="B12" s="15">
        <f>COUNTIF(Ohj.lask.[Maakunta],Maakunt.[[#This Row],[Maakunta]])</f>
        <v>5</v>
      </c>
      <c r="C12" s="15">
        <f>COUNTIFS(Ohj.lask.[Maakunta],Maakunt.[[#This Row],[Maakunta]],Ohj.lask.[Omistajatyyppi],"=yksityinen")</f>
        <v>3</v>
      </c>
      <c r="D12" s="15">
        <f>COUNTIFS(Ohj.lask.[Maakunta],Maakunt.[[#This Row],[Maakunta]],Ohj.lask.[Omistajatyyppi],"=kunta")</f>
        <v>0</v>
      </c>
      <c r="E12" s="15">
        <f>COUNTIFS(Ohj.lask.[Maakunta],Maakunt.[[#This Row],[Maakunta]],Ohj.lask.[Omistajatyyppi],"=kuntayhtymä")</f>
        <v>2</v>
      </c>
      <c r="F12" s="11">
        <f>SUMIF(Ohj.lask.[Maakunta],Maakunt.[[#This Row],[Maakunta]],Ohj.lask.[Järjestämisluvan opisk.vuosien vähimmäismäärä])</f>
        <v>8093</v>
      </c>
      <c r="G12" s="10">
        <f>SUMIF(Ohj.lask.[Maakunta],Maakunt.[[#This Row],[Maakunta]],Ohj.lask.[Suoritepäätöksellä jaettavat opisk.vuodet (luvan ylittävä osuus)])</f>
        <v>209</v>
      </c>
      <c r="H12" s="10">
        <f>SUMIF(Ohj.lask.[Maakunta],Maakunt.[[#This Row],[Maakunta]],Ohj.lask.[Tavoitteelliset opiskelija-vuodet])</f>
        <v>8302</v>
      </c>
      <c r="I12" s="73">
        <f>Maakunt.[[#This Row],[Painotetut opiskelija-vuodet]]/Maakunt.[[#This Row],[Tavoitteelliset opiskelija-vuodet]]</f>
        <v>1.1181763430498675</v>
      </c>
      <c r="J12" s="74">
        <f>SUMIF(Ohj.lask.[Maakunta],Maakunt.[[#This Row],[Maakunta]],Ohj.lask.[Painotetut opiskelija-vuodet])</f>
        <v>9283.1</v>
      </c>
      <c r="K12" s="9">
        <f>SUMIF(Ohj.lask.[Maakunta],Maakunt.[[#This Row],[Maakunta]],Ohj.lask.[%-osuus 1])</f>
        <v>4.2831015171326821E-2</v>
      </c>
      <c r="L12" s="10">
        <f>SUMIF(Ohj.lask.[Maakunta],Maakunt.[[#This Row],[Maakunta]],Ohj.lask.[Jaettava € 1])</f>
        <v>63351183</v>
      </c>
      <c r="M12" s="11">
        <f>SUMIF(Ohj.lask.[Maakunta],Maakunt.[[#This Row],[Maakunta]],Ohj.lask.[Painotetut pisteet 2])</f>
        <v>719239.10000000009</v>
      </c>
      <c r="N12" s="9">
        <f>SUMIF(Ohj.lask.[Maakunta],Maakunt.[[#This Row],[Maakunta]],Ohj.lask.[%-osuus 2])</f>
        <v>4.695144433578919E-2</v>
      </c>
      <c r="O12" s="10">
        <f>SUMIF(Ohj.lask.[Maakunta],Maakunt.[[#This Row],[Maakunta]],Ohj.lask.[Jaettava € 2])</f>
        <v>20175317</v>
      </c>
      <c r="P12" s="11">
        <f>SUMIF(Ohj.lask.[Maakunta],Maakunt.[[#This Row],[Maakunta]],Ohj.lask.[Painotetut pisteet 3])</f>
        <v>15695.5</v>
      </c>
      <c r="Q12" s="9">
        <f>SUMIF(Ohj.lask.[Maakunta],Maakunt.[[#This Row],[Maakunta]],Ohj.lask.[%-osuus 3])</f>
        <v>5.0219814677349144E-2</v>
      </c>
      <c r="R12" s="10">
        <f>SUMIF(Ohj.lask.[Maakunta],Maakunt.[[#This Row],[Maakunta]],Ohj.lask.[Jaettava € 3])</f>
        <v>7552914</v>
      </c>
      <c r="S12" s="11">
        <f>SUMIF(Ohj.lask.[Maakunta],Maakunt.[[#This Row],[Maakunta]],Ohj.lask.[Painotetut pisteet 4])</f>
        <v>84211.200000000012</v>
      </c>
      <c r="T12" s="9">
        <f>SUMIF(Ohj.lask.[Maakunta],Maakunt.[[#This Row],[Maakunta]],Ohj.lask.[%-osuus 4])</f>
        <v>5.0519795756793572E-2</v>
      </c>
      <c r="U12" s="10">
        <f>SUMIF(Ohj.lask.[Maakunta],Maakunt.[[#This Row],[Maakunta]],Ohj.lask.[Jaettava € 4])</f>
        <v>407038</v>
      </c>
      <c r="V12" s="11">
        <f>SUMIF(Ohj.lask.[Maakunta],Maakunt.[[#This Row],[Maakunta]],Ohj.lask.[Painotetut pisteet 5])</f>
        <v>478344.79999999993</v>
      </c>
      <c r="W12" s="9">
        <f>SUMIF(Ohj.lask.[Maakunta],Maakunt.[[#This Row],[Maakunta]],Ohj.lask.[%-osuus 5])</f>
        <v>4.677076455079137E-2</v>
      </c>
      <c r="X12" s="16">
        <f>SUMIF(Ohj.lask.[Maakunta],Maakunt.[[#This Row],[Maakunta]],Ohj.lask.[Jaettava € 5])</f>
        <v>1130494</v>
      </c>
      <c r="Y12" s="11">
        <f>SUMIF(Ohj.lask.[Maakunta],Maakunt.[[#This Row],[Maakunta]],Ohj.lask.[Painotetut pisteet 6])</f>
        <v>16768189.199999999</v>
      </c>
      <c r="Z12" s="9">
        <f>SUMIF(Ohj.lask.[Maakunta],Maakunt.[[#This Row],[Maakunta]],Ohj.lask.[%-osuus 6])</f>
        <v>4.9404374232087829E-2</v>
      </c>
      <c r="AA12" s="16">
        <f>SUMIF(Ohj.lask.[Maakunta],Maakunt.[[#This Row],[Maakunta]],Ohj.lask.[Jaettava € 6])</f>
        <v>1194151</v>
      </c>
      <c r="AB12" s="10">
        <f>SUMIF(Ohj.lask.[Maakunta],Maakunt.[[#This Row],[Maakunta]],Ohj.lask.[Pisteet 7])</f>
        <v>8064431</v>
      </c>
      <c r="AC12" s="9">
        <f>SUMIF(Ohj.lask.[Maakunta],Maakunt.[[#This Row],[Maakunta]],Ohj.lask.[%-osuus 7])</f>
        <v>4.3703242928570002E-2</v>
      </c>
      <c r="AD12" s="10">
        <f>SUMIF(Ohj.lask.[Maakunta],Maakunt.[[#This Row],[Maakunta]],Ohj.lask.[Jaettava € 7])</f>
        <v>352117</v>
      </c>
      <c r="AE12" s="12">
        <f>SUMIF(Ohj.lask.[Maakunta],Maakunt.[[#This Row],[Maakunta]],Ohj.lask.[%-osuus 8])</f>
        <v>4.4340165484987204E-2</v>
      </c>
      <c r="AF12" s="16">
        <f>SUMIF(Ohj.lask.[Maakunta],Maakunt.[[#This Row],[Maakunta]],Ohj.lask.[Jaettava € 8])</f>
        <v>94163214</v>
      </c>
      <c r="AG12" s="33">
        <f>SUMIF(Ohj.lask.[Maakunta],Maakunt.[[#This Row],[Maakunta]],Ohj.lask.[Harkinnanvarainen korotus 1, €])</f>
        <v>0</v>
      </c>
      <c r="AH12" s="33">
        <f>SUMIF(Ohj.lask.[Maakunta],Maakunt.[[#This Row],[Maakunta]],Ohj.lask.[Harkinnanvarainen korotus 2, €])</f>
        <v>0</v>
      </c>
      <c r="AI12" s="33">
        <f>SUMIF(Ohj.lask.[Maakunta],Maakunt.[[#This Row],[Maakunta]],Ohj.lask.[Harkinnanvarainen korotus 3, €])</f>
        <v>0</v>
      </c>
      <c r="AJ12" s="16">
        <f>SUMIF(Ohj.lask.[Maakunta],Maakunt.[[#This Row],[Maakunta]],Ohj.lask.[Harkinnanvarainen korotus 4, €])</f>
        <v>0</v>
      </c>
      <c r="AK12" s="11">
        <f>SUMIF(Ohj.lask.[Maakunta],Maakunt.[[#This Row],[Maakunta]],Ohj.lask.[Harkinnanvarainen korotus 5, €])</f>
        <v>88000</v>
      </c>
      <c r="AL12" s="10">
        <f>SUMIF(Ohj.lask.[Maakunta],Maakunt.[[#This Row],[Maakunta]],Ohj.lask.[Harkinnanvarainen korotus 6, €])</f>
        <v>40000</v>
      </c>
      <c r="AM12" s="11">
        <f>SUMIF(Ohj.lask.[Maakunta],Maakunt.[[#This Row],[Maakunta]],Ohj.lask.[Harkinnanvarainen korotus 7, €])</f>
        <v>166955</v>
      </c>
      <c r="AN12" s="16">
        <f>SUMIF(Ohj.lask.[Maakunta],Maakunt.[[#This Row],[Maakunta]],Ohj.lask.[Harkinnanvarainen korotus 8, €])</f>
        <v>294955</v>
      </c>
      <c r="AO12" s="33">
        <f>SUMIF(Ohj.lask.[Maakunta],Maakunt.[[#This Row],[Maakunta]],Ohj.lask.[Suoriteperusteinen (opiskelijavuosiin perustuva) sekä harkinnanvarainen korotus, €])</f>
        <v>63646138</v>
      </c>
      <c r="AP12" s="10">
        <f>SUMIF(Ohj.lask.[Maakunta],Maakunt.[[#This Row],[Maakunta]],Ohj.lask.[Suoritusrahoitus, €])</f>
        <v>20175317</v>
      </c>
      <c r="AQ12" s="11">
        <f>SUMIF(Ohj.lask.[Maakunta],Maakunt.[[#This Row],[Maakunta]],Ohj.lask.[Työllistymiseen ja jatko-opintoihin siirtymiseen, opiskelijapalautteiseen sekä työelämäpalautteeseen perustuva, €])</f>
        <v>10636714</v>
      </c>
      <c r="AR12" s="11">
        <f>SUMIF(Ohj.lask.[Maakunta],Maakunt.[[#This Row],[Maakunta]],Ohj.lask.[Perus-, suoritus- ja vaikuttavuusrahoitus yhteensä, €])</f>
        <v>94458169</v>
      </c>
      <c r="AS12" s="12">
        <f>Maakunt.[[#This Row],[Jaettava € 1]]/Maakunt.[[#This Row],[Perus-, suoritus- ja vaikuttavuusrahoitus yhteensä, €]]</f>
        <v>0.67067976936965612</v>
      </c>
      <c r="AT12" s="9">
        <f>Maakunt.[[#This Row],[Suoriteperusteinen (opiskelijavuosiin perustuva) sekä harkinnanvarainen korotus, €]]/Maakunt.[[#This Row],[Perus-, suoritus- ja vaikuttavuusrahoitus yhteensä, €]]</f>
        <v>0.67380236853839504</v>
      </c>
      <c r="AU12" s="42">
        <f>Maakunt.[[#This Row],[Suoritusrahoitus, €]]/Maakunt.[[#This Row],[Perus-, suoritus- ja vaikuttavuusrahoitus yhteensä, €]]</f>
        <v>0.21358996488699669</v>
      </c>
      <c r="AV12" s="9">
        <f>Maakunt.[[#This Row],[Työllistymiseen ja jatko-opintoihin siirtymiseen, opiskelijapalautteiseen sekä työelämäpalautteeseen perustuva, €]]/Maakunt.[[#This Row],[Perus-, suoritus- ja vaikuttavuusrahoitus yhteensä, €]]</f>
        <v>0.11260766657460829</v>
      </c>
      <c r="AW12" s="9">
        <f>SUMIF(Ohj.lask.[Maakunta],Maakunt.[[#This Row],[Maakunta]],Ohj.lask.[Jaettava € 3])/Maakunt.[[#This Row],[Perus-, suoritus- ja vaikuttavuusrahoitus yhteensä, €]]</f>
        <v>7.996041083540377E-2</v>
      </c>
      <c r="AX12" s="9">
        <f>SUMIF(Ohj.lask.[Maakunta],Maakunt.[[#This Row],[Maakunta]],Ohj.lask.[Jaettava € 4])/Maakunt.[[#This Row],[Perus-, suoritus- ja vaikuttavuusrahoitus yhteensä, €]]</f>
        <v>4.3091879115293883E-3</v>
      </c>
      <c r="AY12" s="9">
        <f>SUMIF(Ohj.lask.[Maakunta],Maakunt.[[#This Row],[Maakunta]],Ohj.lask.[Jaettava € 5])/Maakunt.[[#This Row],[Perus-, suoritus- ja vaikuttavuusrahoitus yhteensä, €]]</f>
        <v>1.1968197266241737E-2</v>
      </c>
      <c r="AZ12" s="9">
        <f>SUMIF(Ohj.lask.[Maakunta],Maakunt.[[#This Row],[Maakunta]],Ohj.lask.[Jaettava € 6])/Maakunt.[[#This Row],[Perus-, suoritus- ja vaikuttavuusrahoitus yhteensä, €]]</f>
        <v>1.2642114627481292E-2</v>
      </c>
      <c r="BA12" s="9">
        <f>SUMIF(Ohj.lask.[Maakunta],Maakunt.[[#This Row],[Maakunta]],Ohj.lask.[Jaettava € 7])/Maakunt.[[#This Row],[Perus-, suoritus- ja vaikuttavuusrahoitus yhteensä, €]]</f>
        <v>3.7277559339520968E-3</v>
      </c>
      <c r="BB12" s="11">
        <f>SUMIF(Vertailu[Maakunta],Maakunt.[[#This Row],[Maakunta]],Vertailu[Rahoitus ml. hark. kor. 
2023 ilman alv, €])</f>
        <v>89456827</v>
      </c>
      <c r="BC12" s="11">
        <f>SUMIF(Vertailu[Maakunta],Maakunt.[[#This Row],[Maakunta]],Vertailu[Rahoitus ml. hark. kor. 
2024 ilman alv, €])</f>
        <v>94458169</v>
      </c>
      <c r="BD12" s="11">
        <f>SUMIF(Vertailu[Maakunta],Maakunt.[[#This Row],[Maakunta]],Vertailu[Muutos, € 2])</f>
        <v>5001342</v>
      </c>
      <c r="BE12" s="34">
        <f>IFERROR(Maakunt.[[#This Row],[Muutos, €]]/Maakunt.[[#This Row],[Rahoitus ml. hark. kor. 
2023 ilman alv, €]],0)</f>
        <v>5.5907885040456441E-2</v>
      </c>
    </row>
    <row r="13" spans="1:57" x14ac:dyDescent="0.2">
      <c r="A13" s="15" t="s">
        <v>187</v>
      </c>
      <c r="B13" s="15">
        <f>COUNTIF(Ohj.lask.[Maakunta],Maakunt.[[#This Row],[Maakunta]])</f>
        <v>4</v>
      </c>
      <c r="C13" s="15">
        <f>COUNTIFS(Ohj.lask.[Maakunta],Maakunt.[[#This Row],[Maakunta]],Ohj.lask.[Omistajatyyppi],"=yksityinen")</f>
        <v>3</v>
      </c>
      <c r="D13" s="15">
        <f>COUNTIFS(Ohj.lask.[Maakunta],Maakunt.[[#This Row],[Maakunta]],Ohj.lask.[Omistajatyyppi],"=kunta")</f>
        <v>0</v>
      </c>
      <c r="E13" s="15">
        <f>COUNTIFS(Ohj.lask.[Maakunta],Maakunt.[[#This Row],[Maakunta]],Ohj.lask.[Omistajatyyppi],"=kuntayhtymä")</f>
        <v>1</v>
      </c>
      <c r="F13" s="11">
        <f>SUMIF(Ohj.lask.[Maakunta],Maakunt.[[#This Row],[Maakunta]],Ohj.lask.[Järjestämisluvan opisk.vuosien vähimmäismäärä])</f>
        <v>4849</v>
      </c>
      <c r="G13" s="10">
        <f>SUMIF(Ohj.lask.[Maakunta],Maakunt.[[#This Row],[Maakunta]],Ohj.lask.[Suoritepäätöksellä jaettavat opisk.vuodet (luvan ylittävä osuus)])</f>
        <v>271</v>
      </c>
      <c r="H13" s="10">
        <f>SUMIF(Ohj.lask.[Maakunta],Maakunt.[[#This Row],[Maakunta]],Ohj.lask.[Tavoitteelliset opiskelija-vuodet])</f>
        <v>5120</v>
      </c>
      <c r="I13" s="73">
        <f>Maakunt.[[#This Row],[Painotetut opiskelija-vuodet]]/Maakunt.[[#This Row],[Tavoitteelliset opiskelija-vuodet]]</f>
        <v>1.1053906250000001</v>
      </c>
      <c r="J13" s="74">
        <f>SUMIF(Ohj.lask.[Maakunta],Maakunt.[[#This Row],[Maakunta]],Ohj.lask.[Painotetut opiskelija-vuodet])</f>
        <v>5659.6</v>
      </c>
      <c r="K13" s="9">
        <f>SUMIF(Ohj.lask.[Maakunta],Maakunt.[[#This Row],[Maakunta]],Ohj.lask.[%-osuus 1])</f>
        <v>2.6112657782814068E-2</v>
      </c>
      <c r="L13" s="10">
        <f>SUMIF(Ohj.lask.[Maakunta],Maakunt.[[#This Row],[Maakunta]],Ohj.lask.[Jaettava € 1])</f>
        <v>38623128</v>
      </c>
      <c r="M13" s="11">
        <f>SUMIF(Ohj.lask.[Maakunta],Maakunt.[[#This Row],[Maakunta]],Ohj.lask.[Painotetut pisteet 2])</f>
        <v>389483.4</v>
      </c>
      <c r="N13" s="9">
        <f>SUMIF(Ohj.lask.[Maakunta],Maakunt.[[#This Row],[Maakunta]],Ohj.lask.[%-osuus 2])</f>
        <v>2.542521419485386E-2</v>
      </c>
      <c r="O13" s="10">
        <f>SUMIF(Ohj.lask.[Maakunta],Maakunt.[[#This Row],[Maakunta]],Ohj.lask.[Jaettava € 2])</f>
        <v>10925367</v>
      </c>
      <c r="P13" s="11">
        <f>SUMIF(Ohj.lask.[Maakunta],Maakunt.[[#This Row],[Maakunta]],Ohj.lask.[Painotetut pisteet 3])</f>
        <v>8703.1</v>
      </c>
      <c r="Q13" s="9">
        <f>SUMIF(Ohj.lask.[Maakunta],Maakunt.[[#This Row],[Maakunta]],Ohj.lask.[%-osuus 3])</f>
        <v>2.7846712058770817E-2</v>
      </c>
      <c r="R13" s="10">
        <f>SUMIF(Ohj.lask.[Maakunta],Maakunt.[[#This Row],[Maakunta]],Ohj.lask.[Jaettava € 3])</f>
        <v>4188065</v>
      </c>
      <c r="S13" s="11">
        <f>SUMIF(Ohj.lask.[Maakunta],Maakunt.[[#This Row],[Maakunta]],Ohj.lask.[Painotetut pisteet 4])</f>
        <v>46731.8</v>
      </c>
      <c r="T13" s="9">
        <f>SUMIF(Ohj.lask.[Maakunta],Maakunt.[[#This Row],[Maakunta]],Ohj.lask.[%-osuus 4])</f>
        <v>2.8035237490349574E-2</v>
      </c>
      <c r="U13" s="10">
        <f>SUMIF(Ohj.lask.[Maakunta],Maakunt.[[#This Row],[Maakunta]],Ohj.lask.[Jaettava € 4])</f>
        <v>225879</v>
      </c>
      <c r="V13" s="11">
        <f>SUMIF(Ohj.lask.[Maakunta],Maakunt.[[#This Row],[Maakunta]],Ohj.lask.[Painotetut pisteet 5])</f>
        <v>249678.1</v>
      </c>
      <c r="W13" s="9">
        <f>SUMIF(Ohj.lask.[Maakunta],Maakunt.[[#This Row],[Maakunta]],Ohj.lask.[%-osuus 5])</f>
        <v>2.4412590308474022E-2</v>
      </c>
      <c r="X13" s="16">
        <f>SUMIF(Ohj.lask.[Maakunta],Maakunt.[[#This Row],[Maakunta]],Ohj.lask.[Jaettava € 5])</f>
        <v>590076</v>
      </c>
      <c r="Y13" s="11">
        <f>SUMIF(Ohj.lask.[Maakunta],Maakunt.[[#This Row],[Maakunta]],Ohj.lask.[Painotetut pisteet 6])</f>
        <v>9978987.3000000007</v>
      </c>
      <c r="Z13" s="9">
        <f>SUMIF(Ohj.lask.[Maakunta],Maakunt.[[#This Row],[Maakunta]],Ohj.lask.[%-osuus 6])</f>
        <v>2.9401244054811343E-2</v>
      </c>
      <c r="AA13" s="16">
        <f>SUMIF(Ohj.lask.[Maakunta],Maakunt.[[#This Row],[Maakunta]],Ohj.lask.[Jaettava € 6])</f>
        <v>710656</v>
      </c>
      <c r="AB13" s="10">
        <f>SUMIF(Ohj.lask.[Maakunta],Maakunt.[[#This Row],[Maakunta]],Ohj.lask.[Pisteet 7])</f>
        <v>5804165</v>
      </c>
      <c r="AC13" s="9">
        <f>SUMIF(Ohj.lask.[Maakunta],Maakunt.[[#This Row],[Maakunta]],Ohj.lask.[%-osuus 7])</f>
        <v>3.1454275322400735E-2</v>
      </c>
      <c r="AD13" s="10">
        <f>SUMIF(Ohj.lask.[Maakunta],Maakunt.[[#This Row],[Maakunta]],Ohj.lask.[Jaettava € 7])</f>
        <v>253427</v>
      </c>
      <c r="AE13" s="12">
        <f>SUMIF(Ohj.lask.[Maakunta],Maakunt.[[#This Row],[Maakunta]],Ohj.lask.[%-osuus 8])</f>
        <v>2.6142004270197378E-2</v>
      </c>
      <c r="AF13" s="16">
        <f>SUMIF(Ohj.lask.[Maakunta],Maakunt.[[#This Row],[Maakunta]],Ohj.lask.[Jaettava € 8])</f>
        <v>55516598</v>
      </c>
      <c r="AG13" s="33">
        <f>SUMIF(Ohj.lask.[Maakunta],Maakunt.[[#This Row],[Maakunta]],Ohj.lask.[Harkinnanvarainen korotus 1, €])</f>
        <v>55000</v>
      </c>
      <c r="AH13" s="33">
        <f>SUMIF(Ohj.lask.[Maakunta],Maakunt.[[#This Row],[Maakunta]],Ohj.lask.[Harkinnanvarainen korotus 2, €])</f>
        <v>0</v>
      </c>
      <c r="AI13" s="33">
        <f>SUMIF(Ohj.lask.[Maakunta],Maakunt.[[#This Row],[Maakunta]],Ohj.lask.[Harkinnanvarainen korotus 3, €])</f>
        <v>0</v>
      </c>
      <c r="AJ13" s="16">
        <f>SUMIF(Ohj.lask.[Maakunta],Maakunt.[[#This Row],[Maakunta]],Ohj.lask.[Harkinnanvarainen korotus 4, €])</f>
        <v>0</v>
      </c>
      <c r="AK13" s="11">
        <f>SUMIF(Ohj.lask.[Maakunta],Maakunt.[[#This Row],[Maakunta]],Ohj.lask.[Harkinnanvarainen korotus 5, €])</f>
        <v>87000</v>
      </c>
      <c r="AL13" s="10">
        <f>SUMIF(Ohj.lask.[Maakunta],Maakunt.[[#This Row],[Maakunta]],Ohj.lask.[Harkinnanvarainen korotus 6, €])</f>
        <v>4000</v>
      </c>
      <c r="AM13" s="11">
        <f>SUMIF(Ohj.lask.[Maakunta],Maakunt.[[#This Row],[Maakunta]],Ohj.lask.[Harkinnanvarainen korotus 7, €])</f>
        <v>148322</v>
      </c>
      <c r="AN13" s="16">
        <f>SUMIF(Ohj.lask.[Maakunta],Maakunt.[[#This Row],[Maakunta]],Ohj.lask.[Harkinnanvarainen korotus 8, €])</f>
        <v>294322</v>
      </c>
      <c r="AO13" s="33">
        <f>SUMIF(Ohj.lask.[Maakunta],Maakunt.[[#This Row],[Maakunta]],Ohj.lask.[Suoriteperusteinen (opiskelijavuosiin perustuva) sekä harkinnanvarainen korotus, €])</f>
        <v>38917450</v>
      </c>
      <c r="AP13" s="10">
        <f>SUMIF(Ohj.lask.[Maakunta],Maakunt.[[#This Row],[Maakunta]],Ohj.lask.[Suoritusrahoitus, €])</f>
        <v>10925367</v>
      </c>
      <c r="AQ13" s="11">
        <f>SUMIF(Ohj.lask.[Maakunta],Maakunt.[[#This Row],[Maakunta]],Ohj.lask.[Työllistymiseen ja jatko-opintoihin siirtymiseen, opiskelijapalautteiseen sekä työelämäpalautteeseen perustuva, €])</f>
        <v>5968103</v>
      </c>
      <c r="AR13" s="11">
        <f>SUMIF(Ohj.lask.[Maakunta],Maakunt.[[#This Row],[Maakunta]],Ohj.lask.[Perus-, suoritus- ja vaikuttavuusrahoitus yhteensä, €])</f>
        <v>55810920</v>
      </c>
      <c r="AS13" s="12">
        <f>Maakunt.[[#This Row],[Jaettava € 1]]/Maakunt.[[#This Row],[Perus-, suoritus- ja vaikuttavuusrahoitus yhteensä, €]]</f>
        <v>0.69203532211975716</v>
      </c>
      <c r="AT13" s="9">
        <f>Maakunt.[[#This Row],[Suoriteperusteinen (opiskelijavuosiin perustuva) sekä harkinnanvarainen korotus, €]]/Maakunt.[[#This Row],[Perus-, suoritus- ja vaikuttavuusrahoitus yhteensä, €]]</f>
        <v>0.69730887790418072</v>
      </c>
      <c r="AU13" s="42">
        <f>Maakunt.[[#This Row],[Suoritusrahoitus, €]]/Maakunt.[[#This Row],[Perus-, suoritus- ja vaikuttavuusrahoitus yhteensä, €]]</f>
        <v>0.19575679813197847</v>
      </c>
      <c r="AV13" s="9">
        <f>Maakunt.[[#This Row],[Työllistymiseen ja jatko-opintoihin siirtymiseen, opiskelijapalautteiseen sekä työelämäpalautteeseen perustuva, €]]/Maakunt.[[#This Row],[Perus-, suoritus- ja vaikuttavuusrahoitus yhteensä, €]]</f>
        <v>0.10693432396384077</v>
      </c>
      <c r="AW13" s="9">
        <f>SUMIF(Ohj.lask.[Maakunta],Maakunt.[[#This Row],[Maakunta]],Ohj.lask.[Jaettava € 3])/Maakunt.[[#This Row],[Perus-, suoritus- ja vaikuttavuusrahoitus yhteensä, €]]</f>
        <v>7.5040243020541506E-2</v>
      </c>
      <c r="AX13" s="9">
        <f>SUMIF(Ohj.lask.[Maakunta],Maakunt.[[#This Row],[Maakunta]],Ohj.lask.[Jaettava € 4])/Maakunt.[[#This Row],[Perus-, suoritus- ja vaikuttavuusrahoitus yhteensä, €]]</f>
        <v>4.0472187163372326E-3</v>
      </c>
      <c r="AY13" s="9">
        <f>SUMIF(Ohj.lask.[Maakunta],Maakunt.[[#This Row],[Maakunta]],Ohj.lask.[Jaettava € 5])/Maakunt.[[#This Row],[Perus-, suoritus- ja vaikuttavuusrahoitus yhteensä, €]]</f>
        <v>1.0572769630029392E-2</v>
      </c>
      <c r="AZ13" s="9">
        <f>SUMIF(Ohj.lask.[Maakunta],Maakunt.[[#This Row],[Maakunta]],Ohj.lask.[Jaettava € 6])/Maakunt.[[#This Row],[Perus-, suoritus- ja vaikuttavuusrahoitus yhteensä, €]]</f>
        <v>1.2733278720365119E-2</v>
      </c>
      <c r="BA13" s="9">
        <f>SUMIF(Ohj.lask.[Maakunta],Maakunt.[[#This Row],[Maakunta]],Ohj.lask.[Jaettava € 7])/Maakunt.[[#This Row],[Perus-, suoritus- ja vaikuttavuusrahoitus yhteensä, €]]</f>
        <v>4.5408138765675246E-3</v>
      </c>
      <c r="BB13" s="11">
        <f>SUMIF(Vertailu[Maakunta],Maakunt.[[#This Row],[Maakunta]],Vertailu[Rahoitus ml. hark. kor. 
2023 ilman alv, €])</f>
        <v>55461900</v>
      </c>
      <c r="BC13" s="11">
        <f>SUMIF(Vertailu[Maakunta],Maakunt.[[#This Row],[Maakunta]],Vertailu[Rahoitus ml. hark. kor. 
2024 ilman alv, €])</f>
        <v>55810920</v>
      </c>
      <c r="BD13" s="11">
        <f>SUMIF(Vertailu[Maakunta],Maakunt.[[#This Row],[Maakunta]],Vertailu[Muutos, € 2])</f>
        <v>349020</v>
      </c>
      <c r="BE13" s="34">
        <f>IFERROR(Maakunt.[[#This Row],[Muutos, €]]/Maakunt.[[#This Row],[Rahoitus ml. hark. kor. 
2023 ilman alv, €]],0)</f>
        <v>6.2929686866118901E-3</v>
      </c>
    </row>
    <row r="14" spans="1:57" x14ac:dyDescent="0.2">
      <c r="A14" s="15" t="s">
        <v>222</v>
      </c>
      <c r="B14" s="15">
        <f>COUNTIF(Ohj.lask.[Maakunta],Maakunt.[[#This Row],[Maakunta]])</f>
        <v>4</v>
      </c>
      <c r="C14" s="15">
        <f>COUNTIFS(Ohj.lask.[Maakunta],Maakunt.[[#This Row],[Maakunta]],Ohj.lask.[Omistajatyyppi],"=yksityinen")</f>
        <v>2</v>
      </c>
      <c r="D14" s="15">
        <f>COUNTIFS(Ohj.lask.[Maakunta],Maakunt.[[#This Row],[Maakunta]],Ohj.lask.[Omistajatyyppi],"=kunta")</f>
        <v>0</v>
      </c>
      <c r="E14" s="15">
        <f>COUNTIFS(Ohj.lask.[Maakunta],Maakunt.[[#This Row],[Maakunta]],Ohj.lask.[Omistajatyyppi],"=kuntayhtymä")</f>
        <v>2</v>
      </c>
      <c r="F14" s="11">
        <f>SUMIF(Ohj.lask.[Maakunta],Maakunt.[[#This Row],[Maakunta]],Ohj.lask.[Järjestämisluvan opisk.vuosien vähimmäismäärä])</f>
        <v>5651</v>
      </c>
      <c r="G14" s="10">
        <f>SUMIF(Ohj.lask.[Maakunta],Maakunt.[[#This Row],[Maakunta]],Ohj.lask.[Suoritepäätöksellä jaettavat opisk.vuodet (luvan ylittävä osuus)])</f>
        <v>92</v>
      </c>
      <c r="H14" s="10">
        <f>SUMIF(Ohj.lask.[Maakunta],Maakunt.[[#This Row],[Maakunta]],Ohj.lask.[Tavoitteelliset opiskelija-vuodet])</f>
        <v>5743</v>
      </c>
      <c r="I14" s="73">
        <f>Maakunt.[[#This Row],[Painotetut opiskelija-vuodet]]/Maakunt.[[#This Row],[Tavoitteelliset opiskelija-vuodet]]</f>
        <v>1.2063033257879157</v>
      </c>
      <c r="J14" s="74">
        <f>SUMIF(Ohj.lask.[Maakunta],Maakunt.[[#This Row],[Maakunta]],Ohj.lask.[Painotetut opiskelija-vuodet])</f>
        <v>6927.7999999999993</v>
      </c>
      <c r="K14" s="9">
        <f>SUMIF(Ohj.lask.[Maakunta],Maakunt.[[#This Row],[Maakunta]],Ohj.lask.[%-osuus 1])</f>
        <v>3.1963967522047373E-2</v>
      </c>
      <c r="L14" s="10">
        <f>SUMIF(Ohj.lask.[Maakunta],Maakunt.[[#This Row],[Maakunta]],Ohj.lask.[Jaettava € 1])</f>
        <v>47277777</v>
      </c>
      <c r="M14" s="11">
        <f>SUMIF(Ohj.lask.[Maakunta],Maakunt.[[#This Row],[Maakunta]],Ohj.lask.[Painotetut pisteet 2])</f>
        <v>488334.9</v>
      </c>
      <c r="N14" s="9">
        <f>SUMIF(Ohj.lask.[Maakunta],Maakunt.[[#This Row],[Maakunta]],Ohj.lask.[%-osuus 2])</f>
        <v>3.1878173578957517E-2</v>
      </c>
      <c r="O14" s="10">
        <f>SUMIF(Ohj.lask.[Maakunta],Maakunt.[[#This Row],[Maakunta]],Ohj.lask.[Jaettava € 2])</f>
        <v>13698242</v>
      </c>
      <c r="P14" s="11">
        <f>SUMIF(Ohj.lask.[Maakunta],Maakunt.[[#This Row],[Maakunta]],Ohj.lask.[Painotetut pisteet 3])</f>
        <v>10051.799999999999</v>
      </c>
      <c r="Q14" s="9">
        <f>SUMIF(Ohj.lask.[Maakunta],Maakunt.[[#This Row],[Maakunta]],Ohj.lask.[%-osuus 3])</f>
        <v>3.2162054931271902E-2</v>
      </c>
      <c r="R14" s="10">
        <f>SUMIF(Ohj.lask.[Maakunta],Maakunt.[[#This Row],[Maakunta]],Ohj.lask.[Jaettava € 3])</f>
        <v>4837080</v>
      </c>
      <c r="S14" s="11">
        <f>SUMIF(Ohj.lask.[Maakunta],Maakunt.[[#This Row],[Maakunta]],Ohj.lask.[Painotetut pisteet 4])</f>
        <v>51638.799999999996</v>
      </c>
      <c r="T14" s="9">
        <f>SUMIF(Ohj.lask.[Maakunta],Maakunt.[[#This Row],[Maakunta]],Ohj.lask.[%-osuus 4])</f>
        <v>3.097903401359809E-2</v>
      </c>
      <c r="U14" s="10">
        <f>SUMIF(Ohj.lask.[Maakunta],Maakunt.[[#This Row],[Maakunta]],Ohj.lask.[Jaettava € 4])</f>
        <v>249598</v>
      </c>
      <c r="V14" s="11">
        <f>SUMIF(Ohj.lask.[Maakunta],Maakunt.[[#This Row],[Maakunta]],Ohj.lask.[Painotetut pisteet 5])</f>
        <v>332250.2</v>
      </c>
      <c r="W14" s="9">
        <f>SUMIF(Ohj.lask.[Maakunta],Maakunt.[[#This Row],[Maakunta]],Ohj.lask.[%-osuus 5])</f>
        <v>3.2486181257020762E-2</v>
      </c>
      <c r="X14" s="16">
        <f>SUMIF(Ohj.lask.[Maakunta],Maakunt.[[#This Row],[Maakunta]],Ohj.lask.[Jaettava € 5])</f>
        <v>785222</v>
      </c>
      <c r="Y14" s="11">
        <f>SUMIF(Ohj.lask.[Maakunta],Maakunt.[[#This Row],[Maakunta]],Ohj.lask.[Painotetut pisteet 6])</f>
        <v>11760260.4</v>
      </c>
      <c r="Z14" s="9">
        <f>SUMIF(Ohj.lask.[Maakunta],Maakunt.[[#This Row],[Maakunta]],Ohj.lask.[%-osuus 6])</f>
        <v>3.4649436438157738E-2</v>
      </c>
      <c r="AA14" s="16">
        <f>SUMIF(Ohj.lask.[Maakunta],Maakunt.[[#This Row],[Maakunta]],Ohj.lask.[Jaettava € 6])</f>
        <v>837511</v>
      </c>
      <c r="AB14" s="10">
        <f>SUMIF(Ohj.lask.[Maakunta],Maakunt.[[#This Row],[Maakunta]],Ohj.lask.[Pisteet 7])</f>
        <v>6307998.9000000004</v>
      </c>
      <c r="AC14" s="9">
        <f>SUMIF(Ohj.lask.[Maakunta],Maakunt.[[#This Row],[Maakunta]],Ohj.lask.[%-osuus 7])</f>
        <v>3.4184681885163666E-2</v>
      </c>
      <c r="AD14" s="10">
        <f>SUMIF(Ohj.lask.[Maakunta],Maakunt.[[#This Row],[Maakunta]],Ohj.lask.[Jaettava € 7])</f>
        <v>275425</v>
      </c>
      <c r="AE14" s="12">
        <f>SUMIF(Ohj.lask.[Maakunta],Maakunt.[[#This Row],[Maakunta]],Ohj.lask.[%-osuus 8])</f>
        <v>3.2001834147262855E-2</v>
      </c>
      <c r="AF14" s="16">
        <f>SUMIF(Ohj.lask.[Maakunta],Maakunt.[[#This Row],[Maakunta]],Ohj.lask.[Jaettava € 8])</f>
        <v>67960855</v>
      </c>
      <c r="AG14" s="33">
        <f>SUMIF(Ohj.lask.[Maakunta],Maakunt.[[#This Row],[Maakunta]],Ohj.lask.[Harkinnanvarainen korotus 1, €])</f>
        <v>0</v>
      </c>
      <c r="AH14" s="33">
        <f>SUMIF(Ohj.lask.[Maakunta],Maakunt.[[#This Row],[Maakunta]],Ohj.lask.[Harkinnanvarainen korotus 2, €])</f>
        <v>60000</v>
      </c>
      <c r="AI14" s="33">
        <f>SUMIF(Ohj.lask.[Maakunta],Maakunt.[[#This Row],[Maakunta]],Ohj.lask.[Harkinnanvarainen korotus 3, €])</f>
        <v>0</v>
      </c>
      <c r="AJ14" s="16">
        <f>SUMIF(Ohj.lask.[Maakunta],Maakunt.[[#This Row],[Maakunta]],Ohj.lask.[Harkinnanvarainen korotus 4, €])</f>
        <v>0</v>
      </c>
      <c r="AK14" s="11">
        <f>SUMIF(Ohj.lask.[Maakunta],Maakunt.[[#This Row],[Maakunta]],Ohj.lask.[Harkinnanvarainen korotus 5, €])</f>
        <v>72000</v>
      </c>
      <c r="AL14" s="10">
        <f>SUMIF(Ohj.lask.[Maakunta],Maakunt.[[#This Row],[Maakunta]],Ohj.lask.[Harkinnanvarainen korotus 6, €])</f>
        <v>31000</v>
      </c>
      <c r="AM14" s="11">
        <f>SUMIF(Ohj.lask.[Maakunta],Maakunt.[[#This Row],[Maakunta]],Ohj.lask.[Harkinnanvarainen korotus 7, €])</f>
        <v>294949</v>
      </c>
      <c r="AN14" s="16">
        <f>SUMIF(Ohj.lask.[Maakunta],Maakunt.[[#This Row],[Maakunta]],Ohj.lask.[Harkinnanvarainen korotus 8, €])</f>
        <v>457949</v>
      </c>
      <c r="AO14" s="33">
        <f>SUMIF(Ohj.lask.[Maakunta],Maakunt.[[#This Row],[Maakunta]],Ohj.lask.[Suoriteperusteinen (opiskelijavuosiin perustuva) sekä harkinnanvarainen korotus, €])</f>
        <v>47735726</v>
      </c>
      <c r="AP14" s="10">
        <f>SUMIF(Ohj.lask.[Maakunta],Maakunt.[[#This Row],[Maakunta]],Ohj.lask.[Suoritusrahoitus, €])</f>
        <v>13698242</v>
      </c>
      <c r="AQ14" s="11">
        <f>SUMIF(Ohj.lask.[Maakunta],Maakunt.[[#This Row],[Maakunta]],Ohj.lask.[Työllistymiseen ja jatko-opintoihin siirtymiseen, opiskelijapalautteiseen sekä työelämäpalautteeseen perustuva, €])</f>
        <v>6984836</v>
      </c>
      <c r="AR14" s="11">
        <f>SUMIF(Ohj.lask.[Maakunta],Maakunt.[[#This Row],[Maakunta]],Ohj.lask.[Perus-, suoritus- ja vaikuttavuusrahoitus yhteensä, €])</f>
        <v>68418804</v>
      </c>
      <c r="AS14" s="12">
        <f>Maakunt.[[#This Row],[Jaettava € 1]]/Maakunt.[[#This Row],[Perus-, suoritus- ja vaikuttavuusrahoitus yhteensä, €]]</f>
        <v>0.69100560424879687</v>
      </c>
      <c r="AT14" s="9">
        <f>Maakunt.[[#This Row],[Suoriteperusteinen (opiskelijavuosiin perustuva) sekä harkinnanvarainen korotus, €]]/Maakunt.[[#This Row],[Perus-, suoritus- ja vaikuttavuusrahoitus yhteensä, €]]</f>
        <v>0.69769892499143948</v>
      </c>
      <c r="AU14" s="42">
        <f>Maakunt.[[#This Row],[Suoritusrahoitus, €]]/Maakunt.[[#This Row],[Perus-, suoritus- ja vaikuttavuusrahoitus yhteensä, €]]</f>
        <v>0.20021165526366114</v>
      </c>
      <c r="AV14" s="9">
        <f>Maakunt.[[#This Row],[Työllistymiseen ja jatko-opintoihin siirtymiseen, opiskelijapalautteiseen sekä työelämäpalautteeseen perustuva, €]]/Maakunt.[[#This Row],[Perus-, suoritus- ja vaikuttavuusrahoitus yhteensä, €]]</f>
        <v>0.10208941974489937</v>
      </c>
      <c r="AW14" s="9">
        <f>SUMIF(Ohj.lask.[Maakunta],Maakunt.[[#This Row],[Maakunta]],Ohj.lask.[Jaettava € 3])/Maakunt.[[#This Row],[Perus-, suoritus- ja vaikuttavuusrahoitus yhteensä, €]]</f>
        <v>7.0698108081515137E-2</v>
      </c>
      <c r="AX14" s="9">
        <f>SUMIF(Ohj.lask.[Maakunta],Maakunt.[[#This Row],[Maakunta]],Ohj.lask.[Jaettava € 4])/Maakunt.[[#This Row],[Perus-, suoritus- ja vaikuttavuusrahoitus yhteensä, €]]</f>
        <v>3.6480906623272747E-3</v>
      </c>
      <c r="AY14" s="9">
        <f>SUMIF(Ohj.lask.[Maakunta],Maakunt.[[#This Row],[Maakunta]],Ohj.lask.[Jaettava € 5])/Maakunt.[[#This Row],[Perus-, suoritus- ja vaikuttavuusrahoitus yhteensä, €]]</f>
        <v>1.1476698715750716E-2</v>
      </c>
      <c r="AZ14" s="9">
        <f>SUMIF(Ohj.lask.[Maakunta],Maakunt.[[#This Row],[Maakunta]],Ohj.lask.[Jaettava € 6])/Maakunt.[[#This Row],[Perus-, suoritus- ja vaikuttavuusrahoitus yhteensä, €]]</f>
        <v>1.2240947678652787E-2</v>
      </c>
      <c r="BA14" s="9">
        <f>SUMIF(Ohj.lask.[Maakunta],Maakunt.[[#This Row],[Maakunta]],Ohj.lask.[Jaettava € 7])/Maakunt.[[#This Row],[Perus-, suoritus- ja vaikuttavuusrahoitus yhteensä, €]]</f>
        <v>4.0255746066534571E-3</v>
      </c>
      <c r="BB14" s="11">
        <f>SUMIF(Vertailu[Maakunta],Maakunt.[[#This Row],[Maakunta]],Vertailu[Rahoitus ml. hark. kor. 
2023 ilman alv, €])</f>
        <v>65230153</v>
      </c>
      <c r="BC14" s="11">
        <f>SUMIF(Vertailu[Maakunta],Maakunt.[[#This Row],[Maakunta]],Vertailu[Rahoitus ml. hark. kor. 
2024 ilman alv, €])</f>
        <v>68418804</v>
      </c>
      <c r="BD14" s="11">
        <f>SUMIF(Vertailu[Maakunta],Maakunt.[[#This Row],[Maakunta]],Vertailu[Muutos, € 2])</f>
        <v>3188651</v>
      </c>
      <c r="BE14" s="34">
        <f>IFERROR(Maakunt.[[#This Row],[Muutos, €]]/Maakunt.[[#This Row],[Rahoitus ml. hark. kor. 
2023 ilman alv, €]],0)</f>
        <v>4.8883083257523559E-2</v>
      </c>
    </row>
    <row r="15" spans="1:57" x14ac:dyDescent="0.2">
      <c r="A15" s="15" t="s">
        <v>182</v>
      </c>
      <c r="B15" s="15">
        <f>COUNTIF(Ohj.lask.[Maakunta],Maakunt.[[#This Row],[Maakunta]])</f>
        <v>9</v>
      </c>
      <c r="C15" s="15">
        <f>COUNTIFS(Ohj.lask.[Maakunta],Maakunt.[[#This Row],[Maakunta]],Ohj.lask.[Omistajatyyppi],"=yksityinen")</f>
        <v>6</v>
      </c>
      <c r="D15" s="15">
        <f>COUNTIFS(Ohj.lask.[Maakunta],Maakunt.[[#This Row],[Maakunta]],Ohj.lask.[Omistajatyyppi],"=kunta")</f>
        <v>1</v>
      </c>
      <c r="E15" s="15">
        <f>COUNTIFS(Ohj.lask.[Maakunta],Maakunt.[[#This Row],[Maakunta]],Ohj.lask.[Omistajatyyppi],"=kuntayhtymä")</f>
        <v>2</v>
      </c>
      <c r="F15" s="11">
        <f>SUMIF(Ohj.lask.[Maakunta],Maakunt.[[#This Row],[Maakunta]],Ohj.lask.[Järjestämisluvan opisk.vuosien vähimmäismäärä])</f>
        <v>13965</v>
      </c>
      <c r="G15" s="10">
        <f>SUMIF(Ohj.lask.[Maakunta],Maakunt.[[#This Row],[Maakunta]],Ohj.lask.[Suoritepäätöksellä jaettavat opisk.vuodet (luvan ylittävä osuus)])</f>
        <v>2853</v>
      </c>
      <c r="H15" s="10">
        <f>SUMIF(Ohj.lask.[Maakunta],Maakunt.[[#This Row],[Maakunta]],Ohj.lask.[Tavoitteelliset opiskelija-vuodet])</f>
        <v>16818</v>
      </c>
      <c r="I15" s="73">
        <f>Maakunt.[[#This Row],[Painotetut opiskelija-vuodet]]/Maakunt.[[#This Row],[Tavoitteelliset opiskelija-vuodet]]</f>
        <v>1.11607801165418</v>
      </c>
      <c r="J15" s="74">
        <f>SUMIF(Ohj.lask.[Maakunta],Maakunt.[[#This Row],[Maakunta]],Ohj.lask.[Painotetut opiskelija-vuodet])</f>
        <v>18770.199999999997</v>
      </c>
      <c r="K15" s="9">
        <f>SUMIF(Ohj.lask.[Maakunta],Maakunt.[[#This Row],[Maakunta]],Ohj.lask.[%-osuus 1])</f>
        <v>8.6603259791323883E-2</v>
      </c>
      <c r="L15" s="10">
        <f>SUMIF(Ohj.lask.[Maakunta],Maakunt.[[#This Row],[Maakunta]],Ohj.lask.[Jaettava € 1])</f>
        <v>128094534</v>
      </c>
      <c r="M15" s="11">
        <f>SUMIF(Ohj.lask.[Maakunta],Maakunt.[[#This Row],[Maakunta]],Ohj.lask.[Painotetut pisteet 2])</f>
        <v>1448495.7999999998</v>
      </c>
      <c r="N15" s="9">
        <f>SUMIF(Ohj.lask.[Maakunta],Maakunt.[[#This Row],[Maakunta]],Ohj.lask.[%-osuus 2])</f>
        <v>9.4556830856838067E-2</v>
      </c>
      <c r="O15" s="10">
        <f>SUMIF(Ohj.lask.[Maakunta],Maakunt.[[#This Row],[Maakunta]],Ohj.lask.[Jaettava € 2])</f>
        <v>40631637</v>
      </c>
      <c r="P15" s="11">
        <f>SUMIF(Ohj.lask.[Maakunta],Maakunt.[[#This Row],[Maakunta]],Ohj.lask.[Painotetut pisteet 3])</f>
        <v>30104.000000000004</v>
      </c>
      <c r="Q15" s="9">
        <f>SUMIF(Ohj.lask.[Maakunta],Maakunt.[[#This Row],[Maakunta]],Ohj.lask.[%-osuus 3])</f>
        <v>9.6321703739729148E-2</v>
      </c>
      <c r="R15" s="10">
        <f>SUMIF(Ohj.lask.[Maakunta],Maakunt.[[#This Row],[Maakunta]],Ohj.lask.[Jaettava € 3])</f>
        <v>14486505</v>
      </c>
      <c r="S15" s="11">
        <f>SUMIF(Ohj.lask.[Maakunta],Maakunt.[[#This Row],[Maakunta]],Ohj.lask.[Painotetut pisteet 4])</f>
        <v>142459.10000000003</v>
      </c>
      <c r="T15" s="9">
        <f>SUMIF(Ohj.lask.[Maakunta],Maakunt.[[#This Row],[Maakunta]],Ohj.lask.[%-osuus 4])</f>
        <v>8.5463746338926783E-2</v>
      </c>
      <c r="U15" s="10">
        <f>SUMIF(Ohj.lask.[Maakunta],Maakunt.[[#This Row],[Maakunta]],Ohj.lask.[Jaettava € 4])</f>
        <v>688580</v>
      </c>
      <c r="V15" s="11">
        <f>SUMIF(Ohj.lask.[Maakunta],Maakunt.[[#This Row],[Maakunta]],Ohj.lask.[Painotetut pisteet 5])</f>
        <v>960590.90000000014</v>
      </c>
      <c r="W15" s="9">
        <f>SUMIF(Ohj.lask.[Maakunta],Maakunt.[[#This Row],[Maakunta]],Ohj.lask.[%-osuus 5])</f>
        <v>9.3922983616698208E-2</v>
      </c>
      <c r="X15" s="16">
        <f>SUMIF(Ohj.lask.[Maakunta],Maakunt.[[#This Row],[Maakunta]],Ohj.lask.[Jaettava € 5])</f>
        <v>2270207</v>
      </c>
      <c r="Y15" s="11">
        <f>SUMIF(Ohj.lask.[Maakunta],Maakunt.[[#This Row],[Maakunta]],Ohj.lask.[Painotetut pisteet 6])</f>
        <v>33541429.899999999</v>
      </c>
      <c r="Z15" s="9">
        <f>SUMIF(Ohj.lask.[Maakunta],Maakunt.[[#This Row],[Maakunta]],Ohj.lask.[%-osuus 6])</f>
        <v>9.882363177646758E-2</v>
      </c>
      <c r="AA15" s="16">
        <f>SUMIF(Ohj.lask.[Maakunta],Maakunt.[[#This Row],[Maakunta]],Ohj.lask.[Jaettava € 6])</f>
        <v>2388662</v>
      </c>
      <c r="AB15" s="10">
        <f>SUMIF(Ohj.lask.[Maakunta],Maakunt.[[#This Row],[Maakunta]],Ohj.lask.[Pisteet 7])</f>
        <v>14151747.699999999</v>
      </c>
      <c r="AC15" s="9">
        <f>SUMIF(Ohj.lask.[Maakunta],Maakunt.[[#This Row],[Maakunta]],Ohj.lask.[%-osuus 7])</f>
        <v>7.6691990742673799E-2</v>
      </c>
      <c r="AD15" s="10">
        <f>SUMIF(Ohj.lask.[Maakunta],Maakunt.[[#This Row],[Maakunta]],Ohj.lask.[Jaettava € 7])</f>
        <v>617906</v>
      </c>
      <c r="AE15" s="12">
        <f>SUMIF(Ohj.lask.[Maakunta],Maakunt.[[#This Row],[Maakunta]],Ohj.lask.[%-osuus 8])</f>
        <v>8.9081339138063403E-2</v>
      </c>
      <c r="AF15" s="16">
        <f>SUMIF(Ohj.lask.[Maakunta],Maakunt.[[#This Row],[Maakunta]],Ohj.lask.[Jaettava € 8])</f>
        <v>189178031</v>
      </c>
      <c r="AG15" s="33">
        <f>SUMIF(Ohj.lask.[Maakunta],Maakunt.[[#This Row],[Maakunta]],Ohj.lask.[Harkinnanvarainen korotus 1, €])</f>
        <v>0</v>
      </c>
      <c r="AH15" s="33">
        <f>SUMIF(Ohj.lask.[Maakunta],Maakunt.[[#This Row],[Maakunta]],Ohj.lask.[Harkinnanvarainen korotus 2, €])</f>
        <v>195000</v>
      </c>
      <c r="AI15" s="33">
        <f>SUMIF(Ohj.lask.[Maakunta],Maakunt.[[#This Row],[Maakunta]],Ohj.lask.[Harkinnanvarainen korotus 3, €])</f>
        <v>0</v>
      </c>
      <c r="AJ15" s="16">
        <f>SUMIF(Ohj.lask.[Maakunta],Maakunt.[[#This Row],[Maakunta]],Ohj.lask.[Harkinnanvarainen korotus 4, €])</f>
        <v>0</v>
      </c>
      <c r="AK15" s="11">
        <f>SUMIF(Ohj.lask.[Maakunta],Maakunt.[[#This Row],[Maakunta]],Ohj.lask.[Harkinnanvarainen korotus 5, €])</f>
        <v>270000</v>
      </c>
      <c r="AL15" s="10">
        <f>SUMIF(Ohj.lask.[Maakunta],Maakunt.[[#This Row],[Maakunta]],Ohj.lask.[Harkinnanvarainen korotus 6, €])</f>
        <v>110000</v>
      </c>
      <c r="AM15" s="11">
        <f>SUMIF(Ohj.lask.[Maakunta],Maakunt.[[#This Row],[Maakunta]],Ohj.lask.[Harkinnanvarainen korotus 7, €])</f>
        <v>538154</v>
      </c>
      <c r="AN15" s="16">
        <f>SUMIF(Ohj.lask.[Maakunta],Maakunt.[[#This Row],[Maakunta]],Ohj.lask.[Harkinnanvarainen korotus 8, €])</f>
        <v>1113154</v>
      </c>
      <c r="AO15" s="33">
        <f>SUMIF(Ohj.lask.[Maakunta],Maakunt.[[#This Row],[Maakunta]],Ohj.lask.[Suoriteperusteinen (opiskelijavuosiin perustuva) sekä harkinnanvarainen korotus, €])</f>
        <v>129207688</v>
      </c>
      <c r="AP15" s="10">
        <f>SUMIF(Ohj.lask.[Maakunta],Maakunt.[[#This Row],[Maakunta]],Ohj.lask.[Suoritusrahoitus, €])</f>
        <v>40631637</v>
      </c>
      <c r="AQ15" s="11">
        <f>SUMIF(Ohj.lask.[Maakunta],Maakunt.[[#This Row],[Maakunta]],Ohj.lask.[Työllistymiseen ja jatko-opintoihin siirtymiseen, opiskelijapalautteiseen sekä työelämäpalautteeseen perustuva, €])</f>
        <v>20451860</v>
      </c>
      <c r="AR15" s="11">
        <f>SUMIF(Ohj.lask.[Maakunta],Maakunt.[[#This Row],[Maakunta]],Ohj.lask.[Perus-, suoritus- ja vaikuttavuusrahoitus yhteensä, €])</f>
        <v>190291185</v>
      </c>
      <c r="AS15" s="12">
        <f>Maakunt.[[#This Row],[Jaettava € 1]]/Maakunt.[[#This Row],[Perus-, suoritus- ja vaikuttavuusrahoitus yhteensä, €]]</f>
        <v>0.67315011990702567</v>
      </c>
      <c r="AT15" s="9">
        <f>Maakunt.[[#This Row],[Suoriteperusteinen (opiskelijavuosiin perustuva) sekä harkinnanvarainen korotus, €]]/Maakunt.[[#This Row],[Perus-, suoritus- ja vaikuttavuusrahoitus yhteensä, €]]</f>
        <v>0.67899986013540248</v>
      </c>
      <c r="AU15" s="42">
        <f>Maakunt.[[#This Row],[Suoritusrahoitus, €]]/Maakunt.[[#This Row],[Perus-, suoritus- ja vaikuttavuusrahoitus yhteensä, €]]</f>
        <v>0.21352348507367799</v>
      </c>
      <c r="AV15" s="9">
        <f>Maakunt.[[#This Row],[Työllistymiseen ja jatko-opintoihin siirtymiseen, opiskelijapalautteiseen sekä työelämäpalautteeseen perustuva, €]]/Maakunt.[[#This Row],[Perus-, suoritus- ja vaikuttavuusrahoitus yhteensä, €]]</f>
        <v>0.1074766547909195</v>
      </c>
      <c r="AW15" s="9">
        <f>SUMIF(Ohj.lask.[Maakunta],Maakunt.[[#This Row],[Maakunta]],Ohj.lask.[Jaettava € 3])/Maakunt.[[#This Row],[Perus-, suoritus- ja vaikuttavuusrahoitus yhteensä, €]]</f>
        <v>7.6128092848862128E-2</v>
      </c>
      <c r="AX15" s="9">
        <f>SUMIF(Ohj.lask.[Maakunta],Maakunt.[[#This Row],[Maakunta]],Ohj.lask.[Jaettava € 4])/Maakunt.[[#This Row],[Perus-, suoritus- ja vaikuttavuusrahoitus yhteensä, €]]</f>
        <v>3.6185596300742991E-3</v>
      </c>
      <c r="AY15" s="9">
        <f>SUMIF(Ohj.lask.[Maakunta],Maakunt.[[#This Row],[Maakunta]],Ohj.lask.[Jaettava € 5])/Maakunt.[[#This Row],[Perus-, suoritus- ja vaikuttavuusrahoitus yhteensä, €]]</f>
        <v>1.1930174274756868E-2</v>
      </c>
      <c r="AZ15" s="9">
        <f>SUMIF(Ohj.lask.[Maakunta],Maakunt.[[#This Row],[Maakunta]],Ohj.lask.[Jaettava € 6])/Maakunt.[[#This Row],[Perus-, suoritus- ja vaikuttavuusrahoitus yhteensä, €]]</f>
        <v>1.2552667639333898E-2</v>
      </c>
      <c r="BA15" s="9">
        <f>SUMIF(Ohj.lask.[Maakunta],Maakunt.[[#This Row],[Maakunta]],Ohj.lask.[Jaettava € 7])/Maakunt.[[#This Row],[Perus-, suoritus- ja vaikuttavuusrahoitus yhteensä, €]]</f>
        <v>3.2471603978923144E-3</v>
      </c>
      <c r="BB15" s="11">
        <f>SUMIF(Vertailu[Maakunta],Maakunt.[[#This Row],[Maakunta]],Vertailu[Rahoitus ml. hark. kor. 
2023 ilman alv, €])</f>
        <v>179908019</v>
      </c>
      <c r="BC15" s="11">
        <f>SUMIF(Vertailu[Maakunta],Maakunt.[[#This Row],[Maakunta]],Vertailu[Rahoitus ml. hark. kor. 
2024 ilman alv, €])</f>
        <v>190291185</v>
      </c>
      <c r="BD15" s="11">
        <f>SUMIF(Vertailu[Maakunta],Maakunt.[[#This Row],[Maakunta]],Vertailu[Muutos, € 2])</f>
        <v>10383166</v>
      </c>
      <c r="BE15" s="34">
        <f>IFERROR(Maakunt.[[#This Row],[Muutos, €]]/Maakunt.[[#This Row],[Rahoitus ml. hark. kor. 
2023 ilman alv, €]],0)</f>
        <v>5.7713747601211708E-2</v>
      </c>
    </row>
    <row r="16" spans="1:57" x14ac:dyDescent="0.2">
      <c r="A16" s="15" t="s">
        <v>179</v>
      </c>
      <c r="B16" s="15">
        <f>COUNTIF(Ohj.lask.[Maakunta],Maakunt.[[#This Row],[Maakunta]])</f>
        <v>5</v>
      </c>
      <c r="C16" s="15">
        <f>COUNTIFS(Ohj.lask.[Maakunta],Maakunt.[[#This Row],[Maakunta]],Ohj.lask.[Omistajatyyppi],"=yksityinen")</f>
        <v>1</v>
      </c>
      <c r="D16" s="15">
        <f>COUNTIFS(Ohj.lask.[Maakunta],Maakunt.[[#This Row],[Maakunta]],Ohj.lask.[Omistajatyyppi],"=kunta")</f>
        <v>1</v>
      </c>
      <c r="E16" s="15">
        <f>COUNTIFS(Ohj.lask.[Maakunta],Maakunt.[[#This Row],[Maakunta]],Ohj.lask.[Omistajatyyppi],"=kuntayhtymä")</f>
        <v>3</v>
      </c>
      <c r="F16" s="11">
        <f>SUMIF(Ohj.lask.[Maakunta],Maakunt.[[#This Row],[Maakunta]],Ohj.lask.[Järjestämisluvan opisk.vuosien vähimmäismäärä])</f>
        <v>5007</v>
      </c>
      <c r="G16" s="10">
        <f>SUMIF(Ohj.lask.[Maakunta],Maakunt.[[#This Row],[Maakunta]],Ohj.lask.[Suoritepäätöksellä jaettavat opisk.vuodet (luvan ylittävä osuus)])</f>
        <v>276</v>
      </c>
      <c r="H16" s="10">
        <f>SUMIF(Ohj.lask.[Maakunta],Maakunt.[[#This Row],[Maakunta]],Ohj.lask.[Tavoitteelliset opiskelija-vuodet])</f>
        <v>5283</v>
      </c>
      <c r="I16" s="73">
        <f>Maakunt.[[#This Row],[Painotetut opiskelija-vuodet]]/Maakunt.[[#This Row],[Tavoitteelliset opiskelija-vuodet]]</f>
        <v>1.1910656823774373</v>
      </c>
      <c r="J16" s="74">
        <f>SUMIF(Ohj.lask.[Maakunta],Maakunt.[[#This Row],[Maakunta]],Ohj.lask.[Painotetut opiskelija-vuodet])</f>
        <v>6292.4000000000005</v>
      </c>
      <c r="K16" s="9">
        <f>SUMIF(Ohj.lask.[Maakunta],Maakunt.[[#This Row],[Maakunta]],Ohj.lask.[%-osuus 1])</f>
        <v>2.9032314621630376E-2</v>
      </c>
      <c r="L16" s="10">
        <f>SUMIF(Ohj.lask.[Maakunta],Maakunt.[[#This Row],[Maakunta]],Ohj.lask.[Jaettava € 1])</f>
        <v>42941580</v>
      </c>
      <c r="M16" s="11">
        <f>SUMIF(Ohj.lask.[Maakunta],Maakunt.[[#This Row],[Maakunta]],Ohj.lask.[Painotetut pisteet 2])</f>
        <v>428586.5</v>
      </c>
      <c r="N16" s="9">
        <f>SUMIF(Ohj.lask.[Maakunta],Maakunt.[[#This Row],[Maakunta]],Ohj.lask.[%-osuus 2])</f>
        <v>2.7977838242971932E-2</v>
      </c>
      <c r="O16" s="10">
        <f>SUMIF(Ohj.lask.[Maakunta],Maakunt.[[#This Row],[Maakunta]],Ohj.lask.[Jaettava € 2])</f>
        <v>12022245</v>
      </c>
      <c r="P16" s="11">
        <f>SUMIF(Ohj.lask.[Maakunta],Maakunt.[[#This Row],[Maakunta]],Ohj.lask.[Painotetut pisteet 3])</f>
        <v>9522</v>
      </c>
      <c r="Q16" s="9">
        <f>SUMIF(Ohj.lask.[Maakunta],Maakunt.[[#This Row],[Maakunta]],Ohj.lask.[%-osuus 3])</f>
        <v>3.0466890214247311E-2</v>
      </c>
      <c r="R16" s="10">
        <f>SUMIF(Ohj.lask.[Maakunta],Maakunt.[[#This Row],[Maakunta]],Ohj.lask.[Jaettava € 3])</f>
        <v>4582132</v>
      </c>
      <c r="S16" s="11">
        <f>SUMIF(Ohj.lask.[Maakunta],Maakunt.[[#This Row],[Maakunta]],Ohj.lask.[Painotetut pisteet 4])</f>
        <v>40134</v>
      </c>
      <c r="T16" s="9">
        <f>SUMIF(Ohj.lask.[Maakunta],Maakunt.[[#This Row],[Maakunta]],Ohj.lask.[%-osuus 4])</f>
        <v>2.4077099992675002E-2</v>
      </c>
      <c r="U16" s="10">
        <f>SUMIF(Ohj.lask.[Maakunta],Maakunt.[[#This Row],[Maakunta]],Ohj.lask.[Jaettava € 4])</f>
        <v>193989</v>
      </c>
      <c r="V16" s="11">
        <f>SUMIF(Ohj.lask.[Maakunta],Maakunt.[[#This Row],[Maakunta]],Ohj.lask.[Painotetut pisteet 5])</f>
        <v>256479.9</v>
      </c>
      <c r="W16" s="9">
        <f>SUMIF(Ohj.lask.[Maakunta],Maakunt.[[#This Row],[Maakunta]],Ohj.lask.[%-osuus 5])</f>
        <v>2.5077644859754961E-2</v>
      </c>
      <c r="X16" s="16">
        <f>SUMIF(Ohj.lask.[Maakunta],Maakunt.[[#This Row],[Maakunta]],Ohj.lask.[Jaettava € 5])</f>
        <v>606150</v>
      </c>
      <c r="Y16" s="11">
        <f>SUMIF(Ohj.lask.[Maakunta],Maakunt.[[#This Row],[Maakunta]],Ohj.lask.[Painotetut pisteet 6])</f>
        <v>10766534.9</v>
      </c>
      <c r="Z16" s="9">
        <f>SUMIF(Ohj.lask.[Maakunta],Maakunt.[[#This Row],[Maakunta]],Ohj.lask.[%-osuus 6])</f>
        <v>3.1721607684533665E-2</v>
      </c>
      <c r="AA16" s="16">
        <f>SUMIF(Ohj.lask.[Maakunta],Maakunt.[[#This Row],[Maakunta]],Ohj.lask.[Jaettava € 6])</f>
        <v>766742</v>
      </c>
      <c r="AB16" s="10">
        <f>SUMIF(Ohj.lask.[Maakunta],Maakunt.[[#This Row],[Maakunta]],Ohj.lask.[Pisteet 7])</f>
        <v>4847626.8</v>
      </c>
      <c r="AC16" s="9">
        <f>SUMIF(Ohj.lask.[Maakunta],Maakunt.[[#This Row],[Maakunta]],Ohj.lask.[%-osuus 7])</f>
        <v>2.6270546758654936E-2</v>
      </c>
      <c r="AD16" s="10">
        <f>SUMIF(Ohj.lask.[Maakunta],Maakunt.[[#This Row],[Maakunta]],Ohj.lask.[Jaettava € 7])</f>
        <v>211661</v>
      </c>
      <c r="AE16" s="12">
        <f>SUMIF(Ohj.lask.[Maakunta],Maakunt.[[#This Row],[Maakunta]],Ohj.lask.[%-osuus 8])</f>
        <v>2.8876865162481946E-2</v>
      </c>
      <c r="AF16" s="16">
        <f>SUMIF(Ohj.lask.[Maakunta],Maakunt.[[#This Row],[Maakunta]],Ohj.lask.[Jaettava € 8])</f>
        <v>61324499</v>
      </c>
      <c r="AG16" s="33">
        <f>SUMIF(Ohj.lask.[Maakunta],Maakunt.[[#This Row],[Maakunta]],Ohj.lask.[Harkinnanvarainen korotus 1, €])</f>
        <v>0</v>
      </c>
      <c r="AH16" s="33">
        <f>SUMIF(Ohj.lask.[Maakunta],Maakunt.[[#This Row],[Maakunta]],Ohj.lask.[Harkinnanvarainen korotus 2, €])</f>
        <v>55000</v>
      </c>
      <c r="AI16" s="33">
        <f>SUMIF(Ohj.lask.[Maakunta],Maakunt.[[#This Row],[Maakunta]],Ohj.lask.[Harkinnanvarainen korotus 3, €])</f>
        <v>0</v>
      </c>
      <c r="AJ16" s="16">
        <f>SUMIF(Ohj.lask.[Maakunta],Maakunt.[[#This Row],[Maakunta]],Ohj.lask.[Harkinnanvarainen korotus 4, €])</f>
        <v>0</v>
      </c>
      <c r="AK16" s="11">
        <f>SUMIF(Ohj.lask.[Maakunta],Maakunt.[[#This Row],[Maakunta]],Ohj.lask.[Harkinnanvarainen korotus 5, €])</f>
        <v>71000</v>
      </c>
      <c r="AL16" s="10">
        <f>SUMIF(Ohj.lask.[Maakunta],Maakunt.[[#This Row],[Maakunta]],Ohj.lask.[Harkinnanvarainen korotus 6, €])</f>
        <v>10000</v>
      </c>
      <c r="AM16" s="11">
        <f>SUMIF(Ohj.lask.[Maakunta],Maakunt.[[#This Row],[Maakunta]],Ohj.lask.[Harkinnanvarainen korotus 7, €])</f>
        <v>202392</v>
      </c>
      <c r="AN16" s="16">
        <f>SUMIF(Ohj.lask.[Maakunta],Maakunt.[[#This Row],[Maakunta]],Ohj.lask.[Harkinnanvarainen korotus 8, €])</f>
        <v>338392</v>
      </c>
      <c r="AO16" s="33">
        <f>SUMIF(Ohj.lask.[Maakunta],Maakunt.[[#This Row],[Maakunta]],Ohj.lask.[Suoriteperusteinen (opiskelijavuosiin perustuva) sekä harkinnanvarainen korotus, €])</f>
        <v>43279972</v>
      </c>
      <c r="AP16" s="10">
        <f>SUMIF(Ohj.lask.[Maakunta],Maakunt.[[#This Row],[Maakunta]],Ohj.lask.[Suoritusrahoitus, €])</f>
        <v>12022245</v>
      </c>
      <c r="AQ16" s="11">
        <f>SUMIF(Ohj.lask.[Maakunta],Maakunt.[[#This Row],[Maakunta]],Ohj.lask.[Työllistymiseen ja jatko-opintoihin siirtymiseen, opiskelijapalautteiseen sekä työelämäpalautteeseen perustuva, €])</f>
        <v>6360674</v>
      </c>
      <c r="AR16" s="11">
        <f>SUMIF(Ohj.lask.[Maakunta],Maakunt.[[#This Row],[Maakunta]],Ohj.lask.[Perus-, suoritus- ja vaikuttavuusrahoitus yhteensä, €])</f>
        <v>61662891</v>
      </c>
      <c r="AS16" s="12">
        <f>Maakunt.[[#This Row],[Jaettava € 1]]/Maakunt.[[#This Row],[Perus-, suoritus- ja vaikuttavuusrahoitus yhteensä, €]]</f>
        <v>0.69639258399350756</v>
      </c>
      <c r="AT16" s="9">
        <f>Maakunt.[[#This Row],[Suoriteperusteinen (opiskelijavuosiin perustuva) sekä harkinnanvarainen korotus, €]]/Maakunt.[[#This Row],[Perus-, suoritus- ja vaikuttavuusrahoitus yhteensä, €]]</f>
        <v>0.70188035783142244</v>
      </c>
      <c r="AU16" s="42">
        <f>Maakunt.[[#This Row],[Suoritusrahoitus, €]]/Maakunt.[[#This Row],[Perus-, suoritus- ja vaikuttavuusrahoitus yhteensä, €]]</f>
        <v>0.1949672615901191</v>
      </c>
      <c r="AV16" s="9">
        <f>Maakunt.[[#This Row],[Työllistymiseen ja jatko-opintoihin siirtymiseen, opiskelijapalautteiseen sekä työelämäpalautteeseen perustuva, €]]/Maakunt.[[#This Row],[Perus-, suoritus- ja vaikuttavuusrahoitus yhteensä, €]]</f>
        <v>0.10315238057845845</v>
      </c>
      <c r="AW16" s="9">
        <f>SUMIF(Ohj.lask.[Maakunta],Maakunt.[[#This Row],[Maakunta]],Ohj.lask.[Jaettava € 3])/Maakunt.[[#This Row],[Perus-, suoritus- ja vaikuttavuusrahoitus yhteensä, €]]</f>
        <v>7.4309392986455988E-2</v>
      </c>
      <c r="AX16" s="9">
        <f>SUMIF(Ohj.lask.[Maakunta],Maakunt.[[#This Row],[Maakunta]],Ohj.lask.[Jaettava € 4])/Maakunt.[[#This Row],[Perus-, suoritus- ja vaikuttavuusrahoitus yhteensä, €]]</f>
        <v>3.1459601853568624E-3</v>
      </c>
      <c r="AY16" s="9">
        <f>SUMIF(Ohj.lask.[Maakunta],Maakunt.[[#This Row],[Maakunta]],Ohj.lask.[Jaettava € 5])/Maakunt.[[#This Row],[Perus-, suoritus- ja vaikuttavuusrahoitus yhteensä, €]]</f>
        <v>9.8300613248898765E-3</v>
      </c>
      <c r="AZ16" s="9">
        <f>SUMIF(Ohj.lask.[Maakunta],Maakunt.[[#This Row],[Maakunta]],Ohj.lask.[Jaettava € 6])/Maakunt.[[#This Row],[Perus-, suoritus- ja vaikuttavuusrahoitus yhteensä, €]]</f>
        <v>1.2434415376340366E-2</v>
      </c>
      <c r="BA16" s="9">
        <f>SUMIF(Ohj.lask.[Maakunta],Maakunt.[[#This Row],[Maakunta]],Ohj.lask.[Jaettava € 7])/Maakunt.[[#This Row],[Perus-, suoritus- ja vaikuttavuusrahoitus yhteensä, €]]</f>
        <v>3.4325507054153528E-3</v>
      </c>
      <c r="BB16" s="11">
        <f>SUMIF(Vertailu[Maakunta],Maakunt.[[#This Row],[Maakunta]],Vertailu[Rahoitus ml. hark. kor. 
2023 ilman alv, €])</f>
        <v>59163318</v>
      </c>
      <c r="BC16" s="11">
        <f>SUMIF(Vertailu[Maakunta],Maakunt.[[#This Row],[Maakunta]],Vertailu[Rahoitus ml. hark. kor. 
2024 ilman alv, €])</f>
        <v>61662891</v>
      </c>
      <c r="BD16" s="11">
        <f>SUMIF(Vertailu[Maakunta],Maakunt.[[#This Row],[Maakunta]],Vertailu[Muutos, € 2])</f>
        <v>2499573</v>
      </c>
      <c r="BE16" s="34">
        <f>IFERROR(Maakunt.[[#This Row],[Muutos, €]]/Maakunt.[[#This Row],[Rahoitus ml. hark. kor. 
2023 ilman alv, €]],0)</f>
        <v>4.2248695382500354E-2</v>
      </c>
    </row>
    <row r="17" spans="1:57" x14ac:dyDescent="0.2">
      <c r="A17" s="15" t="s">
        <v>241</v>
      </c>
      <c r="B17" s="15">
        <f>COUNTIF(Ohj.lask.[Maakunta],Maakunt.[[#This Row],[Maakunta]])</f>
        <v>4</v>
      </c>
      <c r="C17" s="15">
        <f>COUNTIFS(Ohj.lask.[Maakunta],Maakunt.[[#This Row],[Maakunta]],Ohj.lask.[Omistajatyyppi],"=yksityinen")</f>
        <v>2</v>
      </c>
      <c r="D17" s="15">
        <f>COUNTIFS(Ohj.lask.[Maakunta],Maakunt.[[#This Row],[Maakunta]],Ohj.lask.[Omistajatyyppi],"=kunta")</f>
        <v>1</v>
      </c>
      <c r="E17" s="15">
        <f>COUNTIFS(Ohj.lask.[Maakunta],Maakunt.[[#This Row],[Maakunta]],Ohj.lask.[Omistajatyyppi],"=kuntayhtymä")</f>
        <v>1</v>
      </c>
      <c r="F17" s="11">
        <f>SUMIF(Ohj.lask.[Maakunta],Maakunt.[[#This Row],[Maakunta]],Ohj.lask.[Järjestämisluvan opisk.vuosien vähimmäismäärä])</f>
        <v>4948</v>
      </c>
      <c r="G17" s="10">
        <f>SUMIF(Ohj.lask.[Maakunta],Maakunt.[[#This Row],[Maakunta]],Ohj.lask.[Suoritepäätöksellä jaettavat opisk.vuodet (luvan ylittävä osuus)])</f>
        <v>559</v>
      </c>
      <c r="H17" s="10">
        <f>SUMIF(Ohj.lask.[Maakunta],Maakunt.[[#This Row],[Maakunta]],Ohj.lask.[Tavoitteelliset opiskelija-vuodet])</f>
        <v>5507</v>
      </c>
      <c r="I17" s="73">
        <f>Maakunt.[[#This Row],[Painotetut opiskelija-vuodet]]/Maakunt.[[#This Row],[Tavoitteelliset opiskelija-vuodet]]</f>
        <v>1.1751952061013256</v>
      </c>
      <c r="J17" s="74">
        <f>SUMIF(Ohj.lask.[Maakunta],Maakunt.[[#This Row],[Maakunta]],Ohj.lask.[Painotetut opiskelija-vuodet])</f>
        <v>6471.8</v>
      </c>
      <c r="K17" s="9">
        <f>SUMIF(Ohj.lask.[Maakunta],Maakunt.[[#This Row],[Maakunta]],Ohj.lask.[%-osuus 1])</f>
        <v>2.9860042872078611E-2</v>
      </c>
      <c r="L17" s="10">
        <f>SUMIF(Ohj.lask.[Maakunta],Maakunt.[[#This Row],[Maakunta]],Ohj.lask.[Jaettava € 1])</f>
        <v>44165870</v>
      </c>
      <c r="M17" s="11">
        <f>SUMIF(Ohj.lask.[Maakunta],Maakunt.[[#This Row],[Maakunta]],Ohj.lask.[Painotetut pisteet 2])</f>
        <v>457289.60000000003</v>
      </c>
      <c r="N17" s="9">
        <f>SUMIF(Ohj.lask.[Maakunta],Maakunt.[[#This Row],[Maakunta]],Ohj.lask.[%-osuus 2])</f>
        <v>2.9851557291219716E-2</v>
      </c>
      <c r="O17" s="10">
        <f>SUMIF(Ohj.lask.[Maakunta],Maakunt.[[#This Row],[Maakunta]],Ohj.lask.[Jaettava € 2])</f>
        <v>12827393</v>
      </c>
      <c r="P17" s="11">
        <f>SUMIF(Ohj.lask.[Maakunta],Maakunt.[[#This Row],[Maakunta]],Ohj.lask.[Painotetut pisteet 3])</f>
        <v>10162</v>
      </c>
      <c r="Q17" s="9">
        <f>SUMIF(Ohj.lask.[Maakunta],Maakunt.[[#This Row],[Maakunta]],Ohj.lask.[%-osuus 3])</f>
        <v>3.2514654311823266E-2</v>
      </c>
      <c r="R17" s="10">
        <f>SUMIF(Ohj.lask.[Maakunta],Maakunt.[[#This Row],[Maakunta]],Ohj.lask.[Jaettava € 3])</f>
        <v>4890110</v>
      </c>
      <c r="S17" s="11">
        <f>SUMIF(Ohj.lask.[Maakunta],Maakunt.[[#This Row],[Maakunta]],Ohj.lask.[Painotetut pisteet 4])</f>
        <v>53599.7</v>
      </c>
      <c r="T17" s="9">
        <f>SUMIF(Ohj.lask.[Maakunta],Maakunt.[[#This Row],[Maakunta]],Ohj.lask.[%-osuus 4])</f>
        <v>3.2155412779124495E-2</v>
      </c>
      <c r="U17" s="10">
        <f>SUMIF(Ohj.lask.[Maakunta],Maakunt.[[#This Row],[Maakunta]],Ohj.lask.[Jaettava € 4])</f>
        <v>259076</v>
      </c>
      <c r="V17" s="11">
        <f>SUMIF(Ohj.lask.[Maakunta],Maakunt.[[#This Row],[Maakunta]],Ohj.lask.[Painotetut pisteet 5])</f>
        <v>332287</v>
      </c>
      <c r="W17" s="9">
        <f>SUMIF(Ohj.lask.[Maakunta],Maakunt.[[#This Row],[Maakunta]],Ohj.lask.[%-osuus 5])</f>
        <v>3.2489779423313082E-2</v>
      </c>
      <c r="X17" s="16">
        <f>SUMIF(Ohj.lask.[Maakunta],Maakunt.[[#This Row],[Maakunta]],Ohj.lask.[Jaettava € 5])</f>
        <v>785310</v>
      </c>
      <c r="Y17" s="11">
        <f>SUMIF(Ohj.lask.[Maakunta],Maakunt.[[#This Row],[Maakunta]],Ohj.lask.[Painotetut pisteet 6])</f>
        <v>10545316.100000001</v>
      </c>
      <c r="Z17" s="9">
        <f>SUMIF(Ohj.lask.[Maakunta],Maakunt.[[#This Row],[Maakunta]],Ohj.lask.[%-osuus 6])</f>
        <v>3.1069827325186733E-2</v>
      </c>
      <c r="AA17" s="16">
        <f>SUMIF(Ohj.lask.[Maakunta],Maakunt.[[#This Row],[Maakunta]],Ohj.lask.[Jaettava € 6])</f>
        <v>750988</v>
      </c>
      <c r="AB17" s="10">
        <f>SUMIF(Ohj.lask.[Maakunta],Maakunt.[[#This Row],[Maakunta]],Ohj.lask.[Pisteet 7])</f>
        <v>3876582</v>
      </c>
      <c r="AC17" s="9">
        <f>SUMIF(Ohj.lask.[Maakunta],Maakunt.[[#This Row],[Maakunta]],Ohj.lask.[%-osuus 7])</f>
        <v>2.1008203167529334E-2</v>
      </c>
      <c r="AD17" s="10">
        <f>SUMIF(Ohj.lask.[Maakunta],Maakunt.[[#This Row],[Maakunta]],Ohj.lask.[Jaettava € 7])</f>
        <v>169263</v>
      </c>
      <c r="AE17" s="12">
        <f>SUMIF(Ohj.lask.[Maakunta],Maakunt.[[#This Row],[Maakunta]],Ohj.lask.[%-osuus 8])</f>
        <v>3.0065151867980183E-2</v>
      </c>
      <c r="AF17" s="16">
        <f>SUMIF(Ohj.lask.[Maakunta],Maakunt.[[#This Row],[Maakunta]],Ohj.lask.[Jaettava € 8])</f>
        <v>63848010</v>
      </c>
      <c r="AG17" s="33">
        <f>SUMIF(Ohj.lask.[Maakunta],Maakunt.[[#This Row],[Maakunta]],Ohj.lask.[Harkinnanvarainen korotus 1, €])</f>
        <v>0</v>
      </c>
      <c r="AH17" s="33">
        <f>SUMIF(Ohj.lask.[Maakunta],Maakunt.[[#This Row],[Maakunta]],Ohj.lask.[Harkinnanvarainen korotus 2, €])</f>
        <v>0</v>
      </c>
      <c r="AI17" s="33">
        <f>SUMIF(Ohj.lask.[Maakunta],Maakunt.[[#This Row],[Maakunta]],Ohj.lask.[Harkinnanvarainen korotus 3, €])</f>
        <v>0</v>
      </c>
      <c r="AJ17" s="16">
        <f>SUMIF(Ohj.lask.[Maakunta],Maakunt.[[#This Row],[Maakunta]],Ohj.lask.[Harkinnanvarainen korotus 4, €])</f>
        <v>0</v>
      </c>
      <c r="AK17" s="11">
        <f>SUMIF(Ohj.lask.[Maakunta],Maakunt.[[#This Row],[Maakunta]],Ohj.lask.[Harkinnanvarainen korotus 5, €])</f>
        <v>87000</v>
      </c>
      <c r="AL17" s="10">
        <f>SUMIF(Ohj.lask.[Maakunta],Maakunt.[[#This Row],[Maakunta]],Ohj.lask.[Harkinnanvarainen korotus 6, €])</f>
        <v>0</v>
      </c>
      <c r="AM17" s="11">
        <f>SUMIF(Ohj.lask.[Maakunta],Maakunt.[[#This Row],[Maakunta]],Ohj.lask.[Harkinnanvarainen korotus 7, €])</f>
        <v>213666</v>
      </c>
      <c r="AN17" s="16">
        <f>SUMIF(Ohj.lask.[Maakunta],Maakunt.[[#This Row],[Maakunta]],Ohj.lask.[Harkinnanvarainen korotus 8, €])</f>
        <v>300666</v>
      </c>
      <c r="AO17" s="33">
        <f>SUMIF(Ohj.lask.[Maakunta],Maakunt.[[#This Row],[Maakunta]],Ohj.lask.[Suoriteperusteinen (opiskelijavuosiin perustuva) sekä harkinnanvarainen korotus, €])</f>
        <v>44466536</v>
      </c>
      <c r="AP17" s="10">
        <f>SUMIF(Ohj.lask.[Maakunta],Maakunt.[[#This Row],[Maakunta]],Ohj.lask.[Suoritusrahoitus, €])</f>
        <v>12827393</v>
      </c>
      <c r="AQ17" s="11">
        <f>SUMIF(Ohj.lask.[Maakunta],Maakunt.[[#This Row],[Maakunta]],Ohj.lask.[Työllistymiseen ja jatko-opintoihin siirtymiseen, opiskelijapalautteiseen sekä työelämäpalautteeseen perustuva, €])</f>
        <v>6854747</v>
      </c>
      <c r="AR17" s="11">
        <f>SUMIF(Ohj.lask.[Maakunta],Maakunt.[[#This Row],[Maakunta]],Ohj.lask.[Perus-, suoritus- ja vaikuttavuusrahoitus yhteensä, €])</f>
        <v>64148676</v>
      </c>
      <c r="AS17" s="12">
        <f>Maakunt.[[#This Row],[Jaettava € 1]]/Maakunt.[[#This Row],[Perus-, suoritus- ja vaikuttavuusrahoitus yhteensä, €]]</f>
        <v>0.68849230808754336</v>
      </c>
      <c r="AT17" s="9">
        <f>Maakunt.[[#This Row],[Suoriteperusteinen (opiskelijavuosiin perustuva) sekä harkinnanvarainen korotus, €]]/Maakunt.[[#This Row],[Perus-, suoritus- ja vaikuttavuusrahoitus yhteensä, €]]</f>
        <v>0.6931793261017577</v>
      </c>
      <c r="AU17" s="42">
        <f>Maakunt.[[#This Row],[Suoritusrahoitus, €]]/Maakunt.[[#This Row],[Perus-, suoritus- ja vaikuttavuusrahoitus yhteensä, €]]</f>
        <v>0.19996348794478627</v>
      </c>
      <c r="AV17" s="9">
        <f>Maakunt.[[#This Row],[Työllistymiseen ja jatko-opintoihin siirtymiseen, opiskelijapalautteiseen sekä työelämäpalautteeseen perustuva, €]]/Maakunt.[[#This Row],[Perus-, suoritus- ja vaikuttavuusrahoitus yhteensä, €]]</f>
        <v>0.106857185953456</v>
      </c>
      <c r="AW17" s="9">
        <f>SUMIF(Ohj.lask.[Maakunta],Maakunt.[[#This Row],[Maakunta]],Ohj.lask.[Jaettava € 3])/Maakunt.[[#This Row],[Perus-, suoritus- ja vaikuttavuusrahoitus yhteensä, €]]</f>
        <v>7.6230879652138109E-2</v>
      </c>
      <c r="AX17" s="9">
        <f>SUMIF(Ohj.lask.[Maakunta],Maakunt.[[#This Row],[Maakunta]],Ohj.lask.[Jaettava € 4])/Maakunt.[[#This Row],[Perus-, suoritus- ja vaikuttavuusrahoitus yhteensä, €]]</f>
        <v>4.0386803930294677E-3</v>
      </c>
      <c r="AY17" s="9">
        <f>SUMIF(Ohj.lask.[Maakunta],Maakunt.[[#This Row],[Maakunta]],Ohj.lask.[Jaettava € 5])/Maakunt.[[#This Row],[Perus-, suoritus- ja vaikuttavuusrahoitus yhteensä, €]]</f>
        <v>1.2242029749764438E-2</v>
      </c>
      <c r="AZ17" s="9">
        <f>SUMIF(Ohj.lask.[Maakunta],Maakunt.[[#This Row],[Maakunta]],Ohj.lask.[Jaettava € 6])/Maakunt.[[#This Row],[Perus-, suoritus- ja vaikuttavuusrahoitus yhteensä, €]]</f>
        <v>1.1706991427227587E-2</v>
      </c>
      <c r="BA17" s="9">
        <f>SUMIF(Ohj.lask.[Maakunta],Maakunt.[[#This Row],[Maakunta]],Ohj.lask.[Jaettava € 7])/Maakunt.[[#This Row],[Perus-, suoritus- ja vaikuttavuusrahoitus yhteensä, €]]</f>
        <v>2.6386047312964029E-3</v>
      </c>
      <c r="BB17" s="11">
        <f>SUMIF(Vertailu[Maakunta],Maakunt.[[#This Row],[Maakunta]],Vertailu[Rahoitus ml. hark. kor. 
2023 ilman alv, €])</f>
        <v>61083570</v>
      </c>
      <c r="BC17" s="11">
        <f>SUMIF(Vertailu[Maakunta],Maakunt.[[#This Row],[Maakunta]],Vertailu[Rahoitus ml. hark. kor. 
2024 ilman alv, €])</f>
        <v>64148676</v>
      </c>
      <c r="BD17" s="11">
        <f>SUMIF(Vertailu[Maakunta],Maakunt.[[#This Row],[Maakunta]],Vertailu[Muutos, € 2])</f>
        <v>3065106</v>
      </c>
      <c r="BE17" s="34">
        <f>IFERROR(Maakunt.[[#This Row],[Muutos, €]]/Maakunt.[[#This Row],[Rahoitus ml. hark. kor. 
2023 ilman alv, €]],0)</f>
        <v>5.0178894259127291E-2</v>
      </c>
    </row>
    <row r="18" spans="1:57" x14ac:dyDescent="0.2">
      <c r="A18" s="15" t="s">
        <v>180</v>
      </c>
      <c r="B18" s="15">
        <f>COUNTIF(Ohj.lask.[Maakunta],Maakunt.[[#This Row],[Maakunta]])</f>
        <v>11</v>
      </c>
      <c r="C18" s="15">
        <f>COUNTIFS(Ohj.lask.[Maakunta],Maakunt.[[#This Row],[Maakunta]],Ohj.lask.[Omistajatyyppi],"=yksityinen")</f>
        <v>7</v>
      </c>
      <c r="D18" s="15">
        <f>COUNTIFS(Ohj.lask.[Maakunta],Maakunt.[[#This Row],[Maakunta]],Ohj.lask.[Omistajatyyppi],"=kunta")</f>
        <v>1</v>
      </c>
      <c r="E18" s="15">
        <f>COUNTIFS(Ohj.lask.[Maakunta],Maakunt.[[#This Row],[Maakunta]],Ohj.lask.[Omistajatyyppi],"=kuntayhtymä")</f>
        <v>3</v>
      </c>
      <c r="F18" s="11">
        <f>SUMIF(Ohj.lask.[Maakunta],Maakunt.[[#This Row],[Maakunta]],Ohj.lask.[Järjestämisluvan opisk.vuosien vähimmäismäärä])</f>
        <v>10967</v>
      </c>
      <c r="G18" s="10">
        <f>SUMIF(Ohj.lask.[Maakunta],Maakunt.[[#This Row],[Maakunta]],Ohj.lask.[Suoritepäätöksellä jaettavat opisk.vuodet (luvan ylittävä osuus)])</f>
        <v>618</v>
      </c>
      <c r="H18" s="10">
        <f>SUMIF(Ohj.lask.[Maakunta],Maakunt.[[#This Row],[Maakunta]],Ohj.lask.[Tavoitteelliset opiskelija-vuodet])</f>
        <v>11585</v>
      </c>
      <c r="I18" s="73">
        <f>Maakunt.[[#This Row],[Painotetut opiskelija-vuodet]]/Maakunt.[[#This Row],[Tavoitteelliset opiskelija-vuodet]]</f>
        <v>1.1528355632283127</v>
      </c>
      <c r="J18" s="74">
        <f>SUMIF(Ohj.lask.[Maakunta],Maakunt.[[#This Row],[Maakunta]],Ohj.lask.[Painotetut opiskelija-vuodet])</f>
        <v>13355.600000000002</v>
      </c>
      <c r="K18" s="9">
        <f>SUMIF(Ohj.lask.[Maakunta],Maakunt.[[#This Row],[Maakunta]],Ohj.lask.[%-osuus 1])</f>
        <v>6.1621000120883396E-2</v>
      </c>
      <c r="L18" s="10">
        <f>SUMIF(Ohj.lask.[Maakunta],Maakunt.[[#This Row],[Maakunta]],Ohj.lask.[Jaettava € 1])</f>
        <v>91143375</v>
      </c>
      <c r="M18" s="11">
        <f>SUMIF(Ohj.lask.[Maakunta],Maakunt.[[#This Row],[Maakunta]],Ohj.lask.[Painotetut pisteet 2])</f>
        <v>1019964.8</v>
      </c>
      <c r="N18" s="9">
        <f>SUMIF(Ohj.lask.[Maakunta],Maakunt.[[#This Row],[Maakunta]],Ohj.lask.[%-osuus 2])</f>
        <v>6.6582615616509661E-2</v>
      </c>
      <c r="O18" s="10">
        <f>SUMIF(Ohj.lask.[Maakunta],Maakunt.[[#This Row],[Maakunta]],Ohj.lask.[Jaettava € 2])</f>
        <v>28610948</v>
      </c>
      <c r="P18" s="11">
        <f>SUMIF(Ohj.lask.[Maakunta],Maakunt.[[#This Row],[Maakunta]],Ohj.lask.[Painotetut pisteet 3])</f>
        <v>22256.699999999997</v>
      </c>
      <c r="Q18" s="9">
        <f>SUMIF(Ohj.lask.[Maakunta],Maakunt.[[#This Row],[Maakunta]],Ohj.lask.[%-osuus 3])</f>
        <v>7.1213236235185662E-2</v>
      </c>
      <c r="R18" s="10">
        <f>SUMIF(Ohj.lask.[Maakunta],Maakunt.[[#This Row],[Maakunta]],Ohj.lask.[Jaettava € 3])</f>
        <v>10710264</v>
      </c>
      <c r="S18" s="11">
        <f>SUMIF(Ohj.lask.[Maakunta],Maakunt.[[#This Row],[Maakunta]],Ohj.lask.[Painotetut pisteet 4])</f>
        <v>104837.29999999997</v>
      </c>
      <c r="T18" s="9">
        <f>SUMIF(Ohj.lask.[Maakunta],Maakunt.[[#This Row],[Maakunta]],Ohj.lask.[%-osuus 4])</f>
        <v>6.2893759781284378E-2</v>
      </c>
      <c r="U18" s="10">
        <f>SUMIF(Ohj.lask.[Maakunta],Maakunt.[[#This Row],[Maakunta]],Ohj.lask.[Jaettava € 4])</f>
        <v>506735</v>
      </c>
      <c r="V18" s="11">
        <f>SUMIF(Ohj.lask.[Maakunta],Maakunt.[[#This Row],[Maakunta]],Ohj.lask.[Painotetut pisteet 5])</f>
        <v>682494.60000000021</v>
      </c>
      <c r="W18" s="9">
        <f>SUMIF(Ohj.lask.[Maakunta],Maakunt.[[#This Row],[Maakunta]],Ohj.lask.[%-osuus 5])</f>
        <v>6.6731768054730675E-2</v>
      </c>
      <c r="X18" s="16">
        <f>SUMIF(Ohj.lask.[Maakunta],Maakunt.[[#This Row],[Maakunta]],Ohj.lask.[Jaettava € 5])</f>
        <v>1612971</v>
      </c>
      <c r="Y18" s="11">
        <f>SUMIF(Ohj.lask.[Maakunta],Maakunt.[[#This Row],[Maakunta]],Ohj.lask.[Painotetut pisteet 6])</f>
        <v>24148279.399999999</v>
      </c>
      <c r="Z18" s="9">
        <f>SUMIF(Ohj.lask.[Maakunta],Maakunt.[[#This Row],[Maakunta]],Ohj.lask.[%-osuus 6])</f>
        <v>7.1148447713043295E-2</v>
      </c>
      <c r="AA18" s="16">
        <f>SUMIF(Ohj.lask.[Maakunta],Maakunt.[[#This Row],[Maakunta]],Ohj.lask.[Jaettava € 6])</f>
        <v>1719726</v>
      </c>
      <c r="AB18" s="10">
        <f>SUMIF(Ohj.lask.[Maakunta],Maakunt.[[#This Row],[Maakunta]],Ohj.lask.[Pisteet 7])</f>
        <v>16176265.100000001</v>
      </c>
      <c r="AC18" s="9">
        <f>SUMIF(Ohj.lask.[Maakunta],Maakunt.[[#This Row],[Maakunta]],Ohj.lask.[%-osuus 7])</f>
        <v>8.7663375549031128E-2</v>
      </c>
      <c r="AD18" s="10">
        <f>SUMIF(Ohj.lask.[Maakunta],Maakunt.[[#This Row],[Maakunta]],Ohj.lask.[Jaettava € 7])</f>
        <v>706302</v>
      </c>
      <c r="AE18" s="12">
        <f>SUMIF(Ohj.lask.[Maakunta],Maakunt.[[#This Row],[Maakunta]],Ohj.lask.[%-osuus 8])</f>
        <v>6.3574507719344017E-2</v>
      </c>
      <c r="AF18" s="16">
        <f>SUMIF(Ohj.lask.[Maakunta],Maakunt.[[#This Row],[Maakunta]],Ohj.lask.[Jaettava € 8])</f>
        <v>135010321</v>
      </c>
      <c r="AG18" s="33">
        <f>SUMIF(Ohj.lask.[Maakunta],Maakunt.[[#This Row],[Maakunta]],Ohj.lask.[Harkinnanvarainen korotus 1, €])</f>
        <v>0</v>
      </c>
      <c r="AH18" s="33">
        <f>SUMIF(Ohj.lask.[Maakunta],Maakunt.[[#This Row],[Maakunta]],Ohj.lask.[Harkinnanvarainen korotus 2, €])</f>
        <v>0</v>
      </c>
      <c r="AI18" s="33">
        <f>SUMIF(Ohj.lask.[Maakunta],Maakunt.[[#This Row],[Maakunta]],Ohj.lask.[Harkinnanvarainen korotus 3, €])</f>
        <v>0</v>
      </c>
      <c r="AJ18" s="16">
        <f>SUMIF(Ohj.lask.[Maakunta],Maakunt.[[#This Row],[Maakunta]],Ohj.lask.[Harkinnanvarainen korotus 4, €])</f>
        <v>0</v>
      </c>
      <c r="AK18" s="11">
        <f>SUMIF(Ohj.lask.[Maakunta],Maakunt.[[#This Row],[Maakunta]],Ohj.lask.[Harkinnanvarainen korotus 5, €])</f>
        <v>176000</v>
      </c>
      <c r="AL18" s="10">
        <f>SUMIF(Ohj.lask.[Maakunta],Maakunt.[[#This Row],[Maakunta]],Ohj.lask.[Harkinnanvarainen korotus 6, €])</f>
        <v>49000</v>
      </c>
      <c r="AM18" s="11">
        <f>SUMIF(Ohj.lask.[Maakunta],Maakunt.[[#This Row],[Maakunta]],Ohj.lask.[Harkinnanvarainen korotus 7, €])</f>
        <v>634860</v>
      </c>
      <c r="AN18" s="16">
        <f>SUMIF(Ohj.lask.[Maakunta],Maakunt.[[#This Row],[Maakunta]],Ohj.lask.[Harkinnanvarainen korotus 8, €])</f>
        <v>859860</v>
      </c>
      <c r="AO18" s="33">
        <f>SUMIF(Ohj.lask.[Maakunta],Maakunt.[[#This Row],[Maakunta]],Ohj.lask.[Suoriteperusteinen (opiskelijavuosiin perustuva) sekä harkinnanvarainen korotus, €])</f>
        <v>92003235</v>
      </c>
      <c r="AP18" s="10">
        <f>SUMIF(Ohj.lask.[Maakunta],Maakunt.[[#This Row],[Maakunta]],Ohj.lask.[Suoritusrahoitus, €])</f>
        <v>28610948</v>
      </c>
      <c r="AQ18" s="11">
        <f>SUMIF(Ohj.lask.[Maakunta],Maakunt.[[#This Row],[Maakunta]],Ohj.lask.[Työllistymiseen ja jatko-opintoihin siirtymiseen, opiskelijapalautteiseen sekä työelämäpalautteeseen perustuva, €])</f>
        <v>15255998</v>
      </c>
      <c r="AR18" s="11">
        <f>SUMIF(Ohj.lask.[Maakunta],Maakunt.[[#This Row],[Maakunta]],Ohj.lask.[Perus-, suoritus- ja vaikuttavuusrahoitus yhteensä, €])</f>
        <v>135870181</v>
      </c>
      <c r="AS18" s="12">
        <f>Maakunt.[[#This Row],[Jaettava € 1]]/Maakunt.[[#This Row],[Perus-, suoritus- ja vaikuttavuusrahoitus yhteensä, €]]</f>
        <v>0.67081219977178064</v>
      </c>
      <c r="AT18" s="9">
        <f>Maakunt.[[#This Row],[Suoriteperusteinen (opiskelijavuosiin perustuva) sekä harkinnanvarainen korotus, €]]/Maakunt.[[#This Row],[Perus-, suoritus- ja vaikuttavuusrahoitus yhteensä, €]]</f>
        <v>0.67714074068982066</v>
      </c>
      <c r="AU18" s="42">
        <f>Maakunt.[[#This Row],[Suoritusrahoitus, €]]/Maakunt.[[#This Row],[Perus-, suoritus- ja vaikuttavuusrahoitus yhteensä, €]]</f>
        <v>0.21057562291758483</v>
      </c>
      <c r="AV18" s="9">
        <f>Maakunt.[[#This Row],[Työllistymiseen ja jatko-opintoihin siirtymiseen, opiskelijapalautteiseen sekä työelämäpalautteeseen perustuva, €]]/Maakunt.[[#This Row],[Perus-, suoritus- ja vaikuttavuusrahoitus yhteensä, €]]</f>
        <v>0.11228363639259449</v>
      </c>
      <c r="AW18" s="9">
        <f>SUMIF(Ohj.lask.[Maakunta],Maakunt.[[#This Row],[Maakunta]],Ohj.lask.[Jaettava € 3])/Maakunt.[[#This Row],[Perus-, suoritus- ja vaikuttavuusrahoitus yhteensä, €]]</f>
        <v>7.8827185782581688E-2</v>
      </c>
      <c r="AX18" s="9">
        <f>SUMIF(Ohj.lask.[Maakunta],Maakunt.[[#This Row],[Maakunta]],Ohj.lask.[Jaettava € 4])/Maakunt.[[#This Row],[Perus-, suoritus- ja vaikuttavuusrahoitus yhteensä, €]]</f>
        <v>3.7295526970704484E-3</v>
      </c>
      <c r="AY18" s="9">
        <f>SUMIF(Ohj.lask.[Maakunta],Maakunt.[[#This Row],[Maakunta]],Ohj.lask.[Jaettava € 5])/Maakunt.[[#This Row],[Perus-, suoritus- ja vaikuttavuusrahoitus yhteensä, €]]</f>
        <v>1.187141275685796E-2</v>
      </c>
      <c r="AZ18" s="9">
        <f>SUMIF(Ohj.lask.[Maakunta],Maakunt.[[#This Row],[Maakunta]],Ohj.lask.[Jaettava € 6])/Maakunt.[[#This Row],[Perus-, suoritus- ja vaikuttavuusrahoitus yhteensä, €]]</f>
        <v>1.2657125995879847E-2</v>
      </c>
      <c r="BA18" s="9">
        <f>SUMIF(Ohj.lask.[Maakunta],Maakunt.[[#This Row],[Maakunta]],Ohj.lask.[Jaettava € 7])/Maakunt.[[#This Row],[Perus-, suoritus- ja vaikuttavuusrahoitus yhteensä, €]]</f>
        <v>5.1983591602045489E-3</v>
      </c>
      <c r="BB18" s="11">
        <f>SUMIF(Vertailu[Maakunta],Maakunt.[[#This Row],[Maakunta]],Vertailu[Rahoitus ml. hark. kor. 
2023 ilman alv, €])</f>
        <v>127073400</v>
      </c>
      <c r="BC18" s="11">
        <f>SUMIF(Vertailu[Maakunta],Maakunt.[[#This Row],[Maakunta]],Vertailu[Rahoitus ml. hark. kor. 
2024 ilman alv, €])</f>
        <v>135870181</v>
      </c>
      <c r="BD18" s="11">
        <f>SUMIF(Vertailu[Maakunta],Maakunt.[[#This Row],[Maakunta]],Vertailu[Muutos, € 2])</f>
        <v>8796781</v>
      </c>
      <c r="BE18" s="34">
        <f>IFERROR(Maakunt.[[#This Row],[Muutos, €]]/Maakunt.[[#This Row],[Rahoitus ml. hark. kor. 
2023 ilman alv, €]],0)</f>
        <v>6.9225982778457179E-2</v>
      </c>
    </row>
    <row r="19" spans="1:57" x14ac:dyDescent="0.2">
      <c r="A19" s="15" t="s">
        <v>177</v>
      </c>
      <c r="B19" s="15">
        <f>COUNTIF(Ohj.lask.[Maakunta],Maakunt.[[#This Row],[Maakunta]])</f>
        <v>8</v>
      </c>
      <c r="C19" s="15">
        <f>COUNTIFS(Ohj.lask.[Maakunta],Maakunt.[[#This Row],[Maakunta]],Ohj.lask.[Omistajatyyppi],"=yksityinen")</f>
        <v>6</v>
      </c>
      <c r="D19" s="15">
        <f>COUNTIFS(Ohj.lask.[Maakunta],Maakunt.[[#This Row],[Maakunta]],Ohj.lask.[Omistajatyyppi],"=kunta")</f>
        <v>0</v>
      </c>
      <c r="E19" s="15">
        <f>COUNTIFS(Ohj.lask.[Maakunta],Maakunt.[[#This Row],[Maakunta]],Ohj.lask.[Omistajatyyppi],"=kuntayhtymä")</f>
        <v>2</v>
      </c>
      <c r="F19" s="11">
        <f>SUMIF(Ohj.lask.[Maakunta],Maakunt.[[#This Row],[Maakunta]],Ohj.lask.[Järjestämisluvan opisk.vuosien vähimmäismäärä])</f>
        <v>7376</v>
      </c>
      <c r="G19" s="10">
        <f>SUMIF(Ohj.lask.[Maakunta],Maakunt.[[#This Row],[Maakunta]],Ohj.lask.[Suoritepäätöksellä jaettavat opisk.vuodet (luvan ylittävä osuus)])</f>
        <v>763</v>
      </c>
      <c r="H19" s="10">
        <f>SUMIF(Ohj.lask.[Maakunta],Maakunt.[[#This Row],[Maakunta]],Ohj.lask.[Tavoitteelliset opiskelija-vuodet])</f>
        <v>8139</v>
      </c>
      <c r="I19" s="73">
        <f>Maakunt.[[#This Row],[Painotetut opiskelija-vuodet]]/Maakunt.[[#This Row],[Tavoitteelliset opiskelija-vuodet]]</f>
        <v>1.1541958471556701</v>
      </c>
      <c r="J19" s="74">
        <f>SUMIF(Ohj.lask.[Maakunta],Maakunt.[[#This Row],[Maakunta]],Ohj.lask.[Painotetut opiskelija-vuodet])</f>
        <v>9394</v>
      </c>
      <c r="K19" s="9">
        <f>SUMIF(Ohj.lask.[Maakunta],Maakunt.[[#This Row],[Maakunta]],Ohj.lask.[%-osuus 1])</f>
        <v>4.3342693337295103E-2</v>
      </c>
      <c r="L19" s="10">
        <f>SUMIF(Ohj.lask.[Maakunta],Maakunt.[[#This Row],[Maakunta]],Ohj.lask.[Jaettava € 1])</f>
        <v>64108003</v>
      </c>
      <c r="M19" s="11">
        <f>SUMIF(Ohj.lask.[Maakunta],Maakunt.[[#This Row],[Maakunta]],Ohj.lask.[Painotetut pisteet 2])</f>
        <v>677165.4</v>
      </c>
      <c r="N19" s="9">
        <f>SUMIF(Ohj.lask.[Maakunta],Maakunt.[[#This Row],[Maakunta]],Ohj.lask.[%-osuus 2])</f>
        <v>4.4204901519150477E-2</v>
      </c>
      <c r="O19" s="10">
        <f>SUMIF(Ohj.lask.[Maakunta],Maakunt.[[#This Row],[Maakunta]],Ohj.lask.[Jaettava € 2])</f>
        <v>18995112</v>
      </c>
      <c r="P19" s="11">
        <f>SUMIF(Ohj.lask.[Maakunta],Maakunt.[[#This Row],[Maakunta]],Ohj.lask.[Painotetut pisteet 3])</f>
        <v>14032.399999999998</v>
      </c>
      <c r="Q19" s="9">
        <f>SUMIF(Ohj.lask.[Maakunta],Maakunt.[[#This Row],[Maakunta]],Ohj.lask.[%-osuus 3])</f>
        <v>4.4898507691913864E-2</v>
      </c>
      <c r="R19" s="10">
        <f>SUMIF(Ohj.lask.[Maakunta],Maakunt.[[#This Row],[Maakunta]],Ohj.lask.[Jaettava € 3])</f>
        <v>6752606</v>
      </c>
      <c r="S19" s="11">
        <f>SUMIF(Ohj.lask.[Maakunta],Maakunt.[[#This Row],[Maakunta]],Ohj.lask.[Painotetut pisteet 4])</f>
        <v>94463.700000000012</v>
      </c>
      <c r="T19" s="9">
        <f>SUMIF(Ohj.lask.[Maakunta],Maakunt.[[#This Row],[Maakunta]],Ohj.lask.[%-osuus 4])</f>
        <v>5.6670452747746396E-2</v>
      </c>
      <c r="U19" s="10">
        <f>SUMIF(Ohj.lask.[Maakunta],Maakunt.[[#This Row],[Maakunta]],Ohj.lask.[Jaettava € 4])</f>
        <v>456594</v>
      </c>
      <c r="V19" s="11">
        <f>SUMIF(Ohj.lask.[Maakunta],Maakunt.[[#This Row],[Maakunta]],Ohj.lask.[Painotetut pisteet 5])</f>
        <v>509255.4</v>
      </c>
      <c r="W19" s="9">
        <f>SUMIF(Ohj.lask.[Maakunta],Maakunt.[[#This Row],[Maakunta]],Ohj.lask.[%-osuus 5])</f>
        <v>4.979308734958357E-2</v>
      </c>
      <c r="X19" s="16">
        <f>SUMIF(Ohj.lask.[Maakunta],Maakunt.[[#This Row],[Maakunta]],Ohj.lask.[Jaettava € 5])</f>
        <v>1203548</v>
      </c>
      <c r="Y19" s="11">
        <f>SUMIF(Ohj.lask.[Maakunta],Maakunt.[[#This Row],[Maakunta]],Ohj.lask.[Painotetut pisteet 6])</f>
        <v>22258052.699999996</v>
      </c>
      <c r="Z19" s="9">
        <f>SUMIF(Ohj.lask.[Maakunta],Maakunt.[[#This Row],[Maakunta]],Ohj.lask.[%-osuus 6])</f>
        <v>6.5579243659078759E-2</v>
      </c>
      <c r="AA19" s="16">
        <f>SUMIF(Ohj.lask.[Maakunta],Maakunt.[[#This Row],[Maakunta]],Ohj.lask.[Jaettava € 6])</f>
        <v>1585114</v>
      </c>
      <c r="AB19" s="10">
        <f>SUMIF(Ohj.lask.[Maakunta],Maakunt.[[#This Row],[Maakunta]],Ohj.lask.[Pisteet 7])</f>
        <v>11229049.199999999</v>
      </c>
      <c r="AC19" s="9">
        <f>SUMIF(Ohj.lask.[Maakunta],Maakunt.[[#This Row],[Maakunta]],Ohj.lask.[%-osuus 7])</f>
        <v>6.0853129631149999E-2</v>
      </c>
      <c r="AD19" s="10">
        <f>SUMIF(Ohj.lask.[Maakunta],Maakunt.[[#This Row],[Maakunta]],Ohj.lask.[Jaettava € 7])</f>
        <v>490293</v>
      </c>
      <c r="AE19" s="12">
        <f>SUMIF(Ohj.lask.[Maakunta],Maakunt.[[#This Row],[Maakunta]],Ohj.lask.[%-osuus 8])</f>
        <v>4.4070844902873836E-2</v>
      </c>
      <c r="AF19" s="16">
        <f>SUMIF(Ohj.lask.[Maakunta],Maakunt.[[#This Row],[Maakunta]],Ohj.lask.[Jaettava € 8])</f>
        <v>93591270</v>
      </c>
      <c r="AG19" s="33">
        <f>SUMIF(Ohj.lask.[Maakunta],Maakunt.[[#This Row],[Maakunta]],Ohj.lask.[Harkinnanvarainen korotus 1, €])</f>
        <v>0</v>
      </c>
      <c r="AH19" s="33">
        <f>SUMIF(Ohj.lask.[Maakunta],Maakunt.[[#This Row],[Maakunta]],Ohj.lask.[Harkinnanvarainen korotus 2, €])</f>
        <v>65000</v>
      </c>
      <c r="AI19" s="33">
        <f>SUMIF(Ohj.lask.[Maakunta],Maakunt.[[#This Row],[Maakunta]],Ohj.lask.[Harkinnanvarainen korotus 3, €])</f>
        <v>0</v>
      </c>
      <c r="AJ19" s="16">
        <f>SUMIF(Ohj.lask.[Maakunta],Maakunt.[[#This Row],[Maakunta]],Ohj.lask.[Harkinnanvarainen korotus 4, €])</f>
        <v>0</v>
      </c>
      <c r="AK19" s="11">
        <f>SUMIF(Ohj.lask.[Maakunta],Maakunt.[[#This Row],[Maakunta]],Ohj.lask.[Harkinnanvarainen korotus 5, €])</f>
        <v>105000</v>
      </c>
      <c r="AL19" s="10">
        <f>SUMIF(Ohj.lask.[Maakunta],Maakunt.[[#This Row],[Maakunta]],Ohj.lask.[Harkinnanvarainen korotus 6, €])</f>
        <v>46000</v>
      </c>
      <c r="AM19" s="11">
        <f>SUMIF(Ohj.lask.[Maakunta],Maakunt.[[#This Row],[Maakunta]],Ohj.lask.[Harkinnanvarainen korotus 7, €])</f>
        <v>328491</v>
      </c>
      <c r="AN19" s="16">
        <f>SUMIF(Ohj.lask.[Maakunta],Maakunt.[[#This Row],[Maakunta]],Ohj.lask.[Harkinnanvarainen korotus 8, €])</f>
        <v>544491</v>
      </c>
      <c r="AO19" s="33">
        <f>SUMIF(Ohj.lask.[Maakunta],Maakunt.[[#This Row],[Maakunta]],Ohj.lask.[Suoriteperusteinen (opiskelijavuosiin perustuva) sekä harkinnanvarainen korotus, €])</f>
        <v>64652494</v>
      </c>
      <c r="AP19" s="10">
        <f>SUMIF(Ohj.lask.[Maakunta],Maakunt.[[#This Row],[Maakunta]],Ohj.lask.[Suoritusrahoitus, €])</f>
        <v>18995112</v>
      </c>
      <c r="AQ19" s="11">
        <f>SUMIF(Ohj.lask.[Maakunta],Maakunt.[[#This Row],[Maakunta]],Ohj.lask.[Työllistymiseen ja jatko-opintoihin siirtymiseen, opiskelijapalautteiseen sekä työelämäpalautteeseen perustuva, €])</f>
        <v>10488155</v>
      </c>
      <c r="AR19" s="11">
        <f>SUMIF(Ohj.lask.[Maakunta],Maakunt.[[#This Row],[Maakunta]],Ohj.lask.[Perus-, suoritus- ja vaikuttavuusrahoitus yhteensä, €])</f>
        <v>94135761</v>
      </c>
      <c r="AS19" s="12">
        <f>Maakunt.[[#This Row],[Jaettava € 1]]/Maakunt.[[#This Row],[Perus-, suoritus- ja vaikuttavuusrahoitus yhteensä, €]]</f>
        <v>0.68101646302089169</v>
      </c>
      <c r="AT19" s="9">
        <f>Maakunt.[[#This Row],[Suoriteperusteinen (opiskelijavuosiin perustuva) sekä harkinnanvarainen korotus, €]]/Maakunt.[[#This Row],[Perus-, suoritus- ja vaikuttavuusrahoitus yhteensä, €]]</f>
        <v>0.68680056668368572</v>
      </c>
      <c r="AU19" s="42">
        <f>Maakunt.[[#This Row],[Suoritusrahoitus, €]]/Maakunt.[[#This Row],[Perus-, suoritus- ja vaikuttavuusrahoitus yhteensä, €]]</f>
        <v>0.20178422948107894</v>
      </c>
      <c r="AV19" s="9">
        <f>Maakunt.[[#This Row],[Työllistymiseen ja jatko-opintoihin siirtymiseen, opiskelijapalautteiseen sekä työelämäpalautteeseen perustuva, €]]/Maakunt.[[#This Row],[Perus-, suoritus- ja vaikuttavuusrahoitus yhteensä, €]]</f>
        <v>0.11141520383523537</v>
      </c>
      <c r="AW19" s="9">
        <f>SUMIF(Ohj.lask.[Maakunta],Maakunt.[[#This Row],[Maakunta]],Ohj.lask.[Jaettava € 3])/Maakunt.[[#This Row],[Perus-, suoritus- ja vaikuttavuusrahoitus yhteensä, €]]</f>
        <v>7.1732633042611724E-2</v>
      </c>
      <c r="AX19" s="9">
        <f>SUMIF(Ohj.lask.[Maakunta],Maakunt.[[#This Row],[Maakunta]],Ohj.lask.[Jaettava € 4])/Maakunt.[[#This Row],[Perus-, suoritus- ja vaikuttavuusrahoitus yhteensä, €]]</f>
        <v>4.8503777432680447E-3</v>
      </c>
      <c r="AY19" s="9">
        <f>SUMIF(Ohj.lask.[Maakunta],Maakunt.[[#This Row],[Maakunta]],Ohj.lask.[Jaettava € 5])/Maakunt.[[#This Row],[Perus-, suoritus- ja vaikuttavuusrahoitus yhteensä, €]]</f>
        <v>1.2785236845325976E-2</v>
      </c>
      <c r="AZ19" s="9">
        <f>SUMIF(Ohj.lask.[Maakunta],Maakunt.[[#This Row],[Maakunta]],Ohj.lask.[Jaettava € 6])/Maakunt.[[#This Row],[Perus-, suoritus- ja vaikuttavuusrahoitus yhteensä, €]]</f>
        <v>1.6838595483389146E-2</v>
      </c>
      <c r="BA19" s="9">
        <f>SUMIF(Ohj.lask.[Maakunta],Maakunt.[[#This Row],[Maakunta]],Ohj.lask.[Jaettava € 7])/Maakunt.[[#This Row],[Perus-, suoritus- ja vaikuttavuusrahoitus yhteensä, €]]</f>
        <v>5.20836072064048E-3</v>
      </c>
      <c r="BB19" s="11">
        <f>SUMIF(Vertailu[Maakunta],Maakunt.[[#This Row],[Maakunta]],Vertailu[Rahoitus ml. hark. kor. 
2023 ilman alv, €])</f>
        <v>89396400</v>
      </c>
      <c r="BC19" s="11">
        <f>SUMIF(Vertailu[Maakunta],Maakunt.[[#This Row],[Maakunta]],Vertailu[Rahoitus ml. hark. kor. 
2024 ilman alv, €])</f>
        <v>94135761</v>
      </c>
      <c r="BD19" s="11">
        <f>SUMIF(Vertailu[Maakunta],Maakunt.[[#This Row],[Maakunta]],Vertailu[Muutos, € 2])</f>
        <v>4739361</v>
      </c>
      <c r="BE19" s="34">
        <f>IFERROR(Maakunt.[[#This Row],[Muutos, €]]/Maakunt.[[#This Row],[Rahoitus ml. hark. kor. 
2023 ilman alv, €]],0)</f>
        <v>5.3015121414285139E-2</v>
      </c>
    </row>
    <row r="20" spans="1:57" x14ac:dyDescent="0.2">
      <c r="A20" s="15" t="s">
        <v>185</v>
      </c>
      <c r="B20" s="15">
        <f>COUNTIF(Ohj.lask.[Maakunta],Maakunt.[[#This Row],[Maakunta]])</f>
        <v>4</v>
      </c>
      <c r="C20" s="15">
        <f>COUNTIFS(Ohj.lask.[Maakunta],Maakunt.[[#This Row],[Maakunta]],Ohj.lask.[Omistajatyyppi],"=yksityinen")</f>
        <v>3</v>
      </c>
      <c r="D20" s="15">
        <f>COUNTIFS(Ohj.lask.[Maakunta],Maakunt.[[#This Row],[Maakunta]],Ohj.lask.[Omistajatyyppi],"=kunta")</f>
        <v>0</v>
      </c>
      <c r="E20" s="15">
        <f>COUNTIFS(Ohj.lask.[Maakunta],Maakunt.[[#This Row],[Maakunta]],Ohj.lask.[Omistajatyyppi],"=kuntayhtymä")</f>
        <v>1</v>
      </c>
      <c r="F20" s="11">
        <f>SUMIF(Ohj.lask.[Maakunta],Maakunt.[[#This Row],[Maakunta]],Ohj.lask.[Järjestämisluvan opisk.vuosien vähimmäismäärä])</f>
        <v>5750</v>
      </c>
      <c r="G20" s="10">
        <f>SUMIF(Ohj.lask.[Maakunta],Maakunt.[[#This Row],[Maakunta]],Ohj.lask.[Suoritepäätöksellä jaettavat opisk.vuodet (luvan ylittävä osuus)])</f>
        <v>502</v>
      </c>
      <c r="H20" s="10">
        <f>SUMIF(Ohj.lask.[Maakunta],Maakunt.[[#This Row],[Maakunta]],Ohj.lask.[Tavoitteelliset opiskelija-vuodet])</f>
        <v>6252</v>
      </c>
      <c r="I20" s="73">
        <f>Maakunt.[[#This Row],[Painotetut opiskelija-vuodet]]/Maakunt.[[#This Row],[Tavoitteelliset opiskelija-vuodet]]</f>
        <v>1.0892674344209852</v>
      </c>
      <c r="J20" s="74">
        <f>SUMIF(Ohj.lask.[Maakunta],Maakunt.[[#This Row],[Maakunta]],Ohj.lask.[Painotetut opiskelija-vuodet])</f>
        <v>6810.0999999999995</v>
      </c>
      <c r="K20" s="9">
        <f>SUMIF(Ohj.lask.[Maakunta],Maakunt.[[#This Row],[Maakunta]],Ohj.lask.[%-osuus 1])</f>
        <v>3.1420915041123418E-2</v>
      </c>
      <c r="L20" s="10">
        <f>SUMIF(Ohj.lask.[Maakunta],Maakunt.[[#This Row],[Maakunta]],Ohj.lask.[Jaettava € 1])</f>
        <v>46474549</v>
      </c>
      <c r="M20" s="11">
        <f>SUMIF(Ohj.lask.[Maakunta],Maakunt.[[#This Row],[Maakunta]],Ohj.lask.[Painotetut pisteet 2])</f>
        <v>501711.3</v>
      </c>
      <c r="N20" s="9">
        <f>SUMIF(Ohj.lask.[Maakunta],Maakunt.[[#This Row],[Maakunta]],Ohj.lask.[%-osuus 2])</f>
        <v>3.2751375967444527E-2</v>
      </c>
      <c r="O20" s="10">
        <f>SUMIF(Ohj.lask.[Maakunta],Maakunt.[[#This Row],[Maakunta]],Ohj.lask.[Jaettava € 2])</f>
        <v>14073462</v>
      </c>
      <c r="P20" s="11">
        <f>SUMIF(Ohj.lask.[Maakunta],Maakunt.[[#This Row],[Maakunta]],Ohj.lask.[Painotetut pisteet 3])</f>
        <v>10495.7</v>
      </c>
      <c r="Q20" s="9">
        <f>SUMIF(Ohj.lask.[Maakunta],Maakunt.[[#This Row],[Maakunta]],Ohj.lask.[%-osuus 3])</f>
        <v>3.3582371310824977E-2</v>
      </c>
      <c r="R20" s="10">
        <f>SUMIF(Ohj.lask.[Maakunta],Maakunt.[[#This Row],[Maakunta]],Ohj.lask.[Jaettava € 3])</f>
        <v>5050691</v>
      </c>
      <c r="S20" s="11">
        <f>SUMIF(Ohj.lask.[Maakunta],Maakunt.[[#This Row],[Maakunta]],Ohj.lask.[Painotetut pisteet 4])</f>
        <v>66659.8</v>
      </c>
      <c r="T20" s="9">
        <f>SUMIF(Ohj.lask.[Maakunta],Maakunt.[[#This Row],[Maakunta]],Ohj.lask.[%-osuus 4])</f>
        <v>3.999039891592459E-2</v>
      </c>
      <c r="U20" s="10">
        <f>SUMIF(Ohj.lask.[Maakunta],Maakunt.[[#This Row],[Maakunta]],Ohj.lask.[Jaettava € 4])</f>
        <v>322202</v>
      </c>
      <c r="V20" s="11">
        <f>SUMIF(Ohj.lask.[Maakunta],Maakunt.[[#This Row],[Maakunta]],Ohj.lask.[Painotetut pisteet 5])</f>
        <v>339156.5</v>
      </c>
      <c r="W20" s="9">
        <f>SUMIF(Ohj.lask.[Maakunta],Maakunt.[[#This Row],[Maakunta]],Ohj.lask.[%-osuus 5])</f>
        <v>3.3161453427256807E-2</v>
      </c>
      <c r="X20" s="16">
        <f>SUMIF(Ohj.lask.[Maakunta],Maakunt.[[#This Row],[Maakunta]],Ohj.lask.[Jaettava € 5])</f>
        <v>801545</v>
      </c>
      <c r="Y20" s="11">
        <f>SUMIF(Ohj.lask.[Maakunta],Maakunt.[[#This Row],[Maakunta]],Ohj.lask.[Painotetut pisteet 6])</f>
        <v>19603187.5</v>
      </c>
      <c r="Z20" s="9">
        <f>SUMIF(Ohj.lask.[Maakunta],Maakunt.[[#This Row],[Maakunta]],Ohj.lask.[%-osuus 6])</f>
        <v>5.7757173409743394E-2</v>
      </c>
      <c r="AA20" s="16">
        <f>SUMIF(Ohj.lask.[Maakunta],Maakunt.[[#This Row],[Maakunta]],Ohj.lask.[Jaettava € 6])</f>
        <v>1396047</v>
      </c>
      <c r="AB20" s="10">
        <f>SUMIF(Ohj.lask.[Maakunta],Maakunt.[[#This Row],[Maakunta]],Ohj.lask.[Pisteet 7])</f>
        <v>18579678.100000001</v>
      </c>
      <c r="AC20" s="9">
        <f>SUMIF(Ohj.lask.[Maakunta],Maakunt.[[#This Row],[Maakunta]],Ohj.lask.[%-osuus 7])</f>
        <v>0.10068809387034647</v>
      </c>
      <c r="AD20" s="10">
        <f>SUMIF(Ohj.lask.[Maakunta],Maakunt.[[#This Row],[Maakunta]],Ohj.lask.[Jaettava € 7])</f>
        <v>811243</v>
      </c>
      <c r="AE20" s="12">
        <f>SUMIF(Ohj.lask.[Maakunta],Maakunt.[[#This Row],[Maakunta]],Ohj.lask.[%-osuus 8])</f>
        <v>3.2458068329071443E-2</v>
      </c>
      <c r="AF20" s="16">
        <f>SUMIF(Ohj.lask.[Maakunta],Maakunt.[[#This Row],[Maakunta]],Ohj.lask.[Jaettava € 8])</f>
        <v>68929739</v>
      </c>
      <c r="AG20" s="33">
        <f>SUMIF(Ohj.lask.[Maakunta],Maakunt.[[#This Row],[Maakunta]],Ohj.lask.[Harkinnanvarainen korotus 1, €])</f>
        <v>0</v>
      </c>
      <c r="AH20" s="33">
        <f>SUMIF(Ohj.lask.[Maakunta],Maakunt.[[#This Row],[Maakunta]],Ohj.lask.[Harkinnanvarainen korotus 2, €])</f>
        <v>0</v>
      </c>
      <c r="AI20" s="33">
        <f>SUMIF(Ohj.lask.[Maakunta],Maakunt.[[#This Row],[Maakunta]],Ohj.lask.[Harkinnanvarainen korotus 3, €])</f>
        <v>0</v>
      </c>
      <c r="AJ20" s="16">
        <f>SUMIF(Ohj.lask.[Maakunta],Maakunt.[[#This Row],[Maakunta]],Ohj.lask.[Harkinnanvarainen korotus 4, €])</f>
        <v>0</v>
      </c>
      <c r="AK20" s="11">
        <f>SUMIF(Ohj.lask.[Maakunta],Maakunt.[[#This Row],[Maakunta]],Ohj.lask.[Harkinnanvarainen korotus 5, €])</f>
        <v>111000</v>
      </c>
      <c r="AL20" s="10">
        <f>SUMIF(Ohj.lask.[Maakunta],Maakunt.[[#This Row],[Maakunta]],Ohj.lask.[Harkinnanvarainen korotus 6, €])</f>
        <v>36000</v>
      </c>
      <c r="AM20" s="11">
        <f>SUMIF(Ohj.lask.[Maakunta],Maakunt.[[#This Row],[Maakunta]],Ohj.lask.[Harkinnanvarainen korotus 7, €])</f>
        <v>222582</v>
      </c>
      <c r="AN20" s="16">
        <f>SUMIF(Ohj.lask.[Maakunta],Maakunt.[[#This Row],[Maakunta]],Ohj.lask.[Harkinnanvarainen korotus 8, €])</f>
        <v>369582</v>
      </c>
      <c r="AO20" s="33">
        <f>SUMIF(Ohj.lask.[Maakunta],Maakunt.[[#This Row],[Maakunta]],Ohj.lask.[Suoriteperusteinen (opiskelijavuosiin perustuva) sekä harkinnanvarainen korotus, €])</f>
        <v>46844131</v>
      </c>
      <c r="AP20" s="10">
        <f>SUMIF(Ohj.lask.[Maakunta],Maakunt.[[#This Row],[Maakunta]],Ohj.lask.[Suoritusrahoitus, €])</f>
        <v>14073462</v>
      </c>
      <c r="AQ20" s="11">
        <f>SUMIF(Ohj.lask.[Maakunta],Maakunt.[[#This Row],[Maakunta]],Ohj.lask.[Työllistymiseen ja jatko-opintoihin siirtymiseen, opiskelijapalautteiseen sekä työelämäpalautteeseen perustuva, €])</f>
        <v>8381728</v>
      </c>
      <c r="AR20" s="11">
        <f>SUMIF(Ohj.lask.[Maakunta],Maakunt.[[#This Row],[Maakunta]],Ohj.lask.[Perus-, suoritus- ja vaikuttavuusrahoitus yhteensä, €])</f>
        <v>69299321</v>
      </c>
      <c r="AS20" s="12">
        <f>Maakunt.[[#This Row],[Jaettava € 1]]/Maakunt.[[#This Row],[Perus-, suoritus- ja vaikuttavuusrahoitus yhteensä, €]]</f>
        <v>0.67063498356643347</v>
      </c>
      <c r="AT20" s="9">
        <f>Maakunt.[[#This Row],[Suoriteperusteinen (opiskelijavuosiin perustuva) sekä harkinnanvarainen korotus, €]]/Maakunt.[[#This Row],[Perus-, suoritus- ja vaikuttavuusrahoitus yhteensä, €]]</f>
        <v>0.67596810941336638</v>
      </c>
      <c r="AU20" s="42">
        <f>Maakunt.[[#This Row],[Suoritusrahoitus, €]]/Maakunt.[[#This Row],[Perus-, suoritus- ja vaikuttavuusrahoitus yhteensä, €]]</f>
        <v>0.20308224953603801</v>
      </c>
      <c r="AV20" s="9">
        <f>Maakunt.[[#This Row],[Työllistymiseen ja jatko-opintoihin siirtymiseen, opiskelijapalautteiseen sekä työelämäpalautteeseen perustuva, €]]/Maakunt.[[#This Row],[Perus-, suoritus- ja vaikuttavuusrahoitus yhteensä, €]]</f>
        <v>0.12094964105059558</v>
      </c>
      <c r="AW20" s="9">
        <f>SUMIF(Ohj.lask.[Maakunta],Maakunt.[[#This Row],[Maakunta]],Ohj.lask.[Jaettava € 3])/Maakunt.[[#This Row],[Perus-, suoritus- ja vaikuttavuusrahoitus yhteensä, €]]</f>
        <v>7.288225811043661E-2</v>
      </c>
      <c r="AX20" s="9">
        <f>SUMIF(Ohj.lask.[Maakunta],Maakunt.[[#This Row],[Maakunta]],Ohj.lask.[Jaettava € 4])/Maakunt.[[#This Row],[Perus-, suoritus- ja vaikuttavuusrahoitus yhteensä, €]]</f>
        <v>4.6494250643523624E-3</v>
      </c>
      <c r="AY20" s="9">
        <f>SUMIF(Ohj.lask.[Maakunta],Maakunt.[[#This Row],[Maakunta]],Ohj.lask.[Jaettava € 5])/Maakunt.[[#This Row],[Perus-, suoritus- ja vaikuttavuusrahoitus yhteensä, €]]</f>
        <v>1.1566419243848002E-2</v>
      </c>
      <c r="AZ20" s="9">
        <f>SUMIF(Ohj.lask.[Maakunta],Maakunt.[[#This Row],[Maakunta]],Ohj.lask.[Jaettava € 6])/Maakunt.[[#This Row],[Perus-, suoritus- ja vaikuttavuusrahoitus yhteensä, €]]</f>
        <v>2.0145175737003251E-2</v>
      </c>
      <c r="BA20" s="9">
        <f>SUMIF(Ohj.lask.[Maakunta],Maakunt.[[#This Row],[Maakunta]],Ohj.lask.[Jaettava € 7])/Maakunt.[[#This Row],[Perus-, suoritus- ja vaikuttavuusrahoitus yhteensä, €]]</f>
        <v>1.1706362894955349E-2</v>
      </c>
      <c r="BB20" s="11">
        <f>SUMIF(Vertailu[Maakunta],Maakunt.[[#This Row],[Maakunta]],Vertailu[Rahoitus ml. hark. kor. 
2023 ilman alv, €])</f>
        <v>65784002</v>
      </c>
      <c r="BC20" s="11">
        <f>SUMIF(Vertailu[Maakunta],Maakunt.[[#This Row],[Maakunta]],Vertailu[Rahoitus ml. hark. kor. 
2024 ilman alv, €])</f>
        <v>69299321</v>
      </c>
      <c r="BD20" s="11">
        <f>SUMIF(Vertailu[Maakunta],Maakunt.[[#This Row],[Maakunta]],Vertailu[Muutos, € 2])</f>
        <v>3515319</v>
      </c>
      <c r="BE20" s="34">
        <f>IFERROR(Maakunt.[[#This Row],[Muutos, €]]/Maakunt.[[#This Row],[Rahoitus ml. hark. kor. 
2023 ilman alv, €]],0)</f>
        <v>5.343729315829706E-2</v>
      </c>
    </row>
    <row r="21" spans="1:57" x14ac:dyDescent="0.2">
      <c r="A21" s="15" t="s">
        <v>214</v>
      </c>
      <c r="B21" s="15">
        <f>COUNTIF(Ohj.lask.[Maakunta],Maakunt.[[#This Row],[Maakunta]])</f>
        <v>5</v>
      </c>
      <c r="C21" s="15">
        <f>COUNTIFS(Ohj.lask.[Maakunta],Maakunt.[[#This Row],[Maakunta]],Ohj.lask.[Omistajatyyppi],"=yksityinen")</f>
        <v>4</v>
      </c>
      <c r="D21" s="15">
        <f>COUNTIFS(Ohj.lask.[Maakunta],Maakunt.[[#This Row],[Maakunta]],Ohj.lask.[Omistajatyyppi],"=kunta")</f>
        <v>0</v>
      </c>
      <c r="E21" s="15">
        <f>COUNTIFS(Ohj.lask.[Maakunta],Maakunt.[[#This Row],[Maakunta]],Ohj.lask.[Omistajatyyppi],"=kuntayhtymä")</f>
        <v>1</v>
      </c>
      <c r="F21" s="11">
        <f>SUMIF(Ohj.lask.[Maakunta],Maakunt.[[#This Row],[Maakunta]],Ohj.lask.[Järjestämisluvan opisk.vuosien vähimmäismäärä])</f>
        <v>6272</v>
      </c>
      <c r="G21" s="10">
        <f>SUMIF(Ohj.lask.[Maakunta],Maakunt.[[#This Row],[Maakunta]],Ohj.lask.[Suoritepäätöksellä jaettavat opisk.vuodet (luvan ylittävä osuus)])</f>
        <v>1009</v>
      </c>
      <c r="H21" s="10">
        <f>SUMIF(Ohj.lask.[Maakunta],Maakunt.[[#This Row],[Maakunta]],Ohj.lask.[Tavoitteelliset opiskelija-vuodet])</f>
        <v>7281</v>
      </c>
      <c r="I21" s="73">
        <f>Maakunt.[[#This Row],[Painotetut opiskelija-vuodet]]/Maakunt.[[#This Row],[Tavoitteelliset opiskelija-vuodet]]</f>
        <v>1.0475758824337316</v>
      </c>
      <c r="J21" s="74">
        <f>SUMIF(Ohj.lask.[Maakunta],Maakunt.[[#This Row],[Maakunta]],Ohj.lask.[Painotetut opiskelija-vuodet])</f>
        <v>7627.4</v>
      </c>
      <c r="K21" s="9">
        <f>SUMIF(Ohj.lask.[Maakunta],Maakunt.[[#This Row],[Maakunta]],Ohj.lask.[%-osuus 1])</f>
        <v>3.5191830866604712E-2</v>
      </c>
      <c r="L21" s="10">
        <f>SUMIF(Ohj.lask.[Maakunta],Maakunt.[[#This Row],[Maakunta]],Ohj.lask.[Jaettava € 1])</f>
        <v>52052097</v>
      </c>
      <c r="M21" s="11">
        <f>SUMIF(Ohj.lask.[Maakunta],Maakunt.[[#This Row],[Maakunta]],Ohj.lask.[Painotetut pisteet 2])</f>
        <v>630168.19999999995</v>
      </c>
      <c r="N21" s="9">
        <f>SUMIF(Ohj.lask.[Maakunta],Maakunt.[[#This Row],[Maakunta]],Ohj.lask.[%-osuus 2])</f>
        <v>4.11369559364674E-2</v>
      </c>
      <c r="O21" s="10">
        <f>SUMIF(Ohj.lask.[Maakunta],Maakunt.[[#This Row],[Maakunta]],Ohj.lask.[Jaettava € 2])</f>
        <v>17676797</v>
      </c>
      <c r="P21" s="11">
        <f>SUMIF(Ohj.lask.[Maakunta],Maakunt.[[#This Row],[Maakunta]],Ohj.lask.[Painotetut pisteet 3])</f>
        <v>12878.800000000001</v>
      </c>
      <c r="Q21" s="9">
        <f>SUMIF(Ohj.lask.[Maakunta],Maakunt.[[#This Row],[Maakunta]],Ohj.lask.[%-osuus 3])</f>
        <v>4.1207412906033206E-2</v>
      </c>
      <c r="R21" s="10">
        <f>SUMIF(Ohj.lask.[Maakunta],Maakunt.[[#This Row],[Maakunta]],Ohj.lask.[Jaettava € 3])</f>
        <v>6197476</v>
      </c>
      <c r="S21" s="11">
        <f>SUMIF(Ohj.lask.[Maakunta],Maakunt.[[#This Row],[Maakunta]],Ohj.lask.[Painotetut pisteet 4])</f>
        <v>76110.899999999994</v>
      </c>
      <c r="T21" s="9">
        <f>SUMIF(Ohj.lask.[Maakunta],Maakunt.[[#This Row],[Maakunta]],Ohj.lask.[%-osuus 4])</f>
        <v>4.5660281801776247E-2</v>
      </c>
      <c r="U21" s="10">
        <f>SUMIF(Ohj.lask.[Maakunta],Maakunt.[[#This Row],[Maakunta]],Ohj.lask.[Jaettava € 4])</f>
        <v>367884</v>
      </c>
      <c r="V21" s="11">
        <f>SUMIF(Ohj.lask.[Maakunta],Maakunt.[[#This Row],[Maakunta]],Ohj.lask.[Painotetut pisteet 5])</f>
        <v>455462.9</v>
      </c>
      <c r="W21" s="9">
        <f>SUMIF(Ohj.lask.[Maakunta],Maakunt.[[#This Row],[Maakunta]],Ohj.lask.[%-osuus 5])</f>
        <v>4.4533457994151163E-2</v>
      </c>
      <c r="X21" s="16">
        <f>SUMIF(Ohj.lask.[Maakunta],Maakunt.[[#This Row],[Maakunta]],Ohj.lask.[Jaettava € 5])</f>
        <v>1076416</v>
      </c>
      <c r="Y21" s="11">
        <f>SUMIF(Ohj.lask.[Maakunta],Maakunt.[[#This Row],[Maakunta]],Ohj.lask.[Painotetut pisteet 6])</f>
        <v>14022015.199999999</v>
      </c>
      <c r="Z21" s="9">
        <f>SUMIF(Ohj.lask.[Maakunta],Maakunt.[[#This Row],[Maakunta]],Ohj.lask.[%-osuus 6])</f>
        <v>4.1313279458274718E-2</v>
      </c>
      <c r="AA21" s="16">
        <f>SUMIF(Ohj.lask.[Maakunta],Maakunt.[[#This Row],[Maakunta]],Ohj.lask.[Jaettava € 6])</f>
        <v>998582</v>
      </c>
      <c r="AB21" s="10">
        <f>SUMIF(Ohj.lask.[Maakunta],Maakunt.[[#This Row],[Maakunta]],Ohj.lask.[Pisteet 7])</f>
        <v>8622407.5999999996</v>
      </c>
      <c r="AC21" s="9">
        <f>SUMIF(Ohj.lask.[Maakunta],Maakunt.[[#This Row],[Maakunta]],Ohj.lask.[%-osuus 7])</f>
        <v>4.6727062823396739E-2</v>
      </c>
      <c r="AD21" s="10">
        <f>SUMIF(Ohj.lask.[Maakunta],Maakunt.[[#This Row],[Maakunta]],Ohj.lask.[Jaettava € 7])</f>
        <v>376480</v>
      </c>
      <c r="AE21" s="12">
        <f>SUMIF(Ohj.lask.[Maakunta],Maakunt.[[#This Row],[Maakunta]],Ohj.lask.[%-osuus 8])</f>
        <v>3.7080284750225838E-2</v>
      </c>
      <c r="AF21" s="16">
        <f>SUMIF(Ohj.lask.[Maakunta],Maakunt.[[#This Row],[Maakunta]],Ohj.lask.[Jaettava € 8])</f>
        <v>78745732</v>
      </c>
      <c r="AG21" s="33">
        <f>SUMIF(Ohj.lask.[Maakunta],Maakunt.[[#This Row],[Maakunta]],Ohj.lask.[Harkinnanvarainen korotus 1, €])</f>
        <v>6460000</v>
      </c>
      <c r="AH21" s="33">
        <f>SUMIF(Ohj.lask.[Maakunta],Maakunt.[[#This Row],[Maakunta]],Ohj.lask.[Harkinnanvarainen korotus 2, €])</f>
        <v>80000</v>
      </c>
      <c r="AI21" s="33">
        <f>SUMIF(Ohj.lask.[Maakunta],Maakunt.[[#This Row],[Maakunta]],Ohj.lask.[Harkinnanvarainen korotus 3, €])</f>
        <v>0</v>
      </c>
      <c r="AJ21" s="16">
        <f>SUMIF(Ohj.lask.[Maakunta],Maakunt.[[#This Row],[Maakunta]],Ohj.lask.[Harkinnanvarainen korotus 4, €])</f>
        <v>0</v>
      </c>
      <c r="AK21" s="11">
        <f>SUMIF(Ohj.lask.[Maakunta],Maakunt.[[#This Row],[Maakunta]],Ohj.lask.[Harkinnanvarainen korotus 5, €])</f>
        <v>111000</v>
      </c>
      <c r="AL21" s="10">
        <f>SUMIF(Ohj.lask.[Maakunta],Maakunt.[[#This Row],[Maakunta]],Ohj.lask.[Harkinnanvarainen korotus 6, €])</f>
        <v>0</v>
      </c>
      <c r="AM21" s="11">
        <f>SUMIF(Ohj.lask.[Maakunta],Maakunt.[[#This Row],[Maakunta]],Ohj.lask.[Harkinnanvarainen korotus 7, €])</f>
        <v>280597</v>
      </c>
      <c r="AN21" s="16">
        <f>SUMIF(Ohj.lask.[Maakunta],Maakunt.[[#This Row],[Maakunta]],Ohj.lask.[Harkinnanvarainen korotus 8, €])</f>
        <v>6931597</v>
      </c>
      <c r="AO21" s="33">
        <f>SUMIF(Ohj.lask.[Maakunta],Maakunt.[[#This Row],[Maakunta]],Ohj.lask.[Suoriteperusteinen (opiskelijavuosiin perustuva) sekä harkinnanvarainen korotus, €])</f>
        <v>58983694</v>
      </c>
      <c r="AP21" s="10">
        <f>SUMIF(Ohj.lask.[Maakunta],Maakunt.[[#This Row],[Maakunta]],Ohj.lask.[Suoritusrahoitus, €])</f>
        <v>17676797</v>
      </c>
      <c r="AQ21" s="11">
        <f>SUMIF(Ohj.lask.[Maakunta],Maakunt.[[#This Row],[Maakunta]],Ohj.lask.[Työllistymiseen ja jatko-opintoihin siirtymiseen, opiskelijapalautteiseen sekä työelämäpalautteeseen perustuva, €])</f>
        <v>9016838</v>
      </c>
      <c r="AR21" s="11">
        <f>SUMIF(Ohj.lask.[Maakunta],Maakunt.[[#This Row],[Maakunta]],Ohj.lask.[Perus-, suoritus- ja vaikuttavuusrahoitus yhteensä, €])</f>
        <v>85677329</v>
      </c>
      <c r="AS21" s="12">
        <f>Maakunt.[[#This Row],[Jaettava € 1]]/Maakunt.[[#This Row],[Perus-, suoritus- ja vaikuttavuusrahoitus yhteensä, €]]</f>
        <v>0.607536411411705</v>
      </c>
      <c r="AT21" s="9">
        <f>Maakunt.[[#This Row],[Suoriteperusteinen (opiskelijavuosiin perustuva) sekä harkinnanvarainen korotus, €]]/Maakunt.[[#This Row],[Perus-, suoritus- ja vaikuttavuusrahoitus yhteensä, €]]</f>
        <v>0.68843992557237632</v>
      </c>
      <c r="AU21" s="42">
        <f>Maakunt.[[#This Row],[Suoritusrahoitus, €]]/Maakunt.[[#This Row],[Perus-, suoritus- ja vaikuttavuusrahoitus yhteensä, €]]</f>
        <v>0.20631825485596078</v>
      </c>
      <c r="AV21" s="9">
        <f>Maakunt.[[#This Row],[Työllistymiseen ja jatko-opintoihin siirtymiseen, opiskelijapalautteiseen sekä työelämäpalautteeseen perustuva, €]]/Maakunt.[[#This Row],[Perus-, suoritus- ja vaikuttavuusrahoitus yhteensä, €]]</f>
        <v>0.10524181957166288</v>
      </c>
      <c r="AW21" s="9">
        <f>SUMIF(Ohj.lask.[Maakunta],Maakunt.[[#This Row],[Maakunta]],Ohj.lask.[Jaettava € 3])/Maakunt.[[#This Row],[Perus-, suoritus- ja vaikuttavuusrahoitus yhteensä, €]]</f>
        <v>7.233507477806643E-2</v>
      </c>
      <c r="AX21" s="9">
        <f>SUMIF(Ohj.lask.[Maakunta],Maakunt.[[#This Row],[Maakunta]],Ohj.lask.[Jaettava € 4])/Maakunt.[[#This Row],[Perus-, suoritus- ja vaikuttavuusrahoitus yhteensä, €]]</f>
        <v>4.2938313354749886E-3</v>
      </c>
      <c r="AY21" s="9">
        <f>SUMIF(Ohj.lask.[Maakunta],Maakunt.[[#This Row],[Maakunta]],Ohj.lask.[Jaettava € 5])/Maakunt.[[#This Row],[Perus-, suoritus- ja vaikuttavuusrahoitus yhteensä, €]]</f>
        <v>1.2563603610938898E-2</v>
      </c>
      <c r="AZ21" s="9">
        <f>SUMIF(Ohj.lask.[Maakunta],Maakunt.[[#This Row],[Maakunta]],Ohj.lask.[Jaettava € 6])/Maakunt.[[#This Row],[Perus-, suoritus- ja vaikuttavuusrahoitus yhteensä, €]]</f>
        <v>1.165514858662319E-2</v>
      </c>
      <c r="BA21" s="9">
        <f>SUMIF(Ohj.lask.[Maakunta],Maakunt.[[#This Row],[Maakunta]],Ohj.lask.[Jaettava € 7])/Maakunt.[[#This Row],[Perus-, suoritus- ja vaikuttavuusrahoitus yhteensä, €]]</f>
        <v>4.3941612605593715E-3</v>
      </c>
      <c r="BB21" s="11">
        <f>SUMIF(Vertailu[Maakunta],Maakunt.[[#This Row],[Maakunta]],Vertailu[Rahoitus ml. hark. kor. 
2023 ilman alv, €])</f>
        <v>82301458</v>
      </c>
      <c r="BC21" s="11">
        <f>SUMIF(Vertailu[Maakunta],Maakunt.[[#This Row],[Maakunta]],Vertailu[Rahoitus ml. hark. kor. 
2024 ilman alv, €])</f>
        <v>85677329</v>
      </c>
      <c r="BD21" s="11">
        <f>SUMIF(Vertailu[Maakunta],Maakunt.[[#This Row],[Maakunta]],Vertailu[Muutos, € 2])</f>
        <v>3375871</v>
      </c>
      <c r="BE21" s="34">
        <f>IFERROR(Maakunt.[[#This Row],[Muutos, €]]/Maakunt.[[#This Row],[Rahoitus ml. hark. kor. 
2023 ilman alv, €]],0)</f>
        <v>4.1018362031933868E-2</v>
      </c>
    </row>
    <row r="22" spans="1:57" x14ac:dyDescent="0.2">
      <c r="A22" s="15" t="s">
        <v>173</v>
      </c>
      <c r="B22" s="15">
        <f>COUNTIF(Ohj.lask.[Maakunta],Maakunt.[[#This Row],[Maakunta]])</f>
        <v>44</v>
      </c>
      <c r="C22" s="15">
        <f>COUNTIFS(Ohj.lask.[Maakunta],Maakunt.[[#This Row],[Maakunta]],Ohj.lask.[Omistajatyyppi],"=yksityinen")</f>
        <v>39</v>
      </c>
      <c r="D22" s="15">
        <f>COUNTIFS(Ohj.lask.[Maakunta],Maakunt.[[#This Row],[Maakunta]],Ohj.lask.[Omistajatyyppi],"=kunta")</f>
        <v>2</v>
      </c>
      <c r="E22" s="15">
        <f>COUNTIFS(Ohj.lask.[Maakunta],Maakunt.[[#This Row],[Maakunta]],Ohj.lask.[Omistajatyyppi],"=kuntayhtymä")</f>
        <v>3</v>
      </c>
      <c r="F22" s="11">
        <f>SUMIF(Ohj.lask.[Maakunta],Maakunt.[[#This Row],[Maakunta]],Ohj.lask.[Järjestämisluvan opisk.vuosien vähimmäismäärä])</f>
        <v>50631</v>
      </c>
      <c r="G22" s="10">
        <f>SUMIF(Ohj.lask.[Maakunta],Maakunt.[[#This Row],[Maakunta]],Ohj.lask.[Suoritepäätöksellä jaettavat opisk.vuodet (luvan ylittävä osuus)])</f>
        <v>10255</v>
      </c>
      <c r="H22" s="10">
        <f>SUMIF(Ohj.lask.[Maakunta],Maakunt.[[#This Row],[Maakunta]],Ohj.lask.[Tavoitteelliset opiskelija-vuodet])</f>
        <v>60886</v>
      </c>
      <c r="I22" s="73">
        <f>Maakunt.[[#This Row],[Painotetut opiskelija-vuodet]]/Maakunt.[[#This Row],[Tavoitteelliset opiskelija-vuodet]]</f>
        <v>1.3218112538186115</v>
      </c>
      <c r="J22" s="74">
        <f>SUMIF(Ohj.lask.[Maakunta],Maakunt.[[#This Row],[Maakunta]],Ohj.lask.[Painotetut opiskelija-vuodet])</f>
        <v>80479.799999999988</v>
      </c>
      <c r="K22" s="9">
        <f>SUMIF(Ohj.lask.[Maakunta],Maakunt.[[#This Row],[Maakunta]],Ohj.lask.[%-osuus 1])</f>
        <v>0.37132332246613198</v>
      </c>
      <c r="L22" s="10">
        <f>SUMIF(Ohj.lask.[Maakunta],Maakunt.[[#This Row],[Maakunta]],Ohj.lask.[Jaettava € 1])</f>
        <v>549222842</v>
      </c>
      <c r="M22" s="11">
        <f>SUMIF(Ohj.lask.[Maakunta],Maakunt.[[#This Row],[Maakunta]],Ohj.lask.[Painotetut pisteet 2])</f>
        <v>5175867.5000000009</v>
      </c>
      <c r="N22" s="9">
        <f>SUMIF(Ohj.lask.[Maakunta],Maakunt.[[#This Row],[Maakunta]],Ohj.lask.[%-osuus 2])</f>
        <v>0.33787714657847484</v>
      </c>
      <c r="O22" s="10">
        <f>SUMIF(Ohj.lask.[Maakunta],Maakunt.[[#This Row],[Maakunta]],Ohj.lask.[Jaettava € 2])</f>
        <v>145187837</v>
      </c>
      <c r="P22" s="11">
        <f>SUMIF(Ohj.lask.[Maakunta],Maakunt.[[#This Row],[Maakunta]],Ohj.lask.[Painotetut pisteet 3])</f>
        <v>98408.10000000002</v>
      </c>
      <c r="Q22" s="9">
        <f>SUMIF(Ohj.lask.[Maakunta],Maakunt.[[#This Row],[Maakunta]],Ohj.lask.[%-osuus 3])</f>
        <v>0.31486964701666359</v>
      </c>
      <c r="R22" s="10">
        <f>SUMIF(Ohj.lask.[Maakunta],Maakunt.[[#This Row],[Maakunta]],Ohj.lask.[Jaettava € 3])</f>
        <v>47355484</v>
      </c>
      <c r="S22" s="11">
        <f>SUMIF(Ohj.lask.[Maakunta],Maakunt.[[#This Row],[Maakunta]],Ohj.lask.[Painotetut pisteet 4])</f>
        <v>547553.80000000005</v>
      </c>
      <c r="T22" s="9">
        <f>SUMIF(Ohj.lask.[Maakunta],Maakunt.[[#This Row],[Maakunta]],Ohj.lask.[%-osuus 4])</f>
        <v>0.32848725753648211</v>
      </c>
      <c r="U22" s="10">
        <f>SUMIF(Ohj.lask.[Maakunta],Maakunt.[[#This Row],[Maakunta]],Ohj.lask.[Jaettava € 4])</f>
        <v>2646622</v>
      </c>
      <c r="V22" s="11">
        <f>SUMIF(Ohj.lask.[Maakunta],Maakunt.[[#This Row],[Maakunta]],Ohj.lask.[Painotetut pisteet 5])</f>
        <v>3389426.6</v>
      </c>
      <c r="W22" s="9">
        <f>SUMIF(Ohj.lask.[Maakunta],Maakunt.[[#This Row],[Maakunta]],Ohj.lask.[%-osuus 5])</f>
        <v>0.33140544952258144</v>
      </c>
      <c r="X22" s="16">
        <f>SUMIF(Ohj.lask.[Maakunta],Maakunt.[[#This Row],[Maakunta]],Ohj.lask.[Jaettava € 5])</f>
        <v>8010388</v>
      </c>
      <c r="Y22" s="11">
        <f>SUMIF(Ohj.lask.[Maakunta],Maakunt.[[#This Row],[Maakunta]],Ohj.lask.[Painotetut pisteet 6])</f>
        <v>91066493.600000024</v>
      </c>
      <c r="Z22" s="9">
        <f>SUMIF(Ohj.lask.[Maakunta],Maakunt.[[#This Row],[Maakunta]],Ohj.lask.[%-osuus 6])</f>
        <v>0.26831061339756546</v>
      </c>
      <c r="AA22" s="16">
        <f>SUMIF(Ohj.lask.[Maakunta],Maakunt.[[#This Row],[Maakunta]],Ohj.lask.[Jaettava € 6])</f>
        <v>6485321</v>
      </c>
      <c r="AB22" s="10">
        <f>SUMIF(Ohj.lask.[Maakunta],Maakunt.[[#This Row],[Maakunta]],Ohj.lask.[Pisteet 7])</f>
        <v>41660717.300000004</v>
      </c>
      <c r="AC22" s="9">
        <f>SUMIF(Ohj.lask.[Maakunta],Maakunt.[[#This Row],[Maakunta]],Ohj.lask.[%-osuus 7])</f>
        <v>0.22577023087436401</v>
      </c>
      <c r="AD22" s="10">
        <f>SUMIF(Ohj.lask.[Maakunta],Maakunt.[[#This Row],[Maakunta]],Ohj.lask.[Jaettava € 7])</f>
        <v>1819027</v>
      </c>
      <c r="AE22" s="12">
        <f>SUMIF(Ohj.lask.[Maakunta],Maakunt.[[#This Row],[Maakunta]],Ohj.lask.[%-osuus 8])</f>
        <v>0.35821615190539369</v>
      </c>
      <c r="AF22" s="16">
        <f>SUMIF(Ohj.lask.[Maakunta],Maakunt.[[#This Row],[Maakunta]],Ohj.lask.[Jaettava € 8])</f>
        <v>760727521</v>
      </c>
      <c r="AG22" s="33">
        <f>SUMIF(Ohj.lask.[Maakunta],Maakunt.[[#This Row],[Maakunta]],Ohj.lask.[Harkinnanvarainen korotus 1, €])</f>
        <v>1770000</v>
      </c>
      <c r="AH22" s="33">
        <f>SUMIF(Ohj.lask.[Maakunta],Maakunt.[[#This Row],[Maakunta]],Ohj.lask.[Harkinnanvarainen korotus 2, €])</f>
        <v>115000</v>
      </c>
      <c r="AI22" s="33">
        <f>SUMIF(Ohj.lask.[Maakunta],Maakunt.[[#This Row],[Maakunta]],Ohj.lask.[Harkinnanvarainen korotus 3, €])</f>
        <v>0</v>
      </c>
      <c r="AJ22" s="16">
        <f>SUMIF(Ohj.lask.[Maakunta],Maakunt.[[#This Row],[Maakunta]],Ohj.lask.[Harkinnanvarainen korotus 4, €])</f>
        <v>0</v>
      </c>
      <c r="AK22" s="11">
        <f>SUMIF(Ohj.lask.[Maakunta],Maakunt.[[#This Row],[Maakunta]],Ohj.lask.[Harkinnanvarainen korotus 5, €])</f>
        <v>836000</v>
      </c>
      <c r="AL22" s="10">
        <f>SUMIF(Ohj.lask.[Maakunta],Maakunt.[[#This Row],[Maakunta]],Ohj.lask.[Harkinnanvarainen korotus 6, €])</f>
        <v>140000</v>
      </c>
      <c r="AM22" s="11">
        <f>SUMIF(Ohj.lask.[Maakunta],Maakunt.[[#This Row],[Maakunta]],Ohj.lask.[Harkinnanvarainen korotus 7, €])</f>
        <v>745046</v>
      </c>
      <c r="AN22" s="16">
        <f>SUMIF(Ohj.lask.[Maakunta],Maakunt.[[#This Row],[Maakunta]],Ohj.lask.[Harkinnanvarainen korotus 8, €])</f>
        <v>3606046</v>
      </c>
      <c r="AO22" s="33">
        <f>SUMIF(Ohj.lask.[Maakunta],Maakunt.[[#This Row],[Maakunta]],Ohj.lask.[Suoriteperusteinen (opiskelijavuosiin perustuva) sekä harkinnanvarainen korotus, €])</f>
        <v>552828888</v>
      </c>
      <c r="AP22" s="10">
        <f>SUMIF(Ohj.lask.[Maakunta],Maakunt.[[#This Row],[Maakunta]],Ohj.lask.[Suoritusrahoitus, €])</f>
        <v>145187837</v>
      </c>
      <c r="AQ22" s="11">
        <f>SUMIF(Ohj.lask.[Maakunta],Maakunt.[[#This Row],[Maakunta]],Ohj.lask.[Työllistymiseen ja jatko-opintoihin siirtymiseen, opiskelijapalautteiseen sekä työelämäpalautteeseen perustuva, €])</f>
        <v>66316842</v>
      </c>
      <c r="AR22" s="11">
        <f>SUMIF(Ohj.lask.[Maakunta],Maakunt.[[#This Row],[Maakunta]],Ohj.lask.[Perus-, suoritus- ja vaikuttavuusrahoitus yhteensä, €])</f>
        <v>764333567</v>
      </c>
      <c r="AS22" s="12">
        <f>Maakunt.[[#This Row],[Jaettava € 1]]/Maakunt.[[#This Row],[Perus-, suoritus- ja vaikuttavuusrahoitus yhteensä, €]]</f>
        <v>0.71856433592952484</v>
      </c>
      <c r="AT22" s="9">
        <f>Maakunt.[[#This Row],[Suoriteperusteinen (opiskelijavuosiin perustuva) sekä harkinnanvarainen korotus, €]]/Maakunt.[[#This Row],[Perus-, suoritus- ja vaikuttavuusrahoitus yhteensä, €]]</f>
        <v>0.72328223156526628</v>
      </c>
      <c r="AU22" s="42">
        <f>Maakunt.[[#This Row],[Suoritusrahoitus, €]]/Maakunt.[[#This Row],[Perus-, suoritus- ja vaikuttavuusrahoitus yhteensä, €]]</f>
        <v>0.18995350102162922</v>
      </c>
      <c r="AV22" s="9">
        <f>Maakunt.[[#This Row],[Työllistymiseen ja jatko-opintoihin siirtymiseen, opiskelijapalautteiseen sekä työelämäpalautteeseen perustuva, €]]/Maakunt.[[#This Row],[Perus-, suoritus- ja vaikuttavuusrahoitus yhteensä, €]]</f>
        <v>8.6764267413104473E-2</v>
      </c>
      <c r="AW22" s="9">
        <f>SUMIF(Ohj.lask.[Maakunta],Maakunt.[[#This Row],[Maakunta]],Ohj.lask.[Jaettava € 3])/Maakunt.[[#This Row],[Perus-, suoritus- ja vaikuttavuusrahoitus yhteensä, €]]</f>
        <v>6.1956567190774706E-2</v>
      </c>
      <c r="AX22" s="9">
        <f>SUMIF(Ohj.lask.[Maakunta],Maakunt.[[#This Row],[Maakunta]],Ohj.lask.[Jaettava € 4])/Maakunt.[[#This Row],[Perus-, suoritus- ja vaikuttavuusrahoitus yhteensä, €]]</f>
        <v>3.4626531062713355E-3</v>
      </c>
      <c r="AY22" s="9">
        <f>SUMIF(Ohj.lask.[Maakunta],Maakunt.[[#This Row],[Maakunta]],Ohj.lask.[Jaettava € 5])/Maakunt.[[#This Row],[Perus-, suoritus- ja vaikuttavuusrahoitus yhteensä, €]]</f>
        <v>1.0480225317645902E-2</v>
      </c>
      <c r="AZ22" s="9">
        <f>SUMIF(Ohj.lask.[Maakunta],Maakunt.[[#This Row],[Maakunta]],Ohj.lask.[Jaettava € 6])/Maakunt.[[#This Row],[Perus-, suoritus- ja vaikuttavuusrahoitus yhteensä, €]]</f>
        <v>8.4849354784388275E-3</v>
      </c>
      <c r="BA22" s="9">
        <f>SUMIF(Ohj.lask.[Maakunta],Maakunt.[[#This Row],[Maakunta]],Ohj.lask.[Jaettava € 7])/Maakunt.[[#This Row],[Perus-, suoritus- ja vaikuttavuusrahoitus yhteensä, €]]</f>
        <v>2.379886319973698E-3</v>
      </c>
      <c r="BB22" s="11">
        <f>SUMIF(Vertailu[Maakunta],Maakunt.[[#This Row],[Maakunta]],Vertailu[Rahoitus ml. hark. kor. 
2023 ilman alv, €])</f>
        <v>722119760</v>
      </c>
      <c r="BC22" s="11">
        <f>SUMIF(Vertailu[Maakunta],Maakunt.[[#This Row],[Maakunta]],Vertailu[Rahoitus ml. hark. kor. 
2024 ilman alv, €])</f>
        <v>764333567</v>
      </c>
      <c r="BD22" s="11">
        <f>SUMIF(Vertailu[Maakunta],Maakunt.[[#This Row],[Maakunta]],Vertailu[Muutos, € 2])</f>
        <v>42213807</v>
      </c>
      <c r="BE22" s="34">
        <f>IFERROR(Maakunt.[[#This Row],[Muutos, €]]/Maakunt.[[#This Row],[Rahoitus ml. hark. kor. 
2023 ilman alv, €]],0)</f>
        <v>5.8458180122366407E-2</v>
      </c>
    </row>
    <row r="23" spans="1:57" x14ac:dyDescent="0.2">
      <c r="A23" s="15" t="s">
        <v>186</v>
      </c>
      <c r="B23" s="15">
        <f>COUNTIF(Ohj.lask.[Maakunta],Maakunt.[[#This Row],[Maakunta]])</f>
        <v>11</v>
      </c>
      <c r="C23" s="15">
        <f>COUNTIFS(Ohj.lask.[Maakunta],Maakunt.[[#This Row],[Maakunta]],Ohj.lask.[Omistajatyyppi],"=yksityinen")</f>
        <v>6</v>
      </c>
      <c r="D23" s="15">
        <f>COUNTIFS(Ohj.lask.[Maakunta],Maakunt.[[#This Row],[Maakunta]],Ohj.lask.[Omistajatyyppi],"=kunta")</f>
        <v>1</v>
      </c>
      <c r="E23" s="15">
        <f>COUNTIFS(Ohj.lask.[Maakunta],Maakunt.[[#This Row],[Maakunta]],Ohj.lask.[Omistajatyyppi],"=kuntayhtymä")</f>
        <v>4</v>
      </c>
      <c r="F23" s="11">
        <f>SUMIF(Ohj.lask.[Maakunta],Maakunt.[[#This Row],[Maakunta]],Ohj.lask.[Järjestämisluvan opisk.vuosien vähimmäismäärä])</f>
        <v>11771</v>
      </c>
      <c r="G23" s="10">
        <f>SUMIF(Ohj.lask.[Maakunta],Maakunt.[[#This Row],[Maakunta]],Ohj.lask.[Suoritepäätöksellä jaettavat opisk.vuodet (luvan ylittävä osuus)])</f>
        <v>1181</v>
      </c>
      <c r="H23" s="10">
        <f>SUMIF(Ohj.lask.[Maakunta],Maakunt.[[#This Row],[Maakunta]],Ohj.lask.[Tavoitteelliset opiskelija-vuodet])</f>
        <v>12952</v>
      </c>
      <c r="I23" s="73">
        <f>Maakunt.[[#This Row],[Painotetut opiskelija-vuodet]]/Maakunt.[[#This Row],[Tavoitteelliset opiskelija-vuodet]]</f>
        <v>1.0753319950586782</v>
      </c>
      <c r="J23" s="74">
        <f>SUMIF(Ohj.lask.[Maakunta],Maakunt.[[#This Row],[Maakunta]],Ohj.lask.[Painotetut opiskelija-vuodet])</f>
        <v>13927.7</v>
      </c>
      <c r="K23" s="9">
        <f>SUMIF(Ohj.lask.[Maakunta],Maakunt.[[#This Row],[Maakunta]],Ohj.lask.[%-osuus 1])</f>
        <v>6.4260595060021838E-2</v>
      </c>
      <c r="L23" s="10">
        <f>SUMIF(Ohj.lask.[Maakunta],Maakunt.[[#This Row],[Maakunta]],Ohj.lask.[Jaettava € 1])</f>
        <v>95047588</v>
      </c>
      <c r="M23" s="11">
        <f>SUMIF(Ohj.lask.[Maakunta],Maakunt.[[#This Row],[Maakunta]],Ohj.lask.[Painotetut pisteet 2])</f>
        <v>1103342.5</v>
      </c>
      <c r="N23" s="9">
        <f>SUMIF(Ohj.lask.[Maakunta],Maakunt.[[#This Row],[Maakunta]],Ohj.lask.[%-osuus 2])</f>
        <v>7.202545575186399E-2</v>
      </c>
      <c r="O23" s="10">
        <f>SUMIF(Ohj.lask.[Maakunta],Maakunt.[[#This Row],[Maakunta]],Ohj.lask.[Jaettava € 2])</f>
        <v>30949771</v>
      </c>
      <c r="P23" s="11">
        <f>SUMIF(Ohj.lask.[Maakunta],Maakunt.[[#This Row],[Maakunta]],Ohj.lask.[Painotetut pisteet 3])</f>
        <v>24982.000000000004</v>
      </c>
      <c r="Q23" s="9">
        <f>SUMIF(Ohj.lask.[Maakunta],Maakunt.[[#This Row],[Maakunta]],Ohj.lask.[%-osuus 3])</f>
        <v>7.9933191696316561E-2</v>
      </c>
      <c r="R23" s="10">
        <f>SUMIF(Ohj.lask.[Maakunta],Maakunt.[[#This Row],[Maakunta]],Ohj.lask.[Jaettava € 3])</f>
        <v>12021720</v>
      </c>
      <c r="S23" s="11">
        <f>SUMIF(Ohj.lask.[Maakunta],Maakunt.[[#This Row],[Maakunta]],Ohj.lask.[Painotetut pisteet 4])</f>
        <v>115469.2</v>
      </c>
      <c r="T23" s="9">
        <f>SUMIF(Ohj.lask.[Maakunta],Maakunt.[[#This Row],[Maakunta]],Ohj.lask.[%-osuus 4])</f>
        <v>6.927202557617454E-2</v>
      </c>
      <c r="U23" s="10">
        <f>SUMIF(Ohj.lask.[Maakunta],Maakunt.[[#This Row],[Maakunta]],Ohj.lask.[Jaettava € 4])</f>
        <v>558123</v>
      </c>
      <c r="V23" s="11">
        <f>SUMIF(Ohj.lask.[Maakunta],Maakunt.[[#This Row],[Maakunta]],Ohj.lask.[Painotetut pisteet 5])</f>
        <v>715827.7</v>
      </c>
      <c r="W23" s="9">
        <f>SUMIF(Ohj.lask.[Maakunta],Maakunt.[[#This Row],[Maakunta]],Ohj.lask.[%-osuus 5])</f>
        <v>6.9990953838391309E-2</v>
      </c>
      <c r="X23" s="16">
        <f>SUMIF(Ohj.lask.[Maakunta],Maakunt.[[#This Row],[Maakunta]],Ohj.lask.[Jaettava € 5])</f>
        <v>1691748</v>
      </c>
      <c r="Y23" s="11">
        <f>SUMIF(Ohj.lask.[Maakunta],Maakunt.[[#This Row],[Maakunta]],Ohj.lask.[Painotetut pisteet 6])</f>
        <v>21797547.100000001</v>
      </c>
      <c r="Z23" s="9">
        <f>SUMIF(Ohj.lask.[Maakunta],Maakunt.[[#This Row],[Maakunta]],Ohj.lask.[%-osuus 6])</f>
        <v>6.4222448913563129E-2</v>
      </c>
      <c r="AA23" s="16">
        <f>SUMIF(Ohj.lask.[Maakunta],Maakunt.[[#This Row],[Maakunta]],Ohj.lask.[Jaettava € 6])</f>
        <v>1552319</v>
      </c>
      <c r="AB23" s="10">
        <f>SUMIF(Ohj.lask.[Maakunta],Maakunt.[[#This Row],[Maakunta]],Ohj.lask.[Pisteet 7])</f>
        <v>7950451</v>
      </c>
      <c r="AC23" s="9">
        <f>SUMIF(Ohj.lask.[Maakunta],Maakunt.[[#This Row],[Maakunta]],Ohj.lask.[%-osuus 7])</f>
        <v>4.3085555750268338E-2</v>
      </c>
      <c r="AD23" s="10">
        <f>SUMIF(Ohj.lask.[Maakunta],Maakunt.[[#This Row],[Maakunta]],Ohj.lask.[Jaettava € 7])</f>
        <v>347139</v>
      </c>
      <c r="AE23" s="12">
        <f>SUMIF(Ohj.lask.[Maakunta],Maakunt.[[#This Row],[Maakunta]],Ohj.lask.[%-osuus 8])</f>
        <v>6.6945152673497099E-2</v>
      </c>
      <c r="AF23" s="16">
        <f>SUMIF(Ohj.lask.[Maakunta],Maakunt.[[#This Row],[Maakunta]],Ohj.lask.[Jaettava € 8])</f>
        <v>142168408</v>
      </c>
      <c r="AG23" s="33">
        <f>SUMIF(Ohj.lask.[Maakunta],Maakunt.[[#This Row],[Maakunta]],Ohj.lask.[Harkinnanvarainen korotus 1, €])</f>
        <v>0</v>
      </c>
      <c r="AH23" s="33">
        <f>SUMIF(Ohj.lask.[Maakunta],Maakunt.[[#This Row],[Maakunta]],Ohj.lask.[Harkinnanvarainen korotus 2, €])</f>
        <v>405000</v>
      </c>
      <c r="AI23" s="33">
        <f>SUMIF(Ohj.lask.[Maakunta],Maakunt.[[#This Row],[Maakunta]],Ohj.lask.[Harkinnanvarainen korotus 3, €])</f>
        <v>0</v>
      </c>
      <c r="AJ23" s="16">
        <f>SUMIF(Ohj.lask.[Maakunta],Maakunt.[[#This Row],[Maakunta]],Ohj.lask.[Harkinnanvarainen korotus 4, €])</f>
        <v>0</v>
      </c>
      <c r="AK23" s="11">
        <f>SUMIF(Ohj.lask.[Maakunta],Maakunt.[[#This Row],[Maakunta]],Ohj.lask.[Harkinnanvarainen korotus 5, €])</f>
        <v>158000</v>
      </c>
      <c r="AL23" s="10">
        <f>SUMIF(Ohj.lask.[Maakunta],Maakunt.[[#This Row],[Maakunta]],Ohj.lask.[Harkinnanvarainen korotus 6, €])</f>
        <v>24000</v>
      </c>
      <c r="AM23" s="11">
        <f>SUMIF(Ohj.lask.[Maakunta],Maakunt.[[#This Row],[Maakunta]],Ohj.lask.[Harkinnanvarainen korotus 7, €])</f>
        <v>432065</v>
      </c>
      <c r="AN23" s="16">
        <f>SUMIF(Ohj.lask.[Maakunta],Maakunt.[[#This Row],[Maakunta]],Ohj.lask.[Harkinnanvarainen korotus 8, €])</f>
        <v>1019065</v>
      </c>
      <c r="AO23" s="33">
        <f>SUMIF(Ohj.lask.[Maakunta],Maakunt.[[#This Row],[Maakunta]],Ohj.lask.[Suoriteperusteinen (opiskelijavuosiin perustuva) sekä harkinnanvarainen korotus, €])</f>
        <v>96066653</v>
      </c>
      <c r="AP23" s="10">
        <f>SUMIF(Ohj.lask.[Maakunta],Maakunt.[[#This Row],[Maakunta]],Ohj.lask.[Suoritusrahoitus, €])</f>
        <v>30949771</v>
      </c>
      <c r="AQ23" s="11">
        <f>SUMIF(Ohj.lask.[Maakunta],Maakunt.[[#This Row],[Maakunta]],Ohj.lask.[Työllistymiseen ja jatko-opintoihin siirtymiseen, opiskelijapalautteiseen sekä työelämäpalautteeseen perustuva, €])</f>
        <v>16171049</v>
      </c>
      <c r="AR23" s="11">
        <f>SUMIF(Ohj.lask.[Maakunta],Maakunt.[[#This Row],[Maakunta]],Ohj.lask.[Perus-, suoritus- ja vaikuttavuusrahoitus yhteensä, €])</f>
        <v>143187473</v>
      </c>
      <c r="AS23" s="12">
        <f>Maakunt.[[#This Row],[Jaettava € 1]]/Maakunt.[[#This Row],[Perus-, suoritus- ja vaikuttavuusrahoitus yhteensä, €]]</f>
        <v>0.66379820810162637</v>
      </c>
      <c r="AT23" s="121">
        <f>Maakunt.[[#This Row],[Suoriteperusteinen (opiskelijavuosiin perustuva) sekä harkinnanvarainen korotus, €]]/Maakunt.[[#This Row],[Perus-, suoritus- ja vaikuttavuusrahoitus yhteensä, €]]</f>
        <v>0.67091520638820135</v>
      </c>
      <c r="AU23" s="42">
        <f>Maakunt.[[#This Row],[Suoritusrahoitus, €]]/Maakunt.[[#This Row],[Perus-, suoritus- ja vaikuttavuusrahoitus yhteensä, €]]</f>
        <v>0.21614859422793223</v>
      </c>
      <c r="AV23" s="9">
        <f>Maakunt.[[#This Row],[Työllistymiseen ja jatko-opintoihin siirtymiseen, opiskelijapalautteiseen sekä työelämäpalautteeseen perustuva, €]]/Maakunt.[[#This Row],[Perus-, suoritus- ja vaikuttavuusrahoitus yhteensä, €]]</f>
        <v>0.1129361993838665</v>
      </c>
      <c r="AW23" s="9">
        <f>SUMIF(Ohj.lask.[Maakunta],Maakunt.[[#This Row],[Maakunta]],Ohj.lask.[Jaettava € 3])/Maakunt.[[#This Row],[Perus-, suoritus- ja vaikuttavuusrahoitus yhteensä, €]]</f>
        <v>8.3957903216854729E-2</v>
      </c>
      <c r="AX23" s="9">
        <f>SUMIF(Ohj.lask.[Maakunta],Maakunt.[[#This Row],[Maakunta]],Ohj.lask.[Jaettava € 4])/Maakunt.[[#This Row],[Perus-, suoritus- ja vaikuttavuusrahoitus yhteensä, €]]</f>
        <v>3.8978479632781841E-3</v>
      </c>
      <c r="AY23" s="303">
        <f>SUMIF(Ohj.lask.[Maakunta],Maakunt.[[#This Row],[Maakunta]],Ohj.lask.[Jaettava € 5])/Maakunt.[[#This Row],[Perus-, suoritus- ja vaikuttavuusrahoitus yhteensä, €]]</f>
        <v>1.1814916239215982E-2</v>
      </c>
      <c r="AZ23" s="9">
        <f>SUMIF(Ohj.lask.[Maakunta],Maakunt.[[#This Row],[Maakunta]],Ohj.lask.[Jaettava € 6])/Maakunt.[[#This Row],[Perus-, suoritus- ja vaikuttavuusrahoitus yhteensä, €]]</f>
        <v>1.0841164855252387E-2</v>
      </c>
      <c r="BA23" s="9">
        <f>SUMIF(Ohj.lask.[Maakunta],Maakunt.[[#This Row],[Maakunta]],Ohj.lask.[Jaettava € 7])/Maakunt.[[#This Row],[Perus-, suoritus- ja vaikuttavuusrahoitus yhteensä, €]]</f>
        <v>2.4243671092652077E-3</v>
      </c>
      <c r="BB23" s="11">
        <f>SUMIF(Vertailu[Maakunta],Maakunt.[[#This Row],[Maakunta]],Vertailu[Rahoitus ml. hark. kor. 
2023 ilman alv, €])</f>
        <v>136913856</v>
      </c>
      <c r="BC23" s="11">
        <f>SUMIF(Vertailu[Maakunta],Maakunt.[[#This Row],[Maakunta]],Vertailu[Rahoitus ml. hark. kor. 
2024 ilman alv, €])</f>
        <v>143187473</v>
      </c>
      <c r="BD23" s="11">
        <f>SUMIF(Vertailu[Maakunta],Maakunt.[[#This Row],[Maakunta]],Vertailu[Muutos, € 2])</f>
        <v>6273617</v>
      </c>
      <c r="BE23" s="34">
        <f>IFERROR(Maakunt.[[#This Row],[Muutos, €]]/Maakunt.[[#This Row],[Rahoitus ml. hark. kor. 
2023 ilman alv, €]],0)</f>
        <v>4.5821636927675165E-2</v>
      </c>
    </row>
    <row r="24" spans="1:57" s="108" customFormat="1" x14ac:dyDescent="0.2">
      <c r="A24" s="131" t="s">
        <v>344</v>
      </c>
      <c r="B24" s="131">
        <f>SUBTOTAL(109,Maakunt.[Järjestäjien kokonais-määrä])</f>
        <v>135</v>
      </c>
      <c r="C24" s="131">
        <f>SUBTOTAL(109,Maakunt.[Yksityinen])</f>
        <v>94</v>
      </c>
      <c r="D24" s="131">
        <f>SUBTOTAL(109,Maakunt.[Kunta])</f>
        <v>8</v>
      </c>
      <c r="E24" s="131">
        <f>SUBTOTAL(109,Maakunt.[Kunta-yhtymä])</f>
        <v>33</v>
      </c>
      <c r="F24" s="140">
        <f>SUBTOTAL(109,Maakunt.[Järjestämisluvan opisk.vuosien vähimmäismäärä])</f>
        <v>157935</v>
      </c>
      <c r="G24" s="98">
        <f>SUBTOTAL(109,Maakunt.[Suoritepäätöksellä jaettavat opisk.vuodet (luvan ylittävä osuus)])</f>
        <v>20673</v>
      </c>
      <c r="H24" s="98">
        <f>SUBTOTAL(109,Maakunt.[Tavoitteelliset opiskelija-vuodet])</f>
        <v>178608</v>
      </c>
      <c r="I24" s="127">
        <f>SUBTOTAL(109,Maakunt.[Keskimääräinen profiilikerroin])</f>
        <v>21.293956645299382</v>
      </c>
      <c r="J24" s="98">
        <f>SUBTOTAL(109,Maakunt.[Painotetut opiskelija-vuodet])</f>
        <v>216737.8</v>
      </c>
      <c r="K24" s="138">
        <f>SUBTOTAL(109,Maakunt.[%-osuus 1])</f>
        <v>1</v>
      </c>
      <c r="L24" s="99">
        <f>SUBTOTAL(109,Maakunt.[Jaettava € 1])</f>
        <v>1479095996</v>
      </c>
      <c r="M24" s="98">
        <f>SUBTOTAL(109,Maakunt.[Painotetut pisteet 2])</f>
        <v>15318785.399999999</v>
      </c>
      <c r="N24" s="138">
        <f>SUBTOTAL(109,Maakunt.[%-osuus 2])</f>
        <v>1.0000000000000002</v>
      </c>
      <c r="O24" s="98">
        <f>SUBTOTAL(109,Maakunt.[Jaettava € 2])</f>
        <v>429705998</v>
      </c>
      <c r="P24" s="140">
        <f>SUBTOTAL(109,Maakunt.[Painotetut pisteet 3])</f>
        <v>312536</v>
      </c>
      <c r="Q24" s="138">
        <f>SUBTOTAL(109,Maakunt.[%-osuus 3])</f>
        <v>0.99999999999999967</v>
      </c>
      <c r="R24" s="99">
        <f>SUBTOTAL(109,Maakunt.[Jaettava € 3])</f>
        <v>150397103</v>
      </c>
      <c r="S24" s="98">
        <f>SUBTOTAL(109,Maakunt.[Painotetut pisteet 4])</f>
        <v>1666895.0999999999</v>
      </c>
      <c r="T24" s="138">
        <f>SUBTOTAL(109,Maakunt.[%-osuus 4])</f>
        <v>1.0000000000000002</v>
      </c>
      <c r="U24" s="98">
        <f>SUBTOTAL(109,Maakunt.[Jaettava € 4])</f>
        <v>8056994</v>
      </c>
      <c r="V24" s="140">
        <f>SUBTOTAL(109,Maakunt.[Painotetut pisteet 5])</f>
        <v>10227431.700000001</v>
      </c>
      <c r="W24" s="138">
        <f>SUBTOTAL(109,Maakunt.[%-osuus 5])</f>
        <v>0.99999999999999989</v>
      </c>
      <c r="X24" s="99">
        <f>SUBTOTAL(109,Maakunt.[Jaettava € 5])</f>
        <v>24170962</v>
      </c>
      <c r="Y24" s="140">
        <f>SUBTOTAL(109,Maakunt.[Painotetut pisteet 6])</f>
        <v>339406974.80000007</v>
      </c>
      <c r="Z24" s="138">
        <f>SUBTOTAL(109,Maakunt.[%-osuus 6])</f>
        <v>1.0000000000000002</v>
      </c>
      <c r="AA24" s="99">
        <f>SUBTOTAL(109,Maakunt.[Jaettava € 6])</f>
        <v>24170959</v>
      </c>
      <c r="AB24" s="98">
        <f>SUBTOTAL(109,Maakunt.[Pisteet 7])</f>
        <v>184527061.60000002</v>
      </c>
      <c r="AC24" s="138">
        <f>SUBTOTAL(109,Maakunt.[%-osuus 7])</f>
        <v>0.99999999999999989</v>
      </c>
      <c r="AD24" s="99">
        <f>SUBTOTAL(109,Maakunt.[Jaettava € 7])</f>
        <v>8056985</v>
      </c>
      <c r="AE24" s="139">
        <f>SUBTOTAL(109,Maakunt.[%-osuus 8])</f>
        <v>1.0000000000000004</v>
      </c>
      <c r="AF24" s="99">
        <f>SUBTOTAL(109,Maakunt.[Jaettava € 8])</f>
        <v>2123654997</v>
      </c>
      <c r="AG24" s="141">
        <f>SUBTOTAL(109,Maakunt.[Harkinnanvarainen korotus 1, €])</f>
        <v>8285000</v>
      </c>
      <c r="AH24" s="141">
        <f>SUBTOTAL(109,Maakunt.[Harkinnanvarainen korotus 2, €])</f>
        <v>1125000</v>
      </c>
      <c r="AI24" s="141">
        <f>SUBTOTAL(109,Maakunt.[Harkinnanvarainen korotus 3, €])</f>
        <v>0</v>
      </c>
      <c r="AJ24" s="99">
        <f>SUBTOTAL(109,Maakunt.[Harkinnanvarainen korotus 4, €])</f>
        <v>0</v>
      </c>
      <c r="AK24" s="98">
        <f>SUBTOTAL(109,Maakunt.[Harkinnanvarainen korotus 5, €])</f>
        <v>2500000</v>
      </c>
      <c r="AL24" s="98">
        <f>SUBTOTAL(109,Maakunt.[Harkinnanvarainen korotus 6, €])</f>
        <v>500000</v>
      </c>
      <c r="AM24" s="140">
        <f>SUBTOTAL(109,Maakunt.[Harkinnanvarainen korotus 7, €])</f>
        <v>5000000</v>
      </c>
      <c r="AN24" s="99">
        <f>SUBTOTAL(109,Maakunt.[Harkinnanvarainen korotus 8, €])</f>
        <v>17410000</v>
      </c>
      <c r="AO24" s="141">
        <f>SUBTOTAL(109,Maakunt.[Suoriteperusteinen (opiskelijavuosiin perustuva) sekä harkinnanvarainen korotus, €])</f>
        <v>1496505996</v>
      </c>
      <c r="AP24" s="99">
        <f>SUBTOTAL(109,Maakunt.[Suoritusrahoitus, €])</f>
        <v>429705998</v>
      </c>
      <c r="AQ24" s="98">
        <f>SUBTOTAL(109,Maakunt.[Työllistymiseen ja jatko-opintoihin siirtymiseen, opiskelijapalautteiseen sekä työelämäpalautteeseen perustuva, €])</f>
        <v>214853003</v>
      </c>
      <c r="AR24" s="141">
        <f>SUBTOTAL(109,Maakunt.[Perus-, suoritus- ja vaikuttavuusrahoitus yhteensä, €])</f>
        <v>2141064997</v>
      </c>
      <c r="AS24" s="139">
        <f>Maakunt.[[#Totals],[Jaettava € 1]]/Maakunt.[[#Totals],[Perus-, suoritus- ja vaikuttavuusrahoitus yhteensä, €]]</f>
        <v>0.69082255703234963</v>
      </c>
      <c r="AT24" s="145">
        <f>Maakunt.[[#Totals],[Suoriteperusteinen (opiskelijavuosiin perustuva) sekä harkinnanvarainen korotus, €]]/Maakunt.[[#Totals],[Perus-, suoritus- ja vaikuttavuusrahoitus yhteensä, €]]</f>
        <v>0.69895402432754827</v>
      </c>
      <c r="AU24" s="138">
        <f>Maakunt.[[#Totals],[Suoritusrahoitus, €]]/Maakunt.[[#Totals],[Perus-, suoritus- ja vaikuttavuusrahoitus yhteensä, €]]</f>
        <v>0.20069731586948175</v>
      </c>
      <c r="AV24" s="139">
        <f>Maakunt.[[#Totals],[Työllistymiseen ja jatko-opintoihin siirtymiseen, opiskelijapalautteiseen sekä työelämäpalautteeseen perustuva, €]]/Maakunt.[[#Totals],[Perus-, suoritus- ja vaikuttavuusrahoitus yhteensä, €]]</f>
        <v>0.10034865980297</v>
      </c>
      <c r="AW24" s="138">
        <f>Ohj.lask.[[#Totals],[Jaettava € 3]]/Ohj.lask.[[#Totals],[Perus-, suoritus- ja vaikuttavuusrahoitus yhteensä, €]]</f>
        <v>7.0244062282430561E-2</v>
      </c>
      <c r="AX24" s="138">
        <f>Ohj.lask.[[#Totals],[Jaettava € 4]]/Ohj.lask.[[#Totals],[Perus-, suoritus- ja vaikuttavuusrahoitus yhteensä, €]]</f>
        <v>3.7630777259397698E-3</v>
      </c>
      <c r="AY24" s="138">
        <f>Ohj.lask.[[#Totals],[Jaettava € 5]]/Ohj.lask.[[#Totals],[Perus-, suoritus- ja vaikuttavuusrahoitus yhteensä, €]]</f>
        <v>1.1289223836673652E-2</v>
      </c>
      <c r="AZ24" s="138">
        <f>Ohj.lask.[[#Totals],[Jaettava € 6]]/Ohj.lask.[[#Totals],[Perus-, suoritus- ja vaikuttavuusrahoitus yhteensä, €]]</f>
        <v>1.1289222435501803E-2</v>
      </c>
      <c r="BA24" s="145">
        <f>Ohj.lask.[[#Totals],[Jaettava € 7]]/Ohj.lask.[[#Totals],[Perus-, suoritus- ja vaikuttavuusrahoitus yhteensä, €]]</f>
        <v>3.7630735224242237E-3</v>
      </c>
      <c r="BB24" s="140">
        <f>SUBTOTAL(109,Maakunt.[Rahoitus ml. hark. kor. 
2023 ilman alv, €])</f>
        <v>2030037092</v>
      </c>
      <c r="BC24" s="141">
        <f>SUBTOTAL(109,Maakunt.[Rahoitus ml. hark. kor. 
2024 ilman alv, €])</f>
        <v>2141064997</v>
      </c>
      <c r="BD24" s="140">
        <f>SUBTOTAL(109,Maakunt.[Muutos, €])</f>
        <v>111027905</v>
      </c>
      <c r="BE24" s="145">
        <f>IFERROR(Maakunt.[[#Totals],[Muutos, €]]/Maakunt.[[#Totals],[Rahoitus ml. hark. kor. 
2023 ilman alv, €]],0)</f>
        <v>5.4692549923122294E-2</v>
      </c>
    </row>
    <row r="25" spans="1:57" x14ac:dyDescent="0.2">
      <c r="A25" s="88" t="s">
        <v>567</v>
      </c>
    </row>
    <row r="26" spans="1:57" x14ac:dyDescent="0.2">
      <c r="B26" s="89"/>
      <c r="C26" s="89"/>
      <c r="D26" s="89"/>
    </row>
    <row r="27" spans="1:57" x14ac:dyDescent="0.2">
      <c r="A27" s="89"/>
      <c r="B27" s="89"/>
      <c r="C27" s="89"/>
      <c r="D27" s="89"/>
      <c r="F27" s="2"/>
      <c r="G27" s="3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4"/>
      <c r="AP27" s="4"/>
      <c r="AQ27" s="4"/>
      <c r="AR27" s="2"/>
      <c r="AS27" s="2"/>
      <c r="AT27" s="2"/>
    </row>
    <row r="28" spans="1:57" ht="15" x14ac:dyDescent="0.25">
      <c r="B28" s="2"/>
      <c r="C28" s="2"/>
      <c r="D28" s="2"/>
      <c r="E28" s="2"/>
      <c r="F28" s="2"/>
      <c r="G28" s="3"/>
      <c r="H28" s="3"/>
      <c r="I28" s="2"/>
      <c r="J28" s="2"/>
      <c r="K28" s="2"/>
      <c r="L28" s="2"/>
      <c r="M28" s="2"/>
      <c r="N28"/>
      <c r="O28"/>
      <c r="P28"/>
      <c r="Q28"/>
      <c r="R2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/>
      <c r="AH28"/>
      <c r="AI28"/>
      <c r="AJ28"/>
      <c r="AK28" s="137"/>
      <c r="AL28" s="137"/>
      <c r="AM28" s="137"/>
      <c r="AN28" s="137"/>
      <c r="AO28" s="2"/>
      <c r="AP28" s="32"/>
      <c r="AQ28" s="2"/>
      <c r="AR28" s="32"/>
    </row>
  </sheetData>
  <mergeCells count="37">
    <mergeCell ref="Y4:AA4"/>
    <mergeCell ref="AB4:AD4"/>
    <mergeCell ref="AE4:AF4"/>
    <mergeCell ref="AV4:BA4"/>
    <mergeCell ref="AS2:BA2"/>
    <mergeCell ref="AL3:AL4"/>
    <mergeCell ref="AM3:AM4"/>
    <mergeCell ref="AN3:AN4"/>
    <mergeCell ref="AO3:AO4"/>
    <mergeCell ref="AP3:AP4"/>
    <mergeCell ref="AG3:AG4"/>
    <mergeCell ref="AH3:AH4"/>
    <mergeCell ref="AI3:AI4"/>
    <mergeCell ref="AJ3:AJ4"/>
    <mergeCell ref="AK3:AK4"/>
    <mergeCell ref="A2:B4"/>
    <mergeCell ref="BB2:BE2"/>
    <mergeCell ref="BB3:BE4"/>
    <mergeCell ref="AS4:AT4"/>
    <mergeCell ref="F2:I2"/>
    <mergeCell ref="AR3:AR4"/>
    <mergeCell ref="AQ3:AQ4"/>
    <mergeCell ref="P2:AD2"/>
    <mergeCell ref="AE2:AF2"/>
    <mergeCell ref="AG2:AN2"/>
    <mergeCell ref="AO2:AR2"/>
    <mergeCell ref="P3:AD3"/>
    <mergeCell ref="AE3:AF3"/>
    <mergeCell ref="J2:L2"/>
    <mergeCell ref="P4:R4"/>
    <mergeCell ref="S4:U4"/>
    <mergeCell ref="M2:O2"/>
    <mergeCell ref="F4:L4"/>
    <mergeCell ref="M4:O4"/>
    <mergeCell ref="V4:X4"/>
    <mergeCell ref="M3:O3"/>
    <mergeCell ref="F3:L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>
    <tabColor theme="9" tint="0.59999389629810485"/>
  </sheetPr>
  <dimension ref="A1:S275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9.5703125" defaultRowHeight="15" x14ac:dyDescent="0.25"/>
  <cols>
    <col min="1" max="1" width="51.28515625" style="137" customWidth="1"/>
    <col min="2" max="19" width="17.42578125" style="137" customWidth="1"/>
    <col min="20" max="16384" width="19.5703125" style="137"/>
  </cols>
  <sheetData>
    <row r="1" spans="1:19" ht="60" x14ac:dyDescent="0.25">
      <c r="A1" s="197" t="s">
        <v>12</v>
      </c>
      <c r="B1" s="197" t="s">
        <v>351</v>
      </c>
      <c r="C1" s="197" t="s">
        <v>352</v>
      </c>
      <c r="D1" s="197" t="s">
        <v>353</v>
      </c>
      <c r="E1" s="197" t="s">
        <v>132</v>
      </c>
      <c r="F1" s="197" t="s">
        <v>133</v>
      </c>
      <c r="G1" s="197" t="s">
        <v>540</v>
      </c>
      <c r="H1" s="197" t="s">
        <v>134</v>
      </c>
      <c r="I1" s="197" t="s">
        <v>135</v>
      </c>
      <c r="J1" s="197" t="s">
        <v>445</v>
      </c>
      <c r="K1" s="197" t="s">
        <v>136</v>
      </c>
      <c r="L1" s="197" t="s">
        <v>446</v>
      </c>
      <c r="M1" s="197" t="s">
        <v>137</v>
      </c>
      <c r="N1" s="197" t="s">
        <v>447</v>
      </c>
      <c r="O1" s="197" t="s">
        <v>138</v>
      </c>
      <c r="P1" s="197" t="s">
        <v>139</v>
      </c>
      <c r="Q1" s="197" t="s">
        <v>140</v>
      </c>
      <c r="R1" s="197" t="s">
        <v>141</v>
      </c>
      <c r="S1" s="197" t="s">
        <v>142</v>
      </c>
    </row>
    <row r="2" spans="1:19" x14ac:dyDescent="0.25">
      <c r="A2" s="198" t="s">
        <v>378</v>
      </c>
      <c r="B2" s="199">
        <v>4623.6486027388264</v>
      </c>
      <c r="C2" s="199">
        <v>4600.9828493141686</v>
      </c>
      <c r="D2" s="199">
        <v>22.665753424657588</v>
      </c>
      <c r="E2" s="199">
        <v>1755.0241419178144</v>
      </c>
      <c r="F2" s="199">
        <v>2063.4759523150578</v>
      </c>
      <c r="G2" s="199">
        <v>107.67342465753421</v>
      </c>
      <c r="H2" s="199">
        <v>19.504416438356131</v>
      </c>
      <c r="I2" s="199">
        <v>21.532465753424702</v>
      </c>
      <c r="J2" s="199">
        <v>1.2971506849315035</v>
      </c>
      <c r="K2" s="199">
        <v>13.801369863013697</v>
      </c>
      <c r="L2" s="199">
        <v>13.801369863013697</v>
      </c>
      <c r="M2" s="199"/>
      <c r="N2" s="199"/>
      <c r="O2" s="199">
        <v>-11.824898429588997</v>
      </c>
      <c r="P2" s="199">
        <v>11.164370079452141</v>
      </c>
      <c r="Q2" s="199"/>
      <c r="R2" s="199">
        <v>3981.6483932799961</v>
      </c>
      <c r="S2" s="200">
        <v>0.86114857234640751</v>
      </c>
    </row>
    <row r="3" spans="1:19" x14ac:dyDescent="0.25">
      <c r="A3" s="201" t="s">
        <v>377</v>
      </c>
      <c r="B3" s="202">
        <v>4623.6486027380552</v>
      </c>
      <c r="C3" s="202">
        <v>4600.9828493133973</v>
      </c>
      <c r="D3" s="202">
        <v>22.665753424657588</v>
      </c>
      <c r="E3" s="202">
        <v>1755.0241419178872</v>
      </c>
      <c r="F3" s="202">
        <v>2063.4759523147245</v>
      </c>
      <c r="G3" s="202">
        <v>107.67342465753534</v>
      </c>
      <c r="H3" s="202">
        <v>19.504416438356131</v>
      </c>
      <c r="I3" s="202">
        <v>21.532465753424702</v>
      </c>
      <c r="J3" s="202">
        <v>1.2971506849315053</v>
      </c>
      <c r="K3" s="202">
        <v>13.801369863013738</v>
      </c>
      <c r="L3" s="202">
        <v>13.801369863013738</v>
      </c>
      <c r="M3" s="202"/>
      <c r="N3" s="202"/>
      <c r="O3" s="202">
        <v>-11.824898429588997</v>
      </c>
      <c r="P3" s="202">
        <v>11.164370079451986</v>
      </c>
      <c r="Q3" s="202"/>
      <c r="R3" s="202">
        <v>3981.648393279736</v>
      </c>
      <c r="S3" s="203">
        <v>0.86114857234649356</v>
      </c>
    </row>
    <row r="4" spans="1:19" x14ac:dyDescent="0.25">
      <c r="A4" s="198" t="s">
        <v>15</v>
      </c>
      <c r="B4" s="199">
        <v>367.10150684931261</v>
      </c>
      <c r="C4" s="199">
        <v>367.10150684931261</v>
      </c>
      <c r="D4" s="199"/>
      <c r="E4" s="199">
        <v>318.18700547945349</v>
      </c>
      <c r="F4" s="199">
        <v>75.922424013698674</v>
      </c>
      <c r="G4" s="199"/>
      <c r="H4" s="199"/>
      <c r="I4" s="199"/>
      <c r="J4" s="199">
        <v>0.3</v>
      </c>
      <c r="K4" s="199">
        <v>26.301917808219187</v>
      </c>
      <c r="L4" s="199">
        <v>26.301917808219187</v>
      </c>
      <c r="M4" s="199"/>
      <c r="N4" s="199"/>
      <c r="O4" s="199"/>
      <c r="P4" s="199"/>
      <c r="Q4" s="199"/>
      <c r="R4" s="199">
        <v>420.7113473013714</v>
      </c>
      <c r="S4" s="200">
        <v>1.1460354682610003</v>
      </c>
    </row>
    <row r="5" spans="1:19" x14ac:dyDescent="0.25">
      <c r="A5" s="201" t="s">
        <v>320</v>
      </c>
      <c r="B5" s="202">
        <v>367.10150684931818</v>
      </c>
      <c r="C5" s="202">
        <v>367.10150684931818</v>
      </c>
      <c r="D5" s="202"/>
      <c r="E5" s="202">
        <v>318.1870054794573</v>
      </c>
      <c r="F5" s="202">
        <v>75.922424013698773</v>
      </c>
      <c r="G5" s="202"/>
      <c r="H5" s="202"/>
      <c r="I5" s="202"/>
      <c r="J5" s="202">
        <v>0.3000000000000001</v>
      </c>
      <c r="K5" s="202">
        <v>26.301917808219223</v>
      </c>
      <c r="L5" s="202">
        <v>26.301917808219223</v>
      </c>
      <c r="M5" s="202"/>
      <c r="N5" s="202"/>
      <c r="O5" s="202"/>
      <c r="P5" s="202"/>
      <c r="Q5" s="202"/>
      <c r="R5" s="202">
        <v>420.71134730137533</v>
      </c>
      <c r="S5" s="203">
        <v>1.1460354682609952</v>
      </c>
    </row>
    <row r="6" spans="1:19" x14ac:dyDescent="0.25">
      <c r="A6" s="198" t="s">
        <v>16</v>
      </c>
      <c r="B6" s="199">
        <v>105.09041095890399</v>
      </c>
      <c r="C6" s="199">
        <v>105.09041095890399</v>
      </c>
      <c r="D6" s="199"/>
      <c r="E6" s="199">
        <v>41.288821917808207</v>
      </c>
      <c r="F6" s="199"/>
      <c r="G6" s="199">
        <v>97.640219178082546</v>
      </c>
      <c r="H6" s="199"/>
      <c r="I6" s="199"/>
      <c r="J6" s="199">
        <v>4.9885479452054931</v>
      </c>
      <c r="K6" s="199">
        <v>376.80564383561517</v>
      </c>
      <c r="L6" s="199">
        <v>376.80564383561517</v>
      </c>
      <c r="M6" s="199">
        <v>132.23597260273988</v>
      </c>
      <c r="N6" s="199">
        <v>132.23597260273988</v>
      </c>
      <c r="O6" s="199"/>
      <c r="P6" s="199"/>
      <c r="Q6" s="199"/>
      <c r="R6" s="199">
        <v>652.95920547945127</v>
      </c>
      <c r="S6" s="200">
        <v>6.2133090880650705</v>
      </c>
    </row>
    <row r="7" spans="1:19" x14ac:dyDescent="0.25">
      <c r="A7" s="201" t="s">
        <v>319</v>
      </c>
      <c r="B7" s="202">
        <v>105.09041095890395</v>
      </c>
      <c r="C7" s="202">
        <v>105.09041095890395</v>
      </c>
      <c r="D7" s="202"/>
      <c r="E7" s="202">
        <v>41.288821917808207</v>
      </c>
      <c r="F7" s="202"/>
      <c r="G7" s="202">
        <v>97.640219178082546</v>
      </c>
      <c r="H7" s="202"/>
      <c r="I7" s="202"/>
      <c r="J7" s="202">
        <v>4.9885479452054833</v>
      </c>
      <c r="K7" s="202">
        <v>376.80564383561517</v>
      </c>
      <c r="L7" s="202">
        <v>376.80564383561517</v>
      </c>
      <c r="M7" s="202">
        <v>132.23597260273988</v>
      </c>
      <c r="N7" s="202">
        <v>132.23597260273988</v>
      </c>
      <c r="O7" s="202"/>
      <c r="P7" s="202"/>
      <c r="Q7" s="202"/>
      <c r="R7" s="202">
        <v>652.95920547945127</v>
      </c>
      <c r="S7" s="203">
        <v>6.2133090880650732</v>
      </c>
    </row>
    <row r="8" spans="1:19" x14ac:dyDescent="0.25">
      <c r="A8" s="198" t="s">
        <v>489</v>
      </c>
      <c r="B8" s="199">
        <v>1783.8256164382783</v>
      </c>
      <c r="C8" s="199">
        <v>1783.8256164382783</v>
      </c>
      <c r="D8" s="199"/>
      <c r="E8" s="199">
        <v>1042.8861315068136</v>
      </c>
      <c r="F8" s="199">
        <v>24.07135561643836</v>
      </c>
      <c r="G8" s="199">
        <v>1103.1007342465898</v>
      </c>
      <c r="H8" s="199"/>
      <c r="I8" s="199"/>
      <c r="J8" s="199">
        <v>69.751578082190207</v>
      </c>
      <c r="K8" s="199">
        <v>6481.569208219109</v>
      </c>
      <c r="L8" s="199">
        <v>6481.569208219109</v>
      </c>
      <c r="M8" s="199">
        <v>654.71592328765644</v>
      </c>
      <c r="N8" s="199">
        <v>654.71592328765644</v>
      </c>
      <c r="O8" s="199"/>
      <c r="P8" s="199"/>
      <c r="Q8" s="199"/>
      <c r="R8" s="199">
        <v>9376.0949309587977</v>
      </c>
      <c r="S8" s="200">
        <v>5.256172377252784</v>
      </c>
    </row>
    <row r="9" spans="1:19" x14ac:dyDescent="0.25">
      <c r="A9" s="201" t="s">
        <v>488</v>
      </c>
      <c r="B9" s="202">
        <v>1783.8256164382851</v>
      </c>
      <c r="C9" s="202">
        <v>1783.8256164382851</v>
      </c>
      <c r="D9" s="202"/>
      <c r="E9" s="202">
        <v>1042.8861315068136</v>
      </c>
      <c r="F9" s="202">
        <v>24.071355616438499</v>
      </c>
      <c r="G9" s="202">
        <v>1103.1007342465898</v>
      </c>
      <c r="H9" s="202"/>
      <c r="I9" s="202"/>
      <c r="J9" s="202">
        <v>69.751578082189539</v>
      </c>
      <c r="K9" s="202">
        <v>6481.5692082192827</v>
      </c>
      <c r="L9" s="202">
        <v>6481.5692082192827</v>
      </c>
      <c r="M9" s="202">
        <v>654.71592328765644</v>
      </c>
      <c r="N9" s="202">
        <v>654.71592328765644</v>
      </c>
      <c r="O9" s="202"/>
      <c r="P9" s="202"/>
      <c r="Q9" s="202"/>
      <c r="R9" s="202">
        <v>9376.0949309589705</v>
      </c>
      <c r="S9" s="203">
        <v>5.2561723772528604</v>
      </c>
    </row>
    <row r="10" spans="1:19" x14ac:dyDescent="0.25">
      <c r="A10" s="198" t="s">
        <v>17</v>
      </c>
      <c r="B10" s="199">
        <v>1205.8606301369957</v>
      </c>
      <c r="C10" s="199">
        <v>1205.8606301369957</v>
      </c>
      <c r="D10" s="199"/>
      <c r="E10" s="199">
        <v>707.22127945204011</v>
      </c>
      <c r="F10" s="199"/>
      <c r="G10" s="199">
        <v>735.84609095891199</v>
      </c>
      <c r="H10" s="199"/>
      <c r="I10" s="199"/>
      <c r="J10" s="199">
        <v>46.903081643835627</v>
      </c>
      <c r="K10" s="199">
        <v>4682.9735632876946</v>
      </c>
      <c r="L10" s="199">
        <v>4682.9735632876946</v>
      </c>
      <c r="M10" s="199">
        <v>396.69800547944794</v>
      </c>
      <c r="N10" s="199">
        <v>396.69800547944794</v>
      </c>
      <c r="O10" s="199"/>
      <c r="P10" s="199"/>
      <c r="Q10" s="199"/>
      <c r="R10" s="199">
        <v>6569.6420208219297</v>
      </c>
      <c r="S10" s="200">
        <v>5.4480939642880326</v>
      </c>
    </row>
    <row r="11" spans="1:19" x14ac:dyDescent="0.25">
      <c r="A11" s="201" t="s">
        <v>318</v>
      </c>
      <c r="B11" s="202">
        <v>1205.860630137021</v>
      </c>
      <c r="C11" s="202">
        <v>1205.860630137021</v>
      </c>
      <c r="D11" s="202"/>
      <c r="E11" s="202">
        <v>707.22127945204181</v>
      </c>
      <c r="F11" s="202"/>
      <c r="G11" s="202">
        <v>735.84609095891199</v>
      </c>
      <c r="H11" s="202"/>
      <c r="I11" s="202"/>
      <c r="J11" s="202">
        <v>46.903081643835627</v>
      </c>
      <c r="K11" s="202">
        <v>4682.9735632876591</v>
      </c>
      <c r="L11" s="202">
        <v>4682.9735632876591</v>
      </c>
      <c r="M11" s="202">
        <v>396.69800547944794</v>
      </c>
      <c r="N11" s="202">
        <v>396.69800547944794</v>
      </c>
      <c r="O11" s="202"/>
      <c r="P11" s="202"/>
      <c r="Q11" s="202"/>
      <c r="R11" s="202">
        <v>6569.642020821896</v>
      </c>
      <c r="S11" s="203">
        <v>5.4480939642878905</v>
      </c>
    </row>
    <row r="12" spans="1:19" x14ac:dyDescent="0.25">
      <c r="A12" s="198" t="s">
        <v>18</v>
      </c>
      <c r="B12" s="199">
        <v>165.99452054794492</v>
      </c>
      <c r="C12" s="199">
        <v>165.99452054794492</v>
      </c>
      <c r="D12" s="199"/>
      <c r="E12" s="199"/>
      <c r="F12" s="199">
        <v>120.41242520547924</v>
      </c>
      <c r="G12" s="199"/>
      <c r="H12" s="199"/>
      <c r="I12" s="199"/>
      <c r="J12" s="199">
        <v>1.5780821917808219E-2</v>
      </c>
      <c r="K12" s="199"/>
      <c r="L12" s="199"/>
      <c r="M12" s="199"/>
      <c r="N12" s="199"/>
      <c r="O12" s="199"/>
      <c r="P12" s="199"/>
      <c r="Q12" s="199"/>
      <c r="R12" s="199">
        <v>120.42820602739705</v>
      </c>
      <c r="S12" s="200">
        <v>0.72549506833036248</v>
      </c>
    </row>
    <row r="13" spans="1:19" x14ac:dyDescent="0.25">
      <c r="A13" s="201" t="s">
        <v>316</v>
      </c>
      <c r="B13" s="202">
        <v>165.99452054793974</v>
      </c>
      <c r="C13" s="202">
        <v>165.99452054793974</v>
      </c>
      <c r="D13" s="202"/>
      <c r="E13" s="202"/>
      <c r="F13" s="202">
        <v>120.41242520547922</v>
      </c>
      <c r="G13" s="202"/>
      <c r="H13" s="202"/>
      <c r="I13" s="202"/>
      <c r="J13" s="202">
        <v>1.5780821917808219E-2</v>
      </c>
      <c r="K13" s="202"/>
      <c r="L13" s="202"/>
      <c r="M13" s="202"/>
      <c r="N13" s="202"/>
      <c r="O13" s="202"/>
      <c r="P13" s="202"/>
      <c r="Q13" s="202"/>
      <c r="R13" s="202">
        <v>120.42820602739704</v>
      </c>
      <c r="S13" s="203">
        <v>0.72549506833038502</v>
      </c>
    </row>
    <row r="14" spans="1:19" x14ac:dyDescent="0.25">
      <c r="A14" s="198" t="s">
        <v>19</v>
      </c>
      <c r="B14" s="199">
        <v>1860.8147945205451</v>
      </c>
      <c r="C14" s="199">
        <v>1860.8147945205451</v>
      </c>
      <c r="D14" s="199"/>
      <c r="E14" s="199">
        <v>1577.7033013698465</v>
      </c>
      <c r="F14" s="199">
        <v>256.51789208219202</v>
      </c>
      <c r="G14" s="199">
        <v>7.8603287671232875</v>
      </c>
      <c r="H14" s="199">
        <v>11.974027397260263</v>
      </c>
      <c r="I14" s="199"/>
      <c r="J14" s="199">
        <v>30.757972602739734</v>
      </c>
      <c r="K14" s="199">
        <v>80.669643835615474</v>
      </c>
      <c r="L14" s="199">
        <v>80.669643835615474</v>
      </c>
      <c r="M14" s="199">
        <v>60.870575342465081</v>
      </c>
      <c r="N14" s="199">
        <v>60.870575342465081</v>
      </c>
      <c r="O14" s="199"/>
      <c r="P14" s="199"/>
      <c r="Q14" s="199"/>
      <c r="R14" s="199">
        <v>2026.3537413972424</v>
      </c>
      <c r="S14" s="200">
        <v>1.0889604636442873</v>
      </c>
    </row>
    <row r="15" spans="1:19" x14ac:dyDescent="0.25">
      <c r="A15" s="201" t="s">
        <v>315</v>
      </c>
      <c r="B15" s="202">
        <v>1860.8147945204294</v>
      </c>
      <c r="C15" s="202">
        <v>1860.8147945204294</v>
      </c>
      <c r="D15" s="202"/>
      <c r="E15" s="202">
        <v>1577.7033013697408</v>
      </c>
      <c r="F15" s="202">
        <v>256.51789208219117</v>
      </c>
      <c r="G15" s="202">
        <v>7.8603287671232875</v>
      </c>
      <c r="H15" s="202">
        <v>11.974027397260263</v>
      </c>
      <c r="I15" s="202"/>
      <c r="J15" s="202">
        <v>30.757972602739965</v>
      </c>
      <c r="K15" s="202">
        <v>80.669643835615332</v>
      </c>
      <c r="L15" s="202">
        <v>80.669643835615332</v>
      </c>
      <c r="M15" s="202">
        <v>60.870575342465074</v>
      </c>
      <c r="N15" s="202">
        <v>60.870575342465074</v>
      </c>
      <c r="O15" s="202"/>
      <c r="P15" s="202"/>
      <c r="Q15" s="202"/>
      <c r="R15" s="202">
        <v>2026.3537413971358</v>
      </c>
      <c r="S15" s="203">
        <v>1.088960463644298</v>
      </c>
    </row>
    <row r="16" spans="1:19" x14ac:dyDescent="0.25">
      <c r="A16" s="198" t="s">
        <v>148</v>
      </c>
      <c r="B16" s="199">
        <v>3146.1667123288116</v>
      </c>
      <c r="C16" s="199">
        <v>3133.3584931507294</v>
      </c>
      <c r="D16" s="199">
        <v>12.808219178082195</v>
      </c>
      <c r="E16" s="199">
        <v>2076.2250479452259</v>
      </c>
      <c r="F16" s="199">
        <v>666.3779653150799</v>
      </c>
      <c r="G16" s="199">
        <v>40.052657534246528</v>
      </c>
      <c r="H16" s="199">
        <v>73.620438356164684</v>
      </c>
      <c r="I16" s="199">
        <v>12.167808219178092</v>
      </c>
      <c r="J16" s="199">
        <v>54.150115068492966</v>
      </c>
      <c r="K16" s="199">
        <v>147.49876712328629</v>
      </c>
      <c r="L16" s="199">
        <v>147.49876712328629</v>
      </c>
      <c r="M16" s="199">
        <v>8.3352328767123378</v>
      </c>
      <c r="N16" s="199">
        <v>8.3352328767123378</v>
      </c>
      <c r="O16" s="199">
        <v>-1.2415273972602745</v>
      </c>
      <c r="P16" s="199">
        <v>5.6741275232876855</v>
      </c>
      <c r="Q16" s="199"/>
      <c r="R16" s="199">
        <v>3082.8606325644146</v>
      </c>
      <c r="S16" s="200">
        <v>0.97987834544294217</v>
      </c>
    </row>
    <row r="17" spans="1:19" x14ac:dyDescent="0.25">
      <c r="A17" s="201" t="s">
        <v>174</v>
      </c>
      <c r="B17" s="202">
        <v>3146.1667123285192</v>
      </c>
      <c r="C17" s="202">
        <v>3133.358493150437</v>
      </c>
      <c r="D17" s="202">
        <v>12.808219178082199</v>
      </c>
      <c r="E17" s="202">
        <v>2076.225047945185</v>
      </c>
      <c r="F17" s="202">
        <v>666.37796531509912</v>
      </c>
      <c r="G17" s="202">
        <v>40.052657534246585</v>
      </c>
      <c r="H17" s="202">
        <v>73.620438356164684</v>
      </c>
      <c r="I17" s="202">
        <v>12.16780821917809</v>
      </c>
      <c r="J17" s="202">
        <v>54.150115068492298</v>
      </c>
      <c r="K17" s="202">
        <v>147.49876712328557</v>
      </c>
      <c r="L17" s="202">
        <v>147.49876712328557</v>
      </c>
      <c r="M17" s="202">
        <v>8.3352328767123378</v>
      </c>
      <c r="N17" s="202">
        <v>8.3352328767123378</v>
      </c>
      <c r="O17" s="202">
        <v>-1.2415273972602745</v>
      </c>
      <c r="P17" s="202">
        <v>5.6741275232876802</v>
      </c>
      <c r="Q17" s="202"/>
      <c r="R17" s="202">
        <v>3082.8606325643909</v>
      </c>
      <c r="S17" s="203">
        <v>0.97987834544302499</v>
      </c>
    </row>
    <row r="18" spans="1:19" x14ac:dyDescent="0.25">
      <c r="A18" s="198" t="s">
        <v>20</v>
      </c>
      <c r="B18" s="199">
        <v>2.3561643835616435</v>
      </c>
      <c r="C18" s="199">
        <v>2.3561643835616435</v>
      </c>
      <c r="D18" s="199"/>
      <c r="E18" s="199"/>
      <c r="F18" s="199">
        <v>1.7091616438356163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>
        <v>0.15382454794520559</v>
      </c>
      <c r="Q18" s="199"/>
      <c r="R18" s="199">
        <v>1.8629861917808219</v>
      </c>
      <c r="S18" s="200">
        <v>0.79068600000000011</v>
      </c>
    </row>
    <row r="19" spans="1:19" x14ac:dyDescent="0.25">
      <c r="A19" s="201" t="s">
        <v>314</v>
      </c>
      <c r="B19" s="202">
        <v>2.3561643835616426</v>
      </c>
      <c r="C19" s="202">
        <v>2.3561643835616426</v>
      </c>
      <c r="D19" s="202"/>
      <c r="E19" s="202"/>
      <c r="F19" s="202">
        <v>1.7091616438356154</v>
      </c>
      <c r="G19" s="202"/>
      <c r="H19" s="202"/>
      <c r="I19" s="202"/>
      <c r="J19" s="202"/>
      <c r="K19" s="202"/>
      <c r="L19" s="202"/>
      <c r="M19" s="202"/>
      <c r="N19" s="202"/>
      <c r="O19" s="202"/>
      <c r="P19" s="202">
        <v>0.15382454794520559</v>
      </c>
      <c r="Q19" s="202"/>
      <c r="R19" s="202">
        <v>1.862986191780821</v>
      </c>
      <c r="S19" s="203">
        <v>0.790686</v>
      </c>
    </row>
    <row r="20" spans="1:19" x14ac:dyDescent="0.25">
      <c r="A20" s="198" t="s">
        <v>21</v>
      </c>
      <c r="B20" s="199">
        <v>7622.0708767115621</v>
      </c>
      <c r="C20" s="199">
        <v>7536.003835615672</v>
      </c>
      <c r="D20" s="199">
        <v>86.067041095890318</v>
      </c>
      <c r="E20" s="199">
        <v>6077.9211589044344</v>
      </c>
      <c r="F20" s="199">
        <v>767.14684898630549</v>
      </c>
      <c r="G20" s="199">
        <v>226.83567123287648</v>
      </c>
      <c r="H20" s="199">
        <v>113.43218082191869</v>
      </c>
      <c r="I20" s="199">
        <v>81.763689041096058</v>
      </c>
      <c r="J20" s="199">
        <v>154.44835068493157</v>
      </c>
      <c r="K20" s="199">
        <v>418.54060273972925</v>
      </c>
      <c r="L20" s="199">
        <v>418.54060273972925</v>
      </c>
      <c r="M20" s="199"/>
      <c r="N20" s="199"/>
      <c r="O20" s="199">
        <v>-184.53319650849403</v>
      </c>
      <c r="P20" s="199">
        <v>19.154291745205647</v>
      </c>
      <c r="Q20" s="199"/>
      <c r="R20" s="199">
        <v>7674.7095976480068</v>
      </c>
      <c r="S20" s="200">
        <v>1.0069060917679562</v>
      </c>
    </row>
    <row r="21" spans="1:19" x14ac:dyDescent="0.25">
      <c r="A21" s="201" t="s">
        <v>313</v>
      </c>
      <c r="B21" s="202">
        <v>7622.0708767110464</v>
      </c>
      <c r="C21" s="202">
        <v>7536.0038356151563</v>
      </c>
      <c r="D21" s="202">
        <v>86.06704109589046</v>
      </c>
      <c r="E21" s="202">
        <v>6077.9211589048573</v>
      </c>
      <c r="F21" s="202">
        <v>767.14684898630492</v>
      </c>
      <c r="G21" s="202">
        <v>226.83567123287659</v>
      </c>
      <c r="H21" s="202">
        <v>113.43218082191869</v>
      </c>
      <c r="I21" s="202">
        <v>81.763689041096882</v>
      </c>
      <c r="J21" s="202">
        <v>154.44835068492802</v>
      </c>
      <c r="K21" s="202">
        <v>418.54060273976461</v>
      </c>
      <c r="L21" s="202">
        <v>418.54060273976461</v>
      </c>
      <c r="M21" s="202"/>
      <c r="N21" s="202"/>
      <c r="O21" s="202">
        <v>-184.53319650849403</v>
      </c>
      <c r="P21" s="202">
        <v>19.154291745205331</v>
      </c>
      <c r="Q21" s="202"/>
      <c r="R21" s="202">
        <v>7674.7095976484579</v>
      </c>
      <c r="S21" s="203">
        <v>1.0069060917680845</v>
      </c>
    </row>
    <row r="22" spans="1:19" x14ac:dyDescent="0.25">
      <c r="A22" s="198" t="s">
        <v>22</v>
      </c>
      <c r="B22" s="199">
        <v>3097.436849315065</v>
      </c>
      <c r="C22" s="199">
        <v>3096.5108219178046</v>
      </c>
      <c r="D22" s="199">
        <v>0.92602739726027405</v>
      </c>
      <c r="E22" s="199">
        <v>2535.0555534246473</v>
      </c>
      <c r="F22" s="199">
        <v>435.30644531507164</v>
      </c>
      <c r="G22" s="199">
        <v>110.04818904109668</v>
      </c>
      <c r="H22" s="199">
        <v>5.7752109589041094</v>
      </c>
      <c r="I22" s="199">
        <v>0.87972602739726025</v>
      </c>
      <c r="J22" s="199">
        <v>82.042660273972842</v>
      </c>
      <c r="K22" s="199">
        <v>248.45465753424719</v>
      </c>
      <c r="L22" s="199">
        <v>248.45465753424719</v>
      </c>
      <c r="M22" s="199">
        <v>8.514246575342467</v>
      </c>
      <c r="N22" s="199">
        <v>8.514246575342467</v>
      </c>
      <c r="O22" s="199"/>
      <c r="P22" s="199">
        <v>1.4030774630136924</v>
      </c>
      <c r="Q22" s="199"/>
      <c r="R22" s="199">
        <v>3427.4797666136947</v>
      </c>
      <c r="S22" s="200">
        <v>1.106553558104538</v>
      </c>
    </row>
    <row r="23" spans="1:19" x14ac:dyDescent="0.25">
      <c r="A23" s="201" t="s">
        <v>312</v>
      </c>
      <c r="B23" s="202">
        <v>3097.4368493150623</v>
      </c>
      <c r="C23" s="202">
        <v>3096.5108219178019</v>
      </c>
      <c r="D23" s="202">
        <v>0.92602739726027117</v>
      </c>
      <c r="E23" s="202">
        <v>2535.0555534246068</v>
      </c>
      <c r="F23" s="202">
        <v>435.30644531506971</v>
      </c>
      <c r="G23" s="202">
        <v>110.04818904109693</v>
      </c>
      <c r="H23" s="202">
        <v>5.7752109589041094</v>
      </c>
      <c r="I23" s="202">
        <v>0.8797260273972618</v>
      </c>
      <c r="J23" s="202">
        <v>82.042660273971933</v>
      </c>
      <c r="K23" s="202">
        <v>248.45465753424793</v>
      </c>
      <c r="L23" s="202">
        <v>248.45465753424793</v>
      </c>
      <c r="M23" s="202">
        <v>8.514246575342467</v>
      </c>
      <c r="N23" s="202">
        <v>8.514246575342467</v>
      </c>
      <c r="O23" s="202"/>
      <c r="P23" s="202">
        <v>1.4030774630136886</v>
      </c>
      <c r="Q23" s="202"/>
      <c r="R23" s="202">
        <v>3427.479766613651</v>
      </c>
      <c r="S23" s="203">
        <v>1.1065535581045247</v>
      </c>
    </row>
    <row r="24" spans="1:19" x14ac:dyDescent="0.25">
      <c r="A24" s="198" t="s">
        <v>23</v>
      </c>
      <c r="B24" s="199">
        <v>2455.5317808219015</v>
      </c>
      <c r="C24" s="199">
        <v>2360.3421917808055</v>
      </c>
      <c r="D24" s="199">
        <v>95.189589041095985</v>
      </c>
      <c r="E24" s="199">
        <v>2296.1053054794393</v>
      </c>
      <c r="F24" s="199">
        <v>198.8249191232876</v>
      </c>
      <c r="G24" s="199">
        <v>79.3534575342469</v>
      </c>
      <c r="H24" s="199">
        <v>17.254328767123287</v>
      </c>
      <c r="I24" s="199">
        <v>90.430109589041137</v>
      </c>
      <c r="J24" s="199">
        <v>69.912295890410206</v>
      </c>
      <c r="K24" s="199">
        <v>213.71604657534311</v>
      </c>
      <c r="L24" s="199">
        <v>213.71604657534311</v>
      </c>
      <c r="M24" s="199">
        <v>50.807046575342369</v>
      </c>
      <c r="N24" s="199">
        <v>50.807046575342369</v>
      </c>
      <c r="O24" s="199">
        <v>-6.1164383561643908E-2</v>
      </c>
      <c r="P24" s="199">
        <v>0.38852408219177986</v>
      </c>
      <c r="Q24" s="199"/>
      <c r="R24" s="199">
        <v>3016.7308692328652</v>
      </c>
      <c r="S24" s="200">
        <v>1.2285448279651745</v>
      </c>
    </row>
    <row r="25" spans="1:19" x14ac:dyDescent="0.25">
      <c r="A25" s="201" t="s">
        <v>310</v>
      </c>
      <c r="B25" s="202">
        <v>2455.5317808219629</v>
      </c>
      <c r="C25" s="202">
        <v>2360.3421917808669</v>
      </c>
      <c r="D25" s="202">
        <v>95.189589041095928</v>
      </c>
      <c r="E25" s="202">
        <v>2296.1053054794324</v>
      </c>
      <c r="F25" s="202">
        <v>198.82491912328715</v>
      </c>
      <c r="G25" s="202">
        <v>79.353457534246942</v>
      </c>
      <c r="H25" s="202">
        <v>17.254328767123287</v>
      </c>
      <c r="I25" s="202">
        <v>90.430109589041436</v>
      </c>
      <c r="J25" s="202">
        <v>69.912295890409709</v>
      </c>
      <c r="K25" s="202">
        <v>213.71604657534365</v>
      </c>
      <c r="L25" s="202">
        <v>213.71604657534365</v>
      </c>
      <c r="M25" s="202">
        <v>50.807046575342369</v>
      </c>
      <c r="N25" s="202">
        <v>50.807046575342369</v>
      </c>
      <c r="O25" s="202">
        <v>-6.1164383561643908E-2</v>
      </c>
      <c r="P25" s="202">
        <v>0.38852408219177986</v>
      </c>
      <c r="Q25" s="202"/>
      <c r="R25" s="202">
        <v>3016.7308692328565</v>
      </c>
      <c r="S25" s="203">
        <v>1.2285448279651416</v>
      </c>
    </row>
    <row r="26" spans="1:19" x14ac:dyDescent="0.25">
      <c r="A26" s="198" t="s">
        <v>24</v>
      </c>
      <c r="B26" s="199">
        <v>12.739726027397261</v>
      </c>
      <c r="C26" s="199">
        <v>12.739726027397261</v>
      </c>
      <c r="D26" s="199"/>
      <c r="E26" s="199"/>
      <c r="F26" s="199">
        <v>8.9750860273972588</v>
      </c>
      <c r="G26" s="199"/>
      <c r="H26" s="199">
        <v>0.56536986301369863</v>
      </c>
      <c r="I26" s="199"/>
      <c r="J26" s="199">
        <v>2.1698630136986301E-2</v>
      </c>
      <c r="K26" s="199"/>
      <c r="L26" s="199"/>
      <c r="M26" s="199"/>
      <c r="N26" s="199"/>
      <c r="O26" s="199"/>
      <c r="P26" s="199"/>
      <c r="Q26" s="199"/>
      <c r="R26" s="199">
        <v>9.5621545205479439</v>
      </c>
      <c r="S26" s="200">
        <v>0.7505777204301074</v>
      </c>
    </row>
    <row r="27" spans="1:19" x14ac:dyDescent="0.25">
      <c r="A27" s="201" t="s">
        <v>309</v>
      </c>
      <c r="B27" s="202">
        <v>12.739726027397285</v>
      </c>
      <c r="C27" s="202">
        <v>12.739726027397285</v>
      </c>
      <c r="D27" s="202"/>
      <c r="E27" s="202"/>
      <c r="F27" s="202">
        <v>8.9750860273972606</v>
      </c>
      <c r="G27" s="202"/>
      <c r="H27" s="202">
        <v>0.56536986301369863</v>
      </c>
      <c r="I27" s="202"/>
      <c r="J27" s="202">
        <v>2.1698630136986301E-2</v>
      </c>
      <c r="K27" s="202"/>
      <c r="L27" s="202"/>
      <c r="M27" s="202"/>
      <c r="N27" s="202"/>
      <c r="O27" s="202"/>
      <c r="P27" s="202"/>
      <c r="Q27" s="202"/>
      <c r="R27" s="202">
        <v>9.5621545205479457</v>
      </c>
      <c r="S27" s="203">
        <v>0.75057772043010607</v>
      </c>
    </row>
    <row r="28" spans="1:19" x14ac:dyDescent="0.25">
      <c r="A28" s="198" t="s">
        <v>471</v>
      </c>
      <c r="B28" s="199">
        <v>22.918219178082147</v>
      </c>
      <c r="C28" s="199"/>
      <c r="D28" s="199">
        <v>22.918219178082147</v>
      </c>
      <c r="E28" s="199"/>
      <c r="F28" s="199"/>
      <c r="G28" s="199"/>
      <c r="H28" s="199"/>
      <c r="I28" s="199">
        <v>21.772308219178086</v>
      </c>
      <c r="J28" s="199"/>
      <c r="K28" s="199"/>
      <c r="L28" s="199"/>
      <c r="M28" s="199"/>
      <c r="N28" s="199"/>
      <c r="O28" s="199"/>
      <c r="P28" s="199"/>
      <c r="Q28" s="199"/>
      <c r="R28" s="199">
        <v>21.772308219178086</v>
      </c>
      <c r="S28" s="200">
        <v>0.95000000000000207</v>
      </c>
    </row>
    <row r="29" spans="1:19" x14ac:dyDescent="0.25">
      <c r="A29" s="201" t="s">
        <v>317</v>
      </c>
      <c r="B29" s="202">
        <v>22.918219178082147</v>
      </c>
      <c r="C29" s="202"/>
      <c r="D29" s="202">
        <v>22.918219178082147</v>
      </c>
      <c r="E29" s="202"/>
      <c r="F29" s="202"/>
      <c r="G29" s="202"/>
      <c r="H29" s="202"/>
      <c r="I29" s="202">
        <v>21.772308219178086</v>
      </c>
      <c r="J29" s="202"/>
      <c r="K29" s="202"/>
      <c r="L29" s="202"/>
      <c r="M29" s="202"/>
      <c r="N29" s="202"/>
      <c r="O29" s="202"/>
      <c r="P29" s="202"/>
      <c r="Q29" s="202"/>
      <c r="R29" s="202">
        <v>21.772308219178086</v>
      </c>
      <c r="S29" s="203">
        <v>0.95000000000000207</v>
      </c>
    </row>
    <row r="30" spans="1:19" x14ac:dyDescent="0.25">
      <c r="A30" s="198" t="s">
        <v>25</v>
      </c>
      <c r="B30" s="199">
        <v>114.38082191780833</v>
      </c>
      <c r="C30" s="199">
        <v>114.38082191780833</v>
      </c>
      <c r="D30" s="199"/>
      <c r="E30" s="199">
        <v>111.4759999999997</v>
      </c>
      <c r="F30" s="199">
        <v>27.585073972602739</v>
      </c>
      <c r="G30" s="199"/>
      <c r="H30" s="199"/>
      <c r="I30" s="199"/>
      <c r="J30" s="199">
        <v>4.0647123287671212</v>
      </c>
      <c r="K30" s="199">
        <v>0.12191780821917808</v>
      </c>
      <c r="L30" s="199">
        <v>0.12191780821917808</v>
      </c>
      <c r="M30" s="199">
        <v>45.263342465753581</v>
      </c>
      <c r="N30" s="199">
        <v>45.263342465753581</v>
      </c>
      <c r="O30" s="199"/>
      <c r="P30" s="199"/>
      <c r="Q30" s="199"/>
      <c r="R30" s="199">
        <v>188.51104657534231</v>
      </c>
      <c r="S30" s="200">
        <v>1.6481001221586116</v>
      </c>
    </row>
    <row r="31" spans="1:19" x14ac:dyDescent="0.25">
      <c r="A31" s="201" t="s">
        <v>308</v>
      </c>
      <c r="B31" s="202">
        <v>114.38082191780842</v>
      </c>
      <c r="C31" s="202">
        <v>114.38082191780842</v>
      </c>
      <c r="D31" s="202"/>
      <c r="E31" s="202">
        <v>111.4759999999997</v>
      </c>
      <c r="F31" s="202">
        <v>27.585073972602935</v>
      </c>
      <c r="G31" s="202"/>
      <c r="H31" s="202"/>
      <c r="I31" s="202"/>
      <c r="J31" s="202">
        <v>4.064712328767123</v>
      </c>
      <c r="K31" s="202">
        <v>0.12191780821917808</v>
      </c>
      <c r="L31" s="202">
        <v>0.12191780821917808</v>
      </c>
      <c r="M31" s="202">
        <v>45.263342465753581</v>
      </c>
      <c r="N31" s="202">
        <v>45.263342465753581</v>
      </c>
      <c r="O31" s="202"/>
      <c r="P31" s="202"/>
      <c r="Q31" s="202"/>
      <c r="R31" s="202">
        <v>188.51104657534248</v>
      </c>
      <c r="S31" s="203">
        <v>1.6481001221586118</v>
      </c>
    </row>
    <row r="32" spans="1:19" x14ac:dyDescent="0.25">
      <c r="A32" s="198" t="s">
        <v>381</v>
      </c>
      <c r="B32" s="199">
        <v>23.331506849315097</v>
      </c>
      <c r="C32" s="199">
        <v>23.331506849315097</v>
      </c>
      <c r="D32" s="199"/>
      <c r="E32" s="199">
        <v>22.631561643835681</v>
      </c>
      <c r="F32" s="199"/>
      <c r="G32" s="199"/>
      <c r="H32" s="199"/>
      <c r="I32" s="199"/>
      <c r="J32" s="199">
        <v>1.1722191780821904</v>
      </c>
      <c r="K32" s="199"/>
      <c r="L32" s="199"/>
      <c r="M32" s="199">
        <v>16.889369863013691</v>
      </c>
      <c r="N32" s="199">
        <v>16.214517190000013</v>
      </c>
      <c r="O32" s="199"/>
      <c r="P32" s="199"/>
      <c r="Q32" s="199"/>
      <c r="R32" s="199">
        <v>40.018298011917878</v>
      </c>
      <c r="S32" s="200">
        <v>1.7152041773543927</v>
      </c>
    </row>
    <row r="33" spans="1:19" x14ac:dyDescent="0.25">
      <c r="A33" s="201" t="s">
        <v>307</v>
      </c>
      <c r="B33" s="202">
        <v>23.331506849315105</v>
      </c>
      <c r="C33" s="202">
        <v>23.331506849315105</v>
      </c>
      <c r="D33" s="202"/>
      <c r="E33" s="202">
        <v>22.631561643835681</v>
      </c>
      <c r="F33" s="202"/>
      <c r="G33" s="202"/>
      <c r="H33" s="202"/>
      <c r="I33" s="202"/>
      <c r="J33" s="202">
        <v>1.1722191780821904</v>
      </c>
      <c r="K33" s="202"/>
      <c r="L33" s="202"/>
      <c r="M33" s="202">
        <v>16.889369863013687</v>
      </c>
      <c r="N33" s="202">
        <v>16.214517190000013</v>
      </c>
      <c r="O33" s="202"/>
      <c r="P33" s="202"/>
      <c r="Q33" s="202"/>
      <c r="R33" s="202">
        <v>40.018298011917878</v>
      </c>
      <c r="S33" s="203">
        <v>1.715204177354392</v>
      </c>
    </row>
    <row r="34" spans="1:19" x14ac:dyDescent="0.25">
      <c r="A34" s="198" t="s">
        <v>128</v>
      </c>
      <c r="B34" s="199">
        <v>44.870547945205395</v>
      </c>
      <c r="C34" s="199">
        <v>44.870547945205395</v>
      </c>
      <c r="D34" s="199"/>
      <c r="E34" s="199"/>
      <c r="F34" s="199">
        <v>32.549095479452113</v>
      </c>
      <c r="G34" s="199"/>
      <c r="H34" s="199"/>
      <c r="I34" s="199"/>
      <c r="J34" s="199">
        <v>3.9821917808219177E-2</v>
      </c>
      <c r="K34" s="199">
        <v>0.85205479452054778</v>
      </c>
      <c r="L34" s="199">
        <v>0.85205479452054778</v>
      </c>
      <c r="M34" s="199"/>
      <c r="N34" s="199"/>
      <c r="O34" s="199"/>
      <c r="P34" s="199"/>
      <c r="Q34" s="199"/>
      <c r="R34" s="199">
        <v>33.44097219178088</v>
      </c>
      <c r="S34" s="200">
        <v>0.74527666193463959</v>
      </c>
    </row>
    <row r="35" spans="1:19" x14ac:dyDescent="0.25">
      <c r="A35" s="201" t="s">
        <v>306</v>
      </c>
      <c r="B35" s="202">
        <v>44.870547945205381</v>
      </c>
      <c r="C35" s="202">
        <v>44.870547945205381</v>
      </c>
      <c r="D35" s="202"/>
      <c r="E35" s="202"/>
      <c r="F35" s="202">
        <v>32.549095479452234</v>
      </c>
      <c r="G35" s="202"/>
      <c r="H35" s="202"/>
      <c r="I35" s="202"/>
      <c r="J35" s="202">
        <v>3.9821917808219177E-2</v>
      </c>
      <c r="K35" s="202">
        <v>0.85205479452054778</v>
      </c>
      <c r="L35" s="202">
        <v>0.85205479452054778</v>
      </c>
      <c r="M35" s="202"/>
      <c r="N35" s="202"/>
      <c r="O35" s="202"/>
      <c r="P35" s="202"/>
      <c r="Q35" s="202"/>
      <c r="R35" s="202">
        <v>33.440972191781</v>
      </c>
      <c r="S35" s="203">
        <v>0.74527666193464259</v>
      </c>
    </row>
    <row r="36" spans="1:19" x14ac:dyDescent="0.25">
      <c r="A36" s="198" t="s">
        <v>26</v>
      </c>
      <c r="B36" s="199">
        <v>174.13473972602696</v>
      </c>
      <c r="C36" s="199">
        <v>174.13473972602696</v>
      </c>
      <c r="D36" s="199"/>
      <c r="E36" s="199">
        <v>137.09864958904092</v>
      </c>
      <c r="F36" s="199">
        <v>20.269941123287698</v>
      </c>
      <c r="G36" s="199"/>
      <c r="H36" s="199">
        <v>1.0864383561643838</v>
      </c>
      <c r="I36" s="199"/>
      <c r="J36" s="199">
        <v>1.654191780821916</v>
      </c>
      <c r="K36" s="199">
        <v>4.4671232876712379</v>
      </c>
      <c r="L36" s="199">
        <v>4.4671232876712379</v>
      </c>
      <c r="M36" s="199">
        <v>13.667605479452</v>
      </c>
      <c r="N36" s="199">
        <v>13.667605479452</v>
      </c>
      <c r="O36" s="199"/>
      <c r="P36" s="199"/>
      <c r="Q36" s="199"/>
      <c r="R36" s="199">
        <v>178.24394961643816</v>
      </c>
      <c r="S36" s="200">
        <v>1.0235978753973869</v>
      </c>
    </row>
    <row r="37" spans="1:19" x14ac:dyDescent="0.25">
      <c r="A37" s="201" t="s">
        <v>305</v>
      </c>
      <c r="B37" s="202">
        <v>174.13473972602489</v>
      </c>
      <c r="C37" s="202">
        <v>174.13473972602489</v>
      </c>
      <c r="D37" s="202"/>
      <c r="E37" s="202">
        <v>137.09864958904049</v>
      </c>
      <c r="F37" s="202">
        <v>20.26994112328774</v>
      </c>
      <c r="G37" s="202"/>
      <c r="H37" s="202">
        <v>1.0864383561643838</v>
      </c>
      <c r="I37" s="202"/>
      <c r="J37" s="202">
        <v>1.6541917808219138</v>
      </c>
      <c r="K37" s="202">
        <v>4.4671232876712432</v>
      </c>
      <c r="L37" s="202">
        <v>4.4671232876712432</v>
      </c>
      <c r="M37" s="202">
        <v>13.667605479452</v>
      </c>
      <c r="N37" s="202">
        <v>13.667605479452</v>
      </c>
      <c r="O37" s="202"/>
      <c r="P37" s="202"/>
      <c r="Q37" s="202"/>
      <c r="R37" s="202">
        <v>178.24394961643779</v>
      </c>
      <c r="S37" s="203">
        <v>1.0235978753973971</v>
      </c>
    </row>
    <row r="38" spans="1:19" x14ac:dyDescent="0.25">
      <c r="A38" s="198" t="s">
        <v>27</v>
      </c>
      <c r="B38" s="199">
        <v>236.43232876712145</v>
      </c>
      <c r="C38" s="199">
        <v>236.43232876712145</v>
      </c>
      <c r="D38" s="199"/>
      <c r="E38" s="199">
        <v>319.61051506849623</v>
      </c>
      <c r="F38" s="199">
        <v>5.059915972602739</v>
      </c>
      <c r="G38" s="199"/>
      <c r="H38" s="199"/>
      <c r="I38" s="199"/>
      <c r="J38" s="199">
        <v>6.5182684931506936</v>
      </c>
      <c r="K38" s="199">
        <v>13.277808219178098</v>
      </c>
      <c r="L38" s="199">
        <v>13.277808219178098</v>
      </c>
      <c r="M38" s="199">
        <v>42.823627397259983</v>
      </c>
      <c r="N38" s="199">
        <v>42.823627397259983</v>
      </c>
      <c r="O38" s="199"/>
      <c r="P38" s="199"/>
      <c r="Q38" s="199"/>
      <c r="R38" s="199">
        <v>387.29013515068777</v>
      </c>
      <c r="S38" s="200">
        <v>1.6380591316348991</v>
      </c>
    </row>
    <row r="39" spans="1:19" x14ac:dyDescent="0.25">
      <c r="A39" s="201" t="s">
        <v>304</v>
      </c>
      <c r="B39" s="202">
        <v>236.4323287671196</v>
      </c>
      <c r="C39" s="202">
        <v>236.4323287671196</v>
      </c>
      <c r="D39" s="202"/>
      <c r="E39" s="202">
        <v>319.61051506849594</v>
      </c>
      <c r="F39" s="202">
        <v>5.0599159726027407</v>
      </c>
      <c r="G39" s="202"/>
      <c r="H39" s="202"/>
      <c r="I39" s="202"/>
      <c r="J39" s="202">
        <v>6.5182684931507051</v>
      </c>
      <c r="K39" s="202">
        <v>13.2778082191781</v>
      </c>
      <c r="L39" s="202">
        <v>13.2778082191781</v>
      </c>
      <c r="M39" s="202">
        <v>42.823627397259983</v>
      </c>
      <c r="N39" s="202">
        <v>42.823627397259983</v>
      </c>
      <c r="O39" s="202"/>
      <c r="P39" s="202"/>
      <c r="Q39" s="202"/>
      <c r="R39" s="202">
        <v>387.29013515068749</v>
      </c>
      <c r="S39" s="203">
        <v>1.63805913163491</v>
      </c>
    </row>
    <row r="40" spans="1:19" x14ac:dyDescent="0.25">
      <c r="A40" s="198" t="s">
        <v>143</v>
      </c>
      <c r="B40" s="199">
        <v>35.767123287671239</v>
      </c>
      <c r="C40" s="199">
        <v>35.767123287671239</v>
      </c>
      <c r="D40" s="199"/>
      <c r="E40" s="199"/>
      <c r="F40" s="199">
        <v>25.945471232876731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>
        <v>25.945471232876731</v>
      </c>
      <c r="S40" s="200">
        <v>0.72540000000000038</v>
      </c>
    </row>
    <row r="41" spans="1:19" x14ac:dyDescent="0.25">
      <c r="A41" s="201" t="s">
        <v>303</v>
      </c>
      <c r="B41" s="202">
        <v>35.767123287671382</v>
      </c>
      <c r="C41" s="202">
        <v>35.767123287671382</v>
      </c>
      <c r="D41" s="202"/>
      <c r="E41" s="202"/>
      <c r="F41" s="202">
        <v>25.945471232876908</v>
      </c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>
        <v>25.945471232876908</v>
      </c>
      <c r="S41" s="203">
        <v>0.72540000000000249</v>
      </c>
    </row>
    <row r="42" spans="1:19" x14ac:dyDescent="0.25">
      <c r="A42" s="198" t="s">
        <v>28</v>
      </c>
      <c r="B42" s="199">
        <v>9258.0117808212653</v>
      </c>
      <c r="C42" s="199">
        <v>9092.384383560995</v>
      </c>
      <c r="D42" s="199">
        <v>165.62739726027118</v>
      </c>
      <c r="E42" s="199">
        <v>7836.9107698642147</v>
      </c>
      <c r="F42" s="199">
        <v>689.06591917808453</v>
      </c>
      <c r="G42" s="199">
        <v>592.57301369863262</v>
      </c>
      <c r="H42" s="199">
        <v>234.16100821917581</v>
      </c>
      <c r="I42" s="199">
        <v>157.34602739726142</v>
      </c>
      <c r="J42" s="199">
        <v>165.7497863013725</v>
      </c>
      <c r="K42" s="199">
        <v>1011.9595561642921</v>
      </c>
      <c r="L42" s="199">
        <v>1011.9595561642921</v>
      </c>
      <c r="M42" s="199"/>
      <c r="N42" s="199"/>
      <c r="O42" s="199"/>
      <c r="P42" s="199">
        <v>22.560146284931356</v>
      </c>
      <c r="Q42" s="199"/>
      <c r="R42" s="199">
        <v>10710.326227107957</v>
      </c>
      <c r="S42" s="200">
        <v>1.156871095076307</v>
      </c>
    </row>
    <row r="43" spans="1:19" x14ac:dyDescent="0.25">
      <c r="A43" s="201" t="s">
        <v>302</v>
      </c>
      <c r="B43" s="202">
        <v>9258.0117808210671</v>
      </c>
      <c r="C43" s="202">
        <v>9092.3843835607968</v>
      </c>
      <c r="D43" s="202">
        <v>165.62739726027067</v>
      </c>
      <c r="E43" s="202">
        <v>7836.9107698653461</v>
      </c>
      <c r="F43" s="202">
        <v>689.06591917811465</v>
      </c>
      <c r="G43" s="202">
        <v>592.57301369864001</v>
      </c>
      <c r="H43" s="202">
        <v>234.16100821917581</v>
      </c>
      <c r="I43" s="202">
        <v>157.34602739726168</v>
      </c>
      <c r="J43" s="202">
        <v>165.749786301368</v>
      </c>
      <c r="K43" s="202">
        <v>1011.9595561640995</v>
      </c>
      <c r="L43" s="202">
        <v>1011.9595561640995</v>
      </c>
      <c r="M43" s="202"/>
      <c r="N43" s="202"/>
      <c r="O43" s="202"/>
      <c r="P43" s="202">
        <v>22.560146284931186</v>
      </c>
      <c r="Q43" s="202"/>
      <c r="R43" s="202">
        <v>10710.326227108939</v>
      </c>
      <c r="S43" s="203">
        <v>1.156871095076428</v>
      </c>
    </row>
    <row r="44" spans="1:19" x14ac:dyDescent="0.25">
      <c r="A44" s="198" t="s">
        <v>29</v>
      </c>
      <c r="B44" s="199">
        <v>60.781917808219085</v>
      </c>
      <c r="C44" s="199">
        <v>60.781917808219085</v>
      </c>
      <c r="D44" s="199"/>
      <c r="E44" s="199">
        <v>88.428805479451796</v>
      </c>
      <c r="F44" s="199"/>
      <c r="G44" s="199"/>
      <c r="H44" s="199"/>
      <c r="I44" s="199"/>
      <c r="J44" s="199">
        <v>0.74225753424657515</v>
      </c>
      <c r="K44" s="199">
        <v>0.6315068493150684</v>
      </c>
      <c r="L44" s="199">
        <v>0.6315068493150684</v>
      </c>
      <c r="M44" s="199"/>
      <c r="N44" s="199"/>
      <c r="O44" s="199"/>
      <c r="P44" s="199"/>
      <c r="Q44" s="199"/>
      <c r="R44" s="199">
        <v>89.802569863013446</v>
      </c>
      <c r="S44" s="200">
        <v>1.4774553535207822</v>
      </c>
    </row>
    <row r="45" spans="1:19" x14ac:dyDescent="0.25">
      <c r="A45" s="201" t="s">
        <v>299</v>
      </c>
      <c r="B45" s="202">
        <v>60.781917808218978</v>
      </c>
      <c r="C45" s="202">
        <v>60.781917808218978</v>
      </c>
      <c r="D45" s="202"/>
      <c r="E45" s="202">
        <v>88.428805479451825</v>
      </c>
      <c r="F45" s="202"/>
      <c r="G45" s="202"/>
      <c r="H45" s="202"/>
      <c r="I45" s="202"/>
      <c r="J45" s="202">
        <v>0.74225753424657692</v>
      </c>
      <c r="K45" s="202">
        <v>0.6315068493150684</v>
      </c>
      <c r="L45" s="202">
        <v>0.6315068493150684</v>
      </c>
      <c r="M45" s="202"/>
      <c r="N45" s="202"/>
      <c r="O45" s="202"/>
      <c r="P45" s="202"/>
      <c r="Q45" s="202"/>
      <c r="R45" s="202">
        <v>89.802569863013474</v>
      </c>
      <c r="S45" s="203">
        <v>1.4774553535207851</v>
      </c>
    </row>
    <row r="46" spans="1:19" x14ac:dyDescent="0.25">
      <c r="A46" s="198" t="s">
        <v>30</v>
      </c>
      <c r="B46" s="199">
        <v>2006.4323287671284</v>
      </c>
      <c r="C46" s="199">
        <v>2006.4323287671284</v>
      </c>
      <c r="D46" s="199"/>
      <c r="E46" s="199">
        <v>1519.9682301370551</v>
      </c>
      <c r="F46" s="199">
        <v>133.39260082191825</v>
      </c>
      <c r="G46" s="199"/>
      <c r="H46" s="199">
        <v>50.235643835616443</v>
      </c>
      <c r="I46" s="199"/>
      <c r="J46" s="199">
        <v>58.673424657533765</v>
      </c>
      <c r="K46" s="199">
        <v>88.501095890410184</v>
      </c>
      <c r="L46" s="199">
        <v>88.501095890410184</v>
      </c>
      <c r="M46" s="199"/>
      <c r="N46" s="199"/>
      <c r="O46" s="199">
        <v>-1.2848918630136983</v>
      </c>
      <c r="P46" s="199"/>
      <c r="Q46" s="199"/>
      <c r="R46" s="199">
        <v>1849.4861034795199</v>
      </c>
      <c r="S46" s="200">
        <v>0.92177846068496827</v>
      </c>
    </row>
    <row r="47" spans="1:19" x14ac:dyDescent="0.25">
      <c r="A47" s="201" t="s">
        <v>301</v>
      </c>
      <c r="B47" s="202">
        <v>2006.4323287671607</v>
      </c>
      <c r="C47" s="202">
        <v>2006.4323287671607</v>
      </c>
      <c r="D47" s="202"/>
      <c r="E47" s="202">
        <v>1519.9682301370678</v>
      </c>
      <c r="F47" s="202">
        <v>133.39260082191942</v>
      </c>
      <c r="G47" s="202"/>
      <c r="H47" s="202">
        <v>50.235643835616443</v>
      </c>
      <c r="I47" s="202"/>
      <c r="J47" s="202">
        <v>58.673424657533126</v>
      </c>
      <c r="K47" s="202">
        <v>88.501095890409445</v>
      </c>
      <c r="L47" s="202">
        <v>88.501095890409445</v>
      </c>
      <c r="M47" s="202"/>
      <c r="N47" s="202"/>
      <c r="O47" s="202">
        <v>-1.2848918630136983</v>
      </c>
      <c r="P47" s="202"/>
      <c r="Q47" s="202"/>
      <c r="R47" s="202">
        <v>1849.4861034795326</v>
      </c>
      <c r="S47" s="203">
        <v>0.92177846068495983</v>
      </c>
    </row>
    <row r="48" spans="1:19" x14ac:dyDescent="0.25">
      <c r="A48" s="198" t="s">
        <v>31</v>
      </c>
      <c r="B48" s="199">
        <v>338.06849315068393</v>
      </c>
      <c r="C48" s="199">
        <v>338.06849315068393</v>
      </c>
      <c r="D48" s="199"/>
      <c r="E48" s="199">
        <v>339.55747945205547</v>
      </c>
      <c r="F48" s="199">
        <v>92.800623287671272</v>
      </c>
      <c r="G48" s="199"/>
      <c r="H48" s="199"/>
      <c r="I48" s="199"/>
      <c r="J48" s="199">
        <v>7.5361643835616521</v>
      </c>
      <c r="K48" s="199">
        <v>23.505479452054811</v>
      </c>
      <c r="L48" s="199">
        <v>23.505479452054811</v>
      </c>
      <c r="M48" s="199">
        <v>47.565863013698532</v>
      </c>
      <c r="N48" s="199">
        <v>47.565863013698532</v>
      </c>
      <c r="O48" s="199"/>
      <c r="P48" s="199"/>
      <c r="Q48" s="199"/>
      <c r="R48" s="199">
        <v>510.96560958904172</v>
      </c>
      <c r="S48" s="200">
        <v>1.5114262936099581</v>
      </c>
    </row>
    <row r="49" spans="1:19" x14ac:dyDescent="0.25">
      <c r="A49" s="201" t="s">
        <v>300</v>
      </c>
      <c r="B49" s="202">
        <v>338.06849315067655</v>
      </c>
      <c r="C49" s="202">
        <v>338.06849315067655</v>
      </c>
      <c r="D49" s="202"/>
      <c r="E49" s="202">
        <v>339.5574794520553</v>
      </c>
      <c r="F49" s="202">
        <v>92.80062328767157</v>
      </c>
      <c r="G49" s="202"/>
      <c r="H49" s="202"/>
      <c r="I49" s="202"/>
      <c r="J49" s="202">
        <v>7.5361643835616592</v>
      </c>
      <c r="K49" s="202">
        <v>23.505479452054821</v>
      </c>
      <c r="L49" s="202">
        <v>23.505479452054821</v>
      </c>
      <c r="M49" s="202">
        <v>47.565863013698504</v>
      </c>
      <c r="N49" s="202">
        <v>47.565863013698504</v>
      </c>
      <c r="O49" s="202"/>
      <c r="P49" s="202"/>
      <c r="Q49" s="202"/>
      <c r="R49" s="202">
        <v>510.96560958904183</v>
      </c>
      <c r="S49" s="203">
        <v>1.5114262936099914</v>
      </c>
    </row>
    <row r="50" spans="1:19" x14ac:dyDescent="0.25">
      <c r="A50" s="198" t="s">
        <v>32</v>
      </c>
      <c r="B50" s="199">
        <v>3839.657945205523</v>
      </c>
      <c r="C50" s="199">
        <v>3801.5269863014132</v>
      </c>
      <c r="D50" s="199">
        <v>38.130958904109633</v>
      </c>
      <c r="E50" s="199">
        <v>3173.4899452054556</v>
      </c>
      <c r="F50" s="199">
        <v>480.68834708219009</v>
      </c>
      <c r="G50" s="199">
        <v>121.8287671232881</v>
      </c>
      <c r="H50" s="199">
        <v>19.513698630136979</v>
      </c>
      <c r="I50" s="199">
        <v>36.224410958904087</v>
      </c>
      <c r="J50" s="199">
        <v>93.948986301370354</v>
      </c>
      <c r="K50" s="199">
        <v>255.80547945205564</v>
      </c>
      <c r="L50" s="199">
        <v>255.80547945205564</v>
      </c>
      <c r="M50" s="199">
        <v>13.619835616438348</v>
      </c>
      <c r="N50" s="199">
        <v>13.619835616438348</v>
      </c>
      <c r="O50" s="199">
        <v>-4.5887412821917763</v>
      </c>
      <c r="P50" s="199">
        <v>1.4944164904109603</v>
      </c>
      <c r="Q50" s="199">
        <v>19.332909589041105</v>
      </c>
      <c r="R50" s="199">
        <v>4211.3580551671002</v>
      </c>
      <c r="S50" s="200">
        <v>1.0968055267594108</v>
      </c>
    </row>
    <row r="51" spans="1:19" x14ac:dyDescent="0.25">
      <c r="A51" s="201" t="s">
        <v>297</v>
      </c>
      <c r="B51" s="202">
        <v>3839.6579452054652</v>
      </c>
      <c r="C51" s="202">
        <v>3801.5269863013555</v>
      </c>
      <c r="D51" s="202">
        <v>38.130958904109633</v>
      </c>
      <c r="E51" s="202">
        <v>3173.4899452054206</v>
      </c>
      <c r="F51" s="202">
        <v>480.68834708218884</v>
      </c>
      <c r="G51" s="202">
        <v>121.82876712328823</v>
      </c>
      <c r="H51" s="202">
        <v>19.513698630136979</v>
      </c>
      <c r="I51" s="202">
        <v>36.224410958904087</v>
      </c>
      <c r="J51" s="202">
        <v>93.948986301368862</v>
      </c>
      <c r="K51" s="202">
        <v>255.80547945205666</v>
      </c>
      <c r="L51" s="202">
        <v>255.80547945205666</v>
      </c>
      <c r="M51" s="202">
        <v>13.619835616438349</v>
      </c>
      <c r="N51" s="202">
        <v>13.619835616438349</v>
      </c>
      <c r="O51" s="202">
        <v>-4.5887412821917763</v>
      </c>
      <c r="P51" s="202">
        <v>1.4944164904109689</v>
      </c>
      <c r="Q51" s="202">
        <v>19.332909589041105</v>
      </c>
      <c r="R51" s="202">
        <v>4211.358055167062</v>
      </c>
      <c r="S51" s="203">
        <v>1.0968055267594172</v>
      </c>
    </row>
    <row r="52" spans="1:19" x14ac:dyDescent="0.25">
      <c r="A52" s="198" t="s">
        <v>33</v>
      </c>
      <c r="B52" s="199">
        <v>493.29232876711779</v>
      </c>
      <c r="C52" s="199">
        <v>493.29232876711779</v>
      </c>
      <c r="D52" s="199"/>
      <c r="E52" s="199">
        <v>384.21267945206193</v>
      </c>
      <c r="F52" s="199">
        <v>190.2287405753427</v>
      </c>
      <c r="G52" s="199"/>
      <c r="H52" s="199"/>
      <c r="I52" s="199"/>
      <c r="J52" s="199">
        <v>4.9594520547945207</v>
      </c>
      <c r="K52" s="199">
        <v>11.818082191780853</v>
      </c>
      <c r="L52" s="199">
        <v>11.818082191780853</v>
      </c>
      <c r="M52" s="199">
        <v>55.119353424657277</v>
      </c>
      <c r="N52" s="199">
        <v>55.119353424657277</v>
      </c>
      <c r="O52" s="199"/>
      <c r="P52" s="199"/>
      <c r="Q52" s="199"/>
      <c r="R52" s="199">
        <v>646.33830769863732</v>
      </c>
      <c r="S52" s="200">
        <v>1.3102541231768725</v>
      </c>
    </row>
    <row r="53" spans="1:19" x14ac:dyDescent="0.25">
      <c r="A53" s="201" t="s">
        <v>296</v>
      </c>
      <c r="B53" s="202">
        <v>493.29232876712143</v>
      </c>
      <c r="C53" s="202">
        <v>493.29232876712143</v>
      </c>
      <c r="D53" s="202"/>
      <c r="E53" s="202">
        <v>384.21267945206381</v>
      </c>
      <c r="F53" s="202">
        <v>190.22874057534327</v>
      </c>
      <c r="G53" s="202"/>
      <c r="H53" s="202"/>
      <c r="I53" s="202"/>
      <c r="J53" s="202">
        <v>4.9594520547945278</v>
      </c>
      <c r="K53" s="202">
        <v>11.818082191780855</v>
      </c>
      <c r="L53" s="202">
        <v>11.818082191780855</v>
      </c>
      <c r="M53" s="202">
        <v>55.119353424657042</v>
      </c>
      <c r="N53" s="202">
        <v>55.119353424657042</v>
      </c>
      <c r="O53" s="202"/>
      <c r="P53" s="202"/>
      <c r="Q53" s="202"/>
      <c r="R53" s="202">
        <v>646.33830769863937</v>
      </c>
      <c r="S53" s="203">
        <v>1.3102541231768667</v>
      </c>
    </row>
    <row r="54" spans="1:19" x14ac:dyDescent="0.25">
      <c r="A54" s="198" t="s">
        <v>34</v>
      </c>
      <c r="B54" s="199">
        <v>42.323287671232897</v>
      </c>
      <c r="C54" s="199">
        <v>42.323287671232897</v>
      </c>
      <c r="D54" s="199"/>
      <c r="E54" s="199">
        <v>34.207780821917972</v>
      </c>
      <c r="F54" s="199">
        <v>5.1195353424657544</v>
      </c>
      <c r="G54" s="199"/>
      <c r="H54" s="199"/>
      <c r="I54" s="199"/>
      <c r="J54" s="199">
        <v>0.10323287671232875</v>
      </c>
      <c r="K54" s="199">
        <v>3.3904109589041136</v>
      </c>
      <c r="L54" s="199">
        <v>3.3904109589041136</v>
      </c>
      <c r="M54" s="199">
        <v>17.260657534246505</v>
      </c>
      <c r="N54" s="199">
        <v>16.934914189999994</v>
      </c>
      <c r="O54" s="199"/>
      <c r="P54" s="199"/>
      <c r="Q54" s="199"/>
      <c r="R54" s="199">
        <v>59.755874190000156</v>
      </c>
      <c r="S54" s="200">
        <v>1.4118911237279936</v>
      </c>
    </row>
    <row r="55" spans="1:19" x14ac:dyDescent="0.25">
      <c r="A55" s="201" t="s">
        <v>294</v>
      </c>
      <c r="B55" s="202">
        <v>42.32328767123294</v>
      </c>
      <c r="C55" s="202">
        <v>42.32328767123294</v>
      </c>
      <c r="D55" s="202"/>
      <c r="E55" s="202">
        <v>34.207780821917964</v>
      </c>
      <c r="F55" s="202">
        <v>5.1195353424657482</v>
      </c>
      <c r="G55" s="202"/>
      <c r="H55" s="202"/>
      <c r="I55" s="202"/>
      <c r="J55" s="202">
        <v>0.10323287671232871</v>
      </c>
      <c r="K55" s="202">
        <v>3.3904109589041136</v>
      </c>
      <c r="L55" s="202">
        <v>3.3904109589041136</v>
      </c>
      <c r="M55" s="202">
        <v>17.260657534246501</v>
      </c>
      <c r="N55" s="202">
        <v>16.934914189999994</v>
      </c>
      <c r="O55" s="202"/>
      <c r="P55" s="202"/>
      <c r="Q55" s="202"/>
      <c r="R55" s="202">
        <v>59.755874190000142</v>
      </c>
      <c r="S55" s="203">
        <v>1.4118911237279919</v>
      </c>
    </row>
    <row r="56" spans="1:19" x14ac:dyDescent="0.25">
      <c r="A56" s="198" t="s">
        <v>35</v>
      </c>
      <c r="B56" s="199">
        <v>1641.486246575326</v>
      </c>
      <c r="C56" s="199">
        <v>1641.3766575342302</v>
      </c>
      <c r="D56" s="199">
        <v>0.1095890410958904</v>
      </c>
      <c r="E56" s="199">
        <v>1102.3011487671085</v>
      </c>
      <c r="F56" s="199">
        <v>485.73118723561976</v>
      </c>
      <c r="G56" s="199">
        <v>20.024641095890409</v>
      </c>
      <c r="H56" s="199">
        <v>9.8610630136986366</v>
      </c>
      <c r="I56" s="199">
        <v>0.10410958904109589</v>
      </c>
      <c r="J56" s="199">
        <v>25.919922739726136</v>
      </c>
      <c r="K56" s="199">
        <v>65.795873972602834</v>
      </c>
      <c r="L56" s="199">
        <v>65.795873972602834</v>
      </c>
      <c r="M56" s="199">
        <v>15.058010958904113</v>
      </c>
      <c r="N56" s="199">
        <v>15.058010958904113</v>
      </c>
      <c r="O56" s="199"/>
      <c r="P56" s="199">
        <v>0.15169746082191746</v>
      </c>
      <c r="Q56" s="199">
        <v>1.2344109589041097</v>
      </c>
      <c r="R56" s="199">
        <v>1726.1820657923176</v>
      </c>
      <c r="S56" s="200">
        <v>1.051597032502523</v>
      </c>
    </row>
    <row r="57" spans="1:19" x14ac:dyDescent="0.25">
      <c r="A57" s="201" t="s">
        <v>293</v>
      </c>
      <c r="B57" s="202">
        <v>1641.4862465752035</v>
      </c>
      <c r="C57" s="202">
        <v>1641.3766575341076</v>
      </c>
      <c r="D57" s="202">
        <v>0.10958904109589046</v>
      </c>
      <c r="E57" s="202">
        <v>1102.3011487670922</v>
      </c>
      <c r="F57" s="202">
        <v>485.73118723561635</v>
      </c>
      <c r="G57" s="202">
        <v>20.024641095890409</v>
      </c>
      <c r="H57" s="202">
        <v>9.8610630136986366</v>
      </c>
      <c r="I57" s="202">
        <v>0.10410958904109589</v>
      </c>
      <c r="J57" s="202">
        <v>25.919922739726179</v>
      </c>
      <c r="K57" s="202">
        <v>65.795873972602706</v>
      </c>
      <c r="L57" s="202">
        <v>65.795873972602706</v>
      </c>
      <c r="M57" s="202">
        <v>15.058010958904113</v>
      </c>
      <c r="N57" s="202">
        <v>15.058010958904113</v>
      </c>
      <c r="O57" s="202"/>
      <c r="P57" s="202">
        <v>0.15169746082191746</v>
      </c>
      <c r="Q57" s="202">
        <v>1.2344109589041097</v>
      </c>
      <c r="R57" s="202">
        <v>1726.1820657922979</v>
      </c>
      <c r="S57" s="203">
        <v>1.0515970325025894</v>
      </c>
    </row>
    <row r="58" spans="1:19" x14ac:dyDescent="0.25">
      <c r="A58" s="198" t="s">
        <v>36</v>
      </c>
      <c r="B58" s="199">
        <v>104.76602739726032</v>
      </c>
      <c r="C58" s="199">
        <v>85.892054794520575</v>
      </c>
      <c r="D58" s="199">
        <v>18.873972602739737</v>
      </c>
      <c r="E58" s="199"/>
      <c r="F58" s="199">
        <v>62.306096547945252</v>
      </c>
      <c r="G58" s="199"/>
      <c r="H58" s="199"/>
      <c r="I58" s="199">
        <v>17.930273972602734</v>
      </c>
      <c r="J58" s="199">
        <v>0.1668493150684931</v>
      </c>
      <c r="K58" s="199"/>
      <c r="L58" s="199"/>
      <c r="M58" s="199"/>
      <c r="N58" s="199"/>
      <c r="O58" s="199"/>
      <c r="P58" s="199"/>
      <c r="Q58" s="199"/>
      <c r="R58" s="199">
        <v>80.403219835616468</v>
      </c>
      <c r="S58" s="200">
        <v>0.76745507902802323</v>
      </c>
    </row>
    <row r="59" spans="1:19" x14ac:dyDescent="0.25">
      <c r="A59" s="201" t="s">
        <v>292</v>
      </c>
      <c r="B59" s="202">
        <v>104.76602739726005</v>
      </c>
      <c r="C59" s="202">
        <v>85.892054794520305</v>
      </c>
      <c r="D59" s="202">
        <v>18.873972602739745</v>
      </c>
      <c r="E59" s="202"/>
      <c r="F59" s="202">
        <v>62.30609654794619</v>
      </c>
      <c r="G59" s="202"/>
      <c r="H59" s="202"/>
      <c r="I59" s="202">
        <v>17.930273972602748</v>
      </c>
      <c r="J59" s="202">
        <v>0.1668493150684931</v>
      </c>
      <c r="K59" s="202"/>
      <c r="L59" s="202"/>
      <c r="M59" s="202"/>
      <c r="N59" s="202"/>
      <c r="O59" s="202"/>
      <c r="P59" s="202"/>
      <c r="Q59" s="202"/>
      <c r="R59" s="202">
        <v>80.403219835617435</v>
      </c>
      <c r="S59" s="203">
        <v>0.76745507902803445</v>
      </c>
    </row>
    <row r="60" spans="1:19" x14ac:dyDescent="0.25">
      <c r="A60" s="198" t="s">
        <v>37</v>
      </c>
      <c r="B60" s="199">
        <v>55.701369863013703</v>
      </c>
      <c r="C60" s="199">
        <v>55.701369863013703</v>
      </c>
      <c r="D60" s="199"/>
      <c r="E60" s="199">
        <v>81.083698630136965</v>
      </c>
      <c r="F60" s="199"/>
      <c r="G60" s="199"/>
      <c r="H60" s="199"/>
      <c r="I60" s="199"/>
      <c r="J60" s="199">
        <v>1.1832328767123279</v>
      </c>
      <c r="K60" s="199"/>
      <c r="L60" s="199"/>
      <c r="M60" s="199"/>
      <c r="N60" s="199"/>
      <c r="O60" s="199"/>
      <c r="P60" s="199"/>
      <c r="Q60" s="199"/>
      <c r="R60" s="199">
        <v>82.266931506849289</v>
      </c>
      <c r="S60" s="200">
        <v>1.4769283360385612</v>
      </c>
    </row>
    <row r="61" spans="1:19" x14ac:dyDescent="0.25">
      <c r="A61" s="201" t="s">
        <v>289</v>
      </c>
      <c r="B61" s="202">
        <v>55.70136986301366</v>
      </c>
      <c r="C61" s="202">
        <v>55.70136986301366</v>
      </c>
      <c r="D61" s="202"/>
      <c r="E61" s="202">
        <v>81.083698630136965</v>
      </c>
      <c r="F61" s="202"/>
      <c r="G61" s="202"/>
      <c r="H61" s="202"/>
      <c r="I61" s="202"/>
      <c r="J61" s="202">
        <v>1.1832328767123264</v>
      </c>
      <c r="K61" s="202"/>
      <c r="L61" s="202"/>
      <c r="M61" s="202"/>
      <c r="N61" s="202"/>
      <c r="O61" s="202"/>
      <c r="P61" s="202"/>
      <c r="Q61" s="202"/>
      <c r="R61" s="202">
        <v>82.266931506849289</v>
      </c>
      <c r="S61" s="203">
        <v>1.4769283360385623</v>
      </c>
    </row>
    <row r="62" spans="1:19" x14ac:dyDescent="0.25">
      <c r="A62" s="198" t="s">
        <v>38</v>
      </c>
      <c r="B62" s="199">
        <v>2695.2061917808232</v>
      </c>
      <c r="C62" s="199">
        <v>2695.2061917808232</v>
      </c>
      <c r="D62" s="199"/>
      <c r="E62" s="199">
        <v>2376.2832441095816</v>
      </c>
      <c r="F62" s="199">
        <v>222.91061049863097</v>
      </c>
      <c r="G62" s="199">
        <v>204.53035342465748</v>
      </c>
      <c r="H62" s="199">
        <v>28.825002739725978</v>
      </c>
      <c r="I62" s="199"/>
      <c r="J62" s="199">
        <v>78.867041095890002</v>
      </c>
      <c r="K62" s="199">
        <v>156.0496958904105</v>
      </c>
      <c r="L62" s="199">
        <v>156.0496958904105</v>
      </c>
      <c r="M62" s="199">
        <v>97.126389041097269</v>
      </c>
      <c r="N62" s="199">
        <v>97.126389041097269</v>
      </c>
      <c r="O62" s="199"/>
      <c r="P62" s="199">
        <v>0.1100322493150685</v>
      </c>
      <c r="Q62" s="199">
        <v>54.480306849315134</v>
      </c>
      <c r="R62" s="199">
        <v>3219.1826758986235</v>
      </c>
      <c r="S62" s="200">
        <v>1.1944105373888247</v>
      </c>
    </row>
    <row r="63" spans="1:19" x14ac:dyDescent="0.25">
      <c r="A63" s="201" t="s">
        <v>288</v>
      </c>
      <c r="B63" s="202">
        <v>2695.2061917809215</v>
      </c>
      <c r="C63" s="202">
        <v>2695.2061917809215</v>
      </c>
      <c r="D63" s="202"/>
      <c r="E63" s="202">
        <v>2376.2832441095456</v>
      </c>
      <c r="F63" s="202">
        <v>222.91061049863026</v>
      </c>
      <c r="G63" s="202">
        <v>204.53035342465736</v>
      </c>
      <c r="H63" s="202">
        <v>28.825002739725978</v>
      </c>
      <c r="I63" s="202"/>
      <c r="J63" s="202">
        <v>78.867041095888382</v>
      </c>
      <c r="K63" s="202">
        <v>156.04969589040832</v>
      </c>
      <c r="L63" s="202">
        <v>156.04969589040832</v>
      </c>
      <c r="M63" s="202">
        <v>97.126389041097269</v>
      </c>
      <c r="N63" s="202">
        <v>97.126389041097269</v>
      </c>
      <c r="O63" s="202"/>
      <c r="P63" s="202">
        <v>0.1100322493150685</v>
      </c>
      <c r="Q63" s="202">
        <v>54.480306849315134</v>
      </c>
      <c r="R63" s="202">
        <v>3219.182675898584</v>
      </c>
      <c r="S63" s="203">
        <v>1.1944105373887675</v>
      </c>
    </row>
    <row r="64" spans="1:19" x14ac:dyDescent="0.25">
      <c r="A64" s="198" t="s">
        <v>39</v>
      </c>
      <c r="B64" s="199">
        <v>130.33150684931508</v>
      </c>
      <c r="C64" s="199">
        <v>130.33150684931508</v>
      </c>
      <c r="D64" s="199"/>
      <c r="E64" s="199"/>
      <c r="F64" s="199">
        <v>94.542475068493303</v>
      </c>
      <c r="G64" s="199"/>
      <c r="H64" s="199"/>
      <c r="I64" s="199"/>
      <c r="J64" s="199"/>
      <c r="K64" s="199">
        <v>0.29452054794520549</v>
      </c>
      <c r="L64" s="199">
        <v>0.29452054794520549</v>
      </c>
      <c r="M64" s="199"/>
      <c r="N64" s="199"/>
      <c r="O64" s="199"/>
      <c r="P64" s="199"/>
      <c r="Q64" s="199"/>
      <c r="R64" s="199">
        <v>94.836995616438514</v>
      </c>
      <c r="S64" s="200">
        <v>0.72765978011814036</v>
      </c>
    </row>
    <row r="65" spans="1:19" x14ac:dyDescent="0.25">
      <c r="A65" s="201" t="s">
        <v>287</v>
      </c>
      <c r="B65" s="202">
        <v>130.33150684931459</v>
      </c>
      <c r="C65" s="202">
        <v>130.33150684931459</v>
      </c>
      <c r="D65" s="202"/>
      <c r="E65" s="202"/>
      <c r="F65" s="202">
        <v>94.542475068493488</v>
      </c>
      <c r="G65" s="202"/>
      <c r="H65" s="202"/>
      <c r="I65" s="202"/>
      <c r="J65" s="202"/>
      <c r="K65" s="202">
        <v>0.29452054794520549</v>
      </c>
      <c r="L65" s="202">
        <v>0.29452054794520549</v>
      </c>
      <c r="M65" s="202"/>
      <c r="N65" s="202"/>
      <c r="O65" s="202"/>
      <c r="P65" s="202"/>
      <c r="Q65" s="202"/>
      <c r="R65" s="202">
        <v>94.836995616438699</v>
      </c>
      <c r="S65" s="203">
        <v>0.72765978011814447</v>
      </c>
    </row>
    <row r="66" spans="1:19" x14ac:dyDescent="0.25">
      <c r="A66" s="198" t="s">
        <v>441</v>
      </c>
      <c r="B66" s="199">
        <v>6262.2972602729615</v>
      </c>
      <c r="C66" s="199">
        <v>6256.053424656523</v>
      </c>
      <c r="D66" s="199">
        <v>6.2438356164383615</v>
      </c>
      <c r="E66" s="199">
        <v>5213.1062821918549</v>
      </c>
      <c r="F66" s="199">
        <v>881.69590573974824</v>
      </c>
      <c r="G66" s="199">
        <v>220.44741369862945</v>
      </c>
      <c r="H66" s="199">
        <v>10.562712328767118</v>
      </c>
      <c r="I66" s="199">
        <v>5.9316438356164305</v>
      </c>
      <c r="J66" s="199">
        <v>170.52023013698778</v>
      </c>
      <c r="K66" s="199">
        <v>358.42873972603115</v>
      </c>
      <c r="L66" s="199">
        <v>358.42873972603115</v>
      </c>
      <c r="M66" s="199">
        <v>98.676789041098417</v>
      </c>
      <c r="N66" s="199">
        <v>98.676789041098417</v>
      </c>
      <c r="O66" s="199"/>
      <c r="P66" s="199">
        <v>4.1238353219178006</v>
      </c>
      <c r="Q66" s="199">
        <v>1.0292602739726024</v>
      </c>
      <c r="R66" s="199">
        <v>6964.5228122946246</v>
      </c>
      <c r="S66" s="200">
        <v>1.1121354549035047</v>
      </c>
    </row>
    <row r="67" spans="1:19" x14ac:dyDescent="0.25">
      <c r="A67" s="201" t="s">
        <v>286</v>
      </c>
      <c r="B67" s="202">
        <v>6262.2972602728914</v>
      </c>
      <c r="C67" s="202">
        <v>6256.053424656453</v>
      </c>
      <c r="D67" s="202">
        <v>6.2438356164383704</v>
      </c>
      <c r="E67" s="202">
        <v>5213.106282192065</v>
      </c>
      <c r="F67" s="202">
        <v>881.69590573979622</v>
      </c>
      <c r="G67" s="202">
        <v>220.44741369862876</v>
      </c>
      <c r="H67" s="202">
        <v>10.562712328767118</v>
      </c>
      <c r="I67" s="202">
        <v>5.9316438356164234</v>
      </c>
      <c r="J67" s="202">
        <v>170.52023013698457</v>
      </c>
      <c r="K67" s="202">
        <v>358.4287397260502</v>
      </c>
      <c r="L67" s="202">
        <v>358.4287397260502</v>
      </c>
      <c r="M67" s="202">
        <v>98.676789041098871</v>
      </c>
      <c r="N67" s="202">
        <v>98.676789041098871</v>
      </c>
      <c r="O67" s="202"/>
      <c r="P67" s="202">
        <v>4.1238353219178361</v>
      </c>
      <c r="Q67" s="202">
        <v>1.0292602739726024</v>
      </c>
      <c r="R67" s="202">
        <v>6964.5228122948984</v>
      </c>
      <c r="S67" s="203">
        <v>1.1121354549035583</v>
      </c>
    </row>
    <row r="68" spans="1:19" x14ac:dyDescent="0.25">
      <c r="A68" s="198" t="s">
        <v>40</v>
      </c>
      <c r="B68" s="199">
        <v>230.56356164383598</v>
      </c>
      <c r="C68" s="199">
        <v>230.56356164383598</v>
      </c>
      <c r="D68" s="199"/>
      <c r="E68" s="199">
        <v>138.93296712328799</v>
      </c>
      <c r="F68" s="199">
        <v>63.468535397260389</v>
      </c>
      <c r="G68" s="199"/>
      <c r="H68" s="199"/>
      <c r="I68" s="199"/>
      <c r="J68" s="199">
        <v>1.8378410958904112</v>
      </c>
      <c r="K68" s="199">
        <v>14.923561643835626</v>
      </c>
      <c r="L68" s="199">
        <v>14.923561643835626</v>
      </c>
      <c r="M68" s="199">
        <v>4.4807671232876718</v>
      </c>
      <c r="N68" s="199">
        <v>4.4807671232876718</v>
      </c>
      <c r="O68" s="199"/>
      <c r="P68" s="199"/>
      <c r="Q68" s="199"/>
      <c r="R68" s="199">
        <v>223.64367238356209</v>
      </c>
      <c r="S68" s="200">
        <v>0.96998706469080564</v>
      </c>
    </row>
    <row r="69" spans="1:19" x14ac:dyDescent="0.25">
      <c r="A69" s="201" t="s">
        <v>291</v>
      </c>
      <c r="B69" s="202">
        <v>230.56356164383027</v>
      </c>
      <c r="C69" s="202">
        <v>230.56356164383027</v>
      </c>
      <c r="D69" s="202"/>
      <c r="E69" s="202">
        <v>138.93296712328834</v>
      </c>
      <c r="F69" s="202">
        <v>63.468535397261256</v>
      </c>
      <c r="G69" s="202"/>
      <c r="H69" s="202"/>
      <c r="I69" s="202"/>
      <c r="J69" s="202">
        <v>1.8378410958904088</v>
      </c>
      <c r="K69" s="202">
        <v>14.923561643835644</v>
      </c>
      <c r="L69" s="202">
        <v>14.923561643835644</v>
      </c>
      <c r="M69" s="202">
        <v>4.4807671232876718</v>
      </c>
      <c r="N69" s="202">
        <v>4.4807671232876718</v>
      </c>
      <c r="O69" s="202"/>
      <c r="P69" s="202"/>
      <c r="Q69" s="202"/>
      <c r="R69" s="202">
        <v>223.64367238356334</v>
      </c>
      <c r="S69" s="203">
        <v>0.96998706469083507</v>
      </c>
    </row>
    <row r="70" spans="1:19" x14ac:dyDescent="0.25">
      <c r="A70" s="198" t="s">
        <v>41</v>
      </c>
      <c r="B70" s="199">
        <v>118.94520547945196</v>
      </c>
      <c r="C70" s="199">
        <v>118.94520547945196</v>
      </c>
      <c r="D70" s="199"/>
      <c r="E70" s="199">
        <v>112.4695068493151</v>
      </c>
      <c r="F70" s="199"/>
      <c r="G70" s="199"/>
      <c r="H70" s="199">
        <v>4.6157808219178085</v>
      </c>
      <c r="I70" s="199"/>
      <c r="J70" s="199">
        <v>0.41999999999999993</v>
      </c>
      <c r="K70" s="199">
        <v>14.657534246575342</v>
      </c>
      <c r="L70" s="199">
        <v>14.657534246575342</v>
      </c>
      <c r="M70" s="199"/>
      <c r="N70" s="199"/>
      <c r="O70" s="199"/>
      <c r="P70" s="199"/>
      <c r="Q70" s="199"/>
      <c r="R70" s="199">
        <v>132.16282191780823</v>
      </c>
      <c r="S70" s="200">
        <v>1.1111235748013371</v>
      </c>
    </row>
    <row r="71" spans="1:19" x14ac:dyDescent="0.25">
      <c r="A71" s="201" t="s">
        <v>290</v>
      </c>
      <c r="B71" s="202">
        <v>118.94520547945184</v>
      </c>
      <c r="C71" s="202">
        <v>118.94520547945184</v>
      </c>
      <c r="D71" s="202"/>
      <c r="E71" s="202">
        <v>112.46950684931541</v>
      </c>
      <c r="F71" s="202"/>
      <c r="G71" s="202"/>
      <c r="H71" s="202">
        <v>4.6157808219178085</v>
      </c>
      <c r="I71" s="202"/>
      <c r="J71" s="202">
        <v>0.42000000000000032</v>
      </c>
      <c r="K71" s="202">
        <v>14.657534246575375</v>
      </c>
      <c r="L71" s="202">
        <v>14.657534246575375</v>
      </c>
      <c r="M71" s="202"/>
      <c r="N71" s="202"/>
      <c r="O71" s="202"/>
      <c r="P71" s="202"/>
      <c r="Q71" s="202"/>
      <c r="R71" s="202">
        <v>132.16282191780857</v>
      </c>
      <c r="S71" s="203">
        <v>1.1111235748013408</v>
      </c>
    </row>
    <row r="72" spans="1:19" x14ac:dyDescent="0.25">
      <c r="A72" s="198" t="s">
        <v>42</v>
      </c>
      <c r="B72" s="199">
        <v>544.95561643835674</v>
      </c>
      <c r="C72" s="199">
        <v>543.44493150684991</v>
      </c>
      <c r="D72" s="199">
        <v>1.5106849315068502</v>
      </c>
      <c r="E72" s="199">
        <v>575.11999726026738</v>
      </c>
      <c r="F72" s="199">
        <v>7.9755526027397252</v>
      </c>
      <c r="G72" s="199"/>
      <c r="H72" s="199">
        <v>10.282136986301371</v>
      </c>
      <c r="I72" s="199">
        <v>1.4351506849315052</v>
      </c>
      <c r="J72" s="199">
        <v>14.449808219178136</v>
      </c>
      <c r="K72" s="199">
        <v>18.290410958904097</v>
      </c>
      <c r="L72" s="199">
        <v>18.290410958904097</v>
      </c>
      <c r="M72" s="199">
        <v>74.888383561644062</v>
      </c>
      <c r="N72" s="199">
        <v>74.888383561644062</v>
      </c>
      <c r="O72" s="199">
        <v>-0.99697616438356229</v>
      </c>
      <c r="P72" s="199"/>
      <c r="Q72" s="199"/>
      <c r="R72" s="199">
        <v>701.44446410958278</v>
      </c>
      <c r="S72" s="200">
        <v>1.2871588858813559</v>
      </c>
    </row>
    <row r="73" spans="1:19" x14ac:dyDescent="0.25">
      <c r="A73" s="201" t="s">
        <v>285</v>
      </c>
      <c r="B73" s="202">
        <v>544.95561643835913</v>
      </c>
      <c r="C73" s="202">
        <v>543.4449315068523</v>
      </c>
      <c r="D73" s="202">
        <v>1.5106849315068502</v>
      </c>
      <c r="E73" s="202">
        <v>575.11999726027</v>
      </c>
      <c r="F73" s="202">
        <v>7.975552602739719</v>
      </c>
      <c r="G73" s="202"/>
      <c r="H73" s="202">
        <v>10.282136986301371</v>
      </c>
      <c r="I73" s="202">
        <v>1.4351506849315052</v>
      </c>
      <c r="J73" s="202">
        <v>14.449808219178035</v>
      </c>
      <c r="K73" s="202">
        <v>18.290410958904136</v>
      </c>
      <c r="L73" s="202">
        <v>18.290410958904136</v>
      </c>
      <c r="M73" s="202">
        <v>74.888383561644176</v>
      </c>
      <c r="N73" s="202">
        <v>74.888383561644176</v>
      </c>
      <c r="O73" s="202">
        <v>-0.99697616438356229</v>
      </c>
      <c r="P73" s="202"/>
      <c r="Q73" s="202"/>
      <c r="R73" s="202">
        <v>701.4444641095854</v>
      </c>
      <c r="S73" s="203">
        <v>1.287158885881355</v>
      </c>
    </row>
    <row r="74" spans="1:19" x14ac:dyDescent="0.25">
      <c r="A74" s="198" t="s">
        <v>43</v>
      </c>
      <c r="B74" s="199">
        <v>2977.9289315069113</v>
      </c>
      <c r="C74" s="199">
        <v>2975.4796164384184</v>
      </c>
      <c r="D74" s="199">
        <v>2.4493150684931511</v>
      </c>
      <c r="E74" s="199">
        <v>2315.8573958903653</v>
      </c>
      <c r="F74" s="199">
        <v>587.84395173699011</v>
      </c>
      <c r="G74" s="199">
        <v>55.098246575342479</v>
      </c>
      <c r="H74" s="199">
        <v>31.892767123287609</v>
      </c>
      <c r="I74" s="199">
        <v>2.3268493150684932</v>
      </c>
      <c r="J74" s="199">
        <v>76.851969863013679</v>
      </c>
      <c r="K74" s="199">
        <v>77.520164383560996</v>
      </c>
      <c r="L74" s="199">
        <v>77.520164383560996</v>
      </c>
      <c r="M74" s="199">
        <v>169.58624657534398</v>
      </c>
      <c r="N74" s="199">
        <v>169.58624657534398</v>
      </c>
      <c r="O74" s="199">
        <v>-0.3725177424657532</v>
      </c>
      <c r="P74" s="199">
        <v>0.66658680000000037</v>
      </c>
      <c r="Q74" s="199"/>
      <c r="R74" s="199">
        <v>3317.2716605205069</v>
      </c>
      <c r="S74" s="200">
        <v>1.1139525948464712</v>
      </c>
    </row>
    <row r="75" spans="1:19" x14ac:dyDescent="0.25">
      <c r="A75" s="201" t="s">
        <v>284</v>
      </c>
      <c r="B75" s="202">
        <v>2977.9289315068222</v>
      </c>
      <c r="C75" s="202">
        <v>2975.4796164383292</v>
      </c>
      <c r="D75" s="202">
        <v>2.4493150684931506</v>
      </c>
      <c r="E75" s="202">
        <v>2315.8573958903598</v>
      </c>
      <c r="F75" s="202">
        <v>587.84395173701068</v>
      </c>
      <c r="G75" s="202">
        <v>55.0982465753425</v>
      </c>
      <c r="H75" s="202">
        <v>31.892767123287609</v>
      </c>
      <c r="I75" s="202">
        <v>2.3268493150684932</v>
      </c>
      <c r="J75" s="202">
        <v>76.851969863012286</v>
      </c>
      <c r="K75" s="202">
        <v>77.520164383560427</v>
      </c>
      <c r="L75" s="202">
        <v>77.520164383560427</v>
      </c>
      <c r="M75" s="202">
        <v>169.58624657534401</v>
      </c>
      <c r="N75" s="202">
        <v>169.58624657534401</v>
      </c>
      <c r="O75" s="202">
        <v>-0.3725177424657532</v>
      </c>
      <c r="P75" s="202">
        <v>0.66658679999999881</v>
      </c>
      <c r="Q75" s="202"/>
      <c r="R75" s="202">
        <v>3317.2716605205196</v>
      </c>
      <c r="S75" s="203">
        <v>1.1139525948465101</v>
      </c>
    </row>
    <row r="76" spans="1:19" x14ac:dyDescent="0.25">
      <c r="A76" s="198" t="s">
        <v>44</v>
      </c>
      <c r="B76" s="199">
        <v>89.185205479451994</v>
      </c>
      <c r="C76" s="199">
        <v>89.185205479451994</v>
      </c>
      <c r="D76" s="199"/>
      <c r="E76" s="199">
        <v>67.099019178082244</v>
      </c>
      <c r="F76" s="199">
        <v>14.394718356164384</v>
      </c>
      <c r="G76" s="199"/>
      <c r="H76" s="199">
        <v>0.25736986301369863</v>
      </c>
      <c r="I76" s="199"/>
      <c r="J76" s="199">
        <v>1.1667945205479449</v>
      </c>
      <c r="K76" s="199"/>
      <c r="L76" s="199"/>
      <c r="M76" s="199">
        <v>21.650712328767131</v>
      </c>
      <c r="N76" s="199">
        <v>21.650712328767131</v>
      </c>
      <c r="O76" s="199"/>
      <c r="P76" s="199"/>
      <c r="Q76" s="199"/>
      <c r="R76" s="199">
        <v>104.56861424657539</v>
      </c>
      <c r="S76" s="200">
        <v>1.1724883480889405</v>
      </c>
    </row>
    <row r="77" spans="1:19" x14ac:dyDescent="0.25">
      <c r="A77" s="201" t="s">
        <v>283</v>
      </c>
      <c r="B77" s="202">
        <v>89.18520547945198</v>
      </c>
      <c r="C77" s="202">
        <v>89.18520547945198</v>
      </c>
      <c r="D77" s="202"/>
      <c r="E77" s="202">
        <v>67.099019178082301</v>
      </c>
      <c r="F77" s="202">
        <v>14.394718356164363</v>
      </c>
      <c r="G77" s="202"/>
      <c r="H77" s="202">
        <v>0.25736986301369863</v>
      </c>
      <c r="I77" s="202"/>
      <c r="J77" s="202">
        <v>1.1667945205479449</v>
      </c>
      <c r="K77" s="202"/>
      <c r="L77" s="202"/>
      <c r="M77" s="202">
        <v>21.650712328767131</v>
      </c>
      <c r="N77" s="202">
        <v>21.650712328767131</v>
      </c>
      <c r="O77" s="202"/>
      <c r="P77" s="202"/>
      <c r="Q77" s="202"/>
      <c r="R77" s="202">
        <v>104.56861424657542</v>
      </c>
      <c r="S77" s="203">
        <v>1.172488348088941</v>
      </c>
    </row>
    <row r="78" spans="1:19" x14ac:dyDescent="0.25">
      <c r="A78" s="198" t="s">
        <v>45</v>
      </c>
      <c r="B78" s="199">
        <v>97.360821917808281</v>
      </c>
      <c r="C78" s="199">
        <v>97.360821917808281</v>
      </c>
      <c r="D78" s="199"/>
      <c r="E78" s="199">
        <v>91.806380821918111</v>
      </c>
      <c r="F78" s="199">
        <v>0.59423178082191774</v>
      </c>
      <c r="G78" s="199"/>
      <c r="H78" s="199">
        <v>2.9196712328767123</v>
      </c>
      <c r="I78" s="199"/>
      <c r="J78" s="199">
        <v>1.5882246575342471</v>
      </c>
      <c r="K78" s="199">
        <v>6.9347945205479506</v>
      </c>
      <c r="L78" s="199">
        <v>6.9347945205479506</v>
      </c>
      <c r="M78" s="199">
        <v>19.934772602739748</v>
      </c>
      <c r="N78" s="199">
        <v>19.934772602739748</v>
      </c>
      <c r="O78" s="199"/>
      <c r="P78" s="199"/>
      <c r="Q78" s="199"/>
      <c r="R78" s="199">
        <v>123.77807561643868</v>
      </c>
      <c r="S78" s="200">
        <v>1.2713335115528479</v>
      </c>
    </row>
    <row r="79" spans="1:19" x14ac:dyDescent="0.25">
      <c r="A79" s="201" t="s">
        <v>282</v>
      </c>
      <c r="B79" s="202">
        <v>97.360821917808423</v>
      </c>
      <c r="C79" s="202">
        <v>97.360821917808423</v>
      </c>
      <c r="D79" s="202"/>
      <c r="E79" s="202">
        <v>91.806380821918154</v>
      </c>
      <c r="F79" s="202">
        <v>0.59423178082191774</v>
      </c>
      <c r="G79" s="202"/>
      <c r="H79" s="202">
        <v>2.9196712328767123</v>
      </c>
      <c r="I79" s="202"/>
      <c r="J79" s="202">
        <v>1.588224657534246</v>
      </c>
      <c r="K79" s="202">
        <v>6.9347945205479569</v>
      </c>
      <c r="L79" s="202">
        <v>6.9347945205479569</v>
      </c>
      <c r="M79" s="202">
        <v>19.934772602739748</v>
      </c>
      <c r="N79" s="202">
        <v>19.934772602739748</v>
      </c>
      <c r="O79" s="202"/>
      <c r="P79" s="202"/>
      <c r="Q79" s="202"/>
      <c r="R79" s="202">
        <v>123.77807561643871</v>
      </c>
      <c r="S79" s="203">
        <v>1.2713335115528464</v>
      </c>
    </row>
    <row r="80" spans="1:19" x14ac:dyDescent="0.25">
      <c r="A80" s="198" t="s">
        <v>46</v>
      </c>
      <c r="B80" s="199">
        <v>66.959178082191855</v>
      </c>
      <c r="C80" s="199">
        <v>35.217260273972656</v>
      </c>
      <c r="D80" s="199">
        <v>31.741917808219199</v>
      </c>
      <c r="E80" s="199"/>
      <c r="F80" s="199">
        <v>31.769490493150766</v>
      </c>
      <c r="G80" s="199"/>
      <c r="H80" s="199"/>
      <c r="I80" s="199">
        <v>30.154821917808295</v>
      </c>
      <c r="J80" s="199"/>
      <c r="K80" s="199"/>
      <c r="L80" s="199"/>
      <c r="M80" s="199"/>
      <c r="N80" s="199"/>
      <c r="O80" s="199"/>
      <c r="P80" s="199"/>
      <c r="Q80" s="199"/>
      <c r="R80" s="199">
        <v>61.924312410959061</v>
      </c>
      <c r="S80" s="200">
        <v>0.92480693736932473</v>
      </c>
    </row>
    <row r="81" spans="1:19" x14ac:dyDescent="0.25">
      <c r="A81" s="201" t="s">
        <v>281</v>
      </c>
      <c r="B81" s="202">
        <v>66.959178082191997</v>
      </c>
      <c r="C81" s="202">
        <v>35.217260273972798</v>
      </c>
      <c r="D81" s="202">
        <v>31.741917808219199</v>
      </c>
      <c r="E81" s="202"/>
      <c r="F81" s="202">
        <v>31.769490493150908</v>
      </c>
      <c r="G81" s="202"/>
      <c r="H81" s="202"/>
      <c r="I81" s="202">
        <v>30.154821917808295</v>
      </c>
      <c r="J81" s="202"/>
      <c r="K81" s="202"/>
      <c r="L81" s="202"/>
      <c r="M81" s="202"/>
      <c r="N81" s="202"/>
      <c r="O81" s="202"/>
      <c r="P81" s="202"/>
      <c r="Q81" s="202"/>
      <c r="R81" s="202">
        <v>61.924312410959203</v>
      </c>
      <c r="S81" s="203">
        <v>0.92480693736932484</v>
      </c>
    </row>
    <row r="82" spans="1:19" x14ac:dyDescent="0.25">
      <c r="A82" s="198" t="s">
        <v>47</v>
      </c>
      <c r="B82" s="199">
        <v>10.769863013698629</v>
      </c>
      <c r="C82" s="199">
        <v>10.769863013698629</v>
      </c>
      <c r="D82" s="199"/>
      <c r="E82" s="199"/>
      <c r="F82" s="199">
        <v>7.5222986301369872</v>
      </c>
      <c r="G82" s="199"/>
      <c r="H82" s="199">
        <v>0.61599999999999999</v>
      </c>
      <c r="I82" s="199"/>
      <c r="J82" s="199">
        <v>0.11260273972602736</v>
      </c>
      <c r="K82" s="199"/>
      <c r="L82" s="199"/>
      <c r="M82" s="199"/>
      <c r="N82" s="199"/>
      <c r="O82" s="199"/>
      <c r="P82" s="199"/>
      <c r="Q82" s="199"/>
      <c r="R82" s="199">
        <v>8.2509013698630138</v>
      </c>
      <c r="S82" s="200">
        <v>0.76611015008903594</v>
      </c>
    </row>
    <row r="83" spans="1:19" x14ac:dyDescent="0.25">
      <c r="A83" s="201" t="s">
        <v>280</v>
      </c>
      <c r="B83" s="202">
        <v>10.76986301369865</v>
      </c>
      <c r="C83" s="202">
        <v>10.76986301369865</v>
      </c>
      <c r="D83" s="202"/>
      <c r="E83" s="202"/>
      <c r="F83" s="202">
        <v>7.5222986301369756</v>
      </c>
      <c r="G83" s="202"/>
      <c r="H83" s="202">
        <v>0.61599999999999999</v>
      </c>
      <c r="I83" s="202"/>
      <c r="J83" s="202">
        <v>0.11260273972602736</v>
      </c>
      <c r="K83" s="202"/>
      <c r="L83" s="202"/>
      <c r="M83" s="202"/>
      <c r="N83" s="202"/>
      <c r="O83" s="202"/>
      <c r="P83" s="202"/>
      <c r="Q83" s="202"/>
      <c r="R83" s="202">
        <v>8.2509013698630032</v>
      </c>
      <c r="S83" s="203">
        <v>0.76611015008903349</v>
      </c>
    </row>
    <row r="84" spans="1:19" x14ac:dyDescent="0.25">
      <c r="A84" s="198" t="s">
        <v>48</v>
      </c>
      <c r="B84" s="199">
        <v>89.564383561644092</v>
      </c>
      <c r="C84" s="199">
        <v>80.986301369863256</v>
      </c>
      <c r="D84" s="199">
        <v>8.5780821917808368</v>
      </c>
      <c r="E84" s="199">
        <v>86.65534246575352</v>
      </c>
      <c r="F84" s="199"/>
      <c r="G84" s="199"/>
      <c r="H84" s="199"/>
      <c r="I84" s="199">
        <v>8.1491780821917814</v>
      </c>
      <c r="J84" s="199"/>
      <c r="K84" s="199"/>
      <c r="L84" s="199"/>
      <c r="M84" s="199"/>
      <c r="N84" s="199"/>
      <c r="O84" s="199"/>
      <c r="P84" s="199"/>
      <c r="Q84" s="199"/>
      <c r="R84" s="199">
        <v>94.804520547945302</v>
      </c>
      <c r="S84" s="200">
        <v>1.0585069285124327</v>
      </c>
    </row>
    <row r="85" spans="1:19" x14ac:dyDescent="0.25">
      <c r="A85" s="201" t="s">
        <v>278</v>
      </c>
      <c r="B85" s="202">
        <v>89.564383561644192</v>
      </c>
      <c r="C85" s="202">
        <v>80.986301369863355</v>
      </c>
      <c r="D85" s="202">
        <v>8.5780821917808368</v>
      </c>
      <c r="E85" s="202">
        <v>86.65534246575362</v>
      </c>
      <c r="F85" s="202"/>
      <c r="G85" s="202"/>
      <c r="H85" s="202"/>
      <c r="I85" s="202">
        <v>8.1491780821917814</v>
      </c>
      <c r="J85" s="202"/>
      <c r="K85" s="202"/>
      <c r="L85" s="202"/>
      <c r="M85" s="202"/>
      <c r="N85" s="202"/>
      <c r="O85" s="202"/>
      <c r="P85" s="202"/>
      <c r="Q85" s="202"/>
      <c r="R85" s="202">
        <v>94.804520547945401</v>
      </c>
      <c r="S85" s="203">
        <v>1.0585069285124327</v>
      </c>
    </row>
    <row r="86" spans="1:19" x14ac:dyDescent="0.25">
      <c r="A86" s="198" t="s">
        <v>49</v>
      </c>
      <c r="B86" s="199">
        <v>2511.2446575342583</v>
      </c>
      <c r="C86" s="199">
        <v>2462.2994520548064</v>
      </c>
      <c r="D86" s="199">
        <v>48.945205479452071</v>
      </c>
      <c r="E86" s="199">
        <v>2072.776104109535</v>
      </c>
      <c r="F86" s="199">
        <v>396.65258013698838</v>
      </c>
      <c r="G86" s="199">
        <v>38.414772602739731</v>
      </c>
      <c r="H86" s="199">
        <v>71.947534246575529</v>
      </c>
      <c r="I86" s="199">
        <v>46.497945205479496</v>
      </c>
      <c r="J86" s="199">
        <v>64.401320547944621</v>
      </c>
      <c r="K86" s="199">
        <v>131.29389041095666</v>
      </c>
      <c r="L86" s="199">
        <v>131.29389041095666</v>
      </c>
      <c r="M86" s="199">
        <v>95.618909589043781</v>
      </c>
      <c r="N86" s="199">
        <v>95.618909589043781</v>
      </c>
      <c r="O86" s="199"/>
      <c r="P86" s="199">
        <v>1.1358067068493154</v>
      </c>
      <c r="Q86" s="199">
        <v>1.9761095890410962</v>
      </c>
      <c r="R86" s="199">
        <v>2920.7149731451532</v>
      </c>
      <c r="S86" s="200">
        <v>1.1630547284122212</v>
      </c>
    </row>
    <row r="87" spans="1:19" x14ac:dyDescent="0.25">
      <c r="A87" s="201" t="s">
        <v>277</v>
      </c>
      <c r="B87" s="202">
        <v>2511.2446575342792</v>
      </c>
      <c r="C87" s="202">
        <v>2462.2994520548273</v>
      </c>
      <c r="D87" s="202">
        <v>48.945205479452142</v>
      </c>
      <c r="E87" s="202">
        <v>2072.7761041095368</v>
      </c>
      <c r="F87" s="202">
        <v>396.65258013698264</v>
      </c>
      <c r="G87" s="202">
        <v>38.414772602739731</v>
      </c>
      <c r="H87" s="202">
        <v>71.947534246575529</v>
      </c>
      <c r="I87" s="202">
        <v>46.497945205479979</v>
      </c>
      <c r="J87" s="202">
        <v>64.401320547943627</v>
      </c>
      <c r="K87" s="202">
        <v>131.29389041095465</v>
      </c>
      <c r="L87" s="202">
        <v>131.29389041095465</v>
      </c>
      <c r="M87" s="202">
        <v>95.618909589043781</v>
      </c>
      <c r="N87" s="202">
        <v>95.618909589043781</v>
      </c>
      <c r="O87" s="202"/>
      <c r="P87" s="202">
        <v>1.1358067068493156</v>
      </c>
      <c r="Q87" s="202">
        <v>1.9761095890410962</v>
      </c>
      <c r="R87" s="202">
        <v>2920.7149731451477</v>
      </c>
      <c r="S87" s="203">
        <v>1.1630547284122112</v>
      </c>
    </row>
    <row r="88" spans="1:19" x14ac:dyDescent="0.25">
      <c r="A88" s="198" t="s">
        <v>50</v>
      </c>
      <c r="B88" s="199">
        <v>51.469589041095915</v>
      </c>
      <c r="C88" s="199">
        <v>51.469589041095915</v>
      </c>
      <c r="D88" s="199"/>
      <c r="E88" s="199">
        <v>75.145599999999817</v>
      </c>
      <c r="F88" s="199"/>
      <c r="G88" s="199"/>
      <c r="H88" s="199"/>
      <c r="I88" s="199"/>
      <c r="J88" s="199">
        <v>1.2931068493150677</v>
      </c>
      <c r="K88" s="199"/>
      <c r="L88" s="199"/>
      <c r="M88" s="199"/>
      <c r="N88" s="199"/>
      <c r="O88" s="199"/>
      <c r="P88" s="199"/>
      <c r="Q88" s="199"/>
      <c r="R88" s="199">
        <v>76.438706849314883</v>
      </c>
      <c r="S88" s="200">
        <v>1.4851237065110887</v>
      </c>
    </row>
    <row r="89" spans="1:19" x14ac:dyDescent="0.25">
      <c r="A89" s="201" t="s">
        <v>267</v>
      </c>
      <c r="B89" s="202">
        <v>51.469589041095894</v>
      </c>
      <c r="C89" s="202">
        <v>51.469589041095894</v>
      </c>
      <c r="D89" s="202"/>
      <c r="E89" s="202">
        <v>75.145599999999916</v>
      </c>
      <c r="F89" s="202"/>
      <c r="G89" s="202"/>
      <c r="H89" s="202"/>
      <c r="I89" s="202"/>
      <c r="J89" s="202">
        <v>1.2931068493150653</v>
      </c>
      <c r="K89" s="202"/>
      <c r="L89" s="202"/>
      <c r="M89" s="202"/>
      <c r="N89" s="202"/>
      <c r="O89" s="202"/>
      <c r="P89" s="202"/>
      <c r="Q89" s="202"/>
      <c r="R89" s="202">
        <v>76.438706849314983</v>
      </c>
      <c r="S89" s="203">
        <v>1.4851237065110914</v>
      </c>
    </row>
    <row r="90" spans="1:19" x14ac:dyDescent="0.25">
      <c r="A90" s="198" t="s">
        <v>51</v>
      </c>
      <c r="B90" s="199">
        <v>2911.168630137046</v>
      </c>
      <c r="C90" s="199">
        <v>2889.6836986301964</v>
      </c>
      <c r="D90" s="199">
        <v>21.484931506849314</v>
      </c>
      <c r="E90" s="199">
        <v>2522.4446561643226</v>
      </c>
      <c r="F90" s="199">
        <v>436.44005926027694</v>
      </c>
      <c r="G90" s="199">
        <v>78.871627397260411</v>
      </c>
      <c r="H90" s="199">
        <v>17.087671232876708</v>
      </c>
      <c r="I90" s="199">
        <v>20.410684931506847</v>
      </c>
      <c r="J90" s="199">
        <v>81.329983561643587</v>
      </c>
      <c r="K90" s="199">
        <v>232.35779726027548</v>
      </c>
      <c r="L90" s="199">
        <v>232.35779726027548</v>
      </c>
      <c r="M90" s="199">
        <v>118.00562191780945</v>
      </c>
      <c r="N90" s="199">
        <v>118.00562191780945</v>
      </c>
      <c r="O90" s="199"/>
      <c r="P90" s="199">
        <v>1.0926587835616433</v>
      </c>
      <c r="Q90" s="199"/>
      <c r="R90" s="199">
        <v>3508.0407605095347</v>
      </c>
      <c r="S90" s="200">
        <v>1.2050283601552774</v>
      </c>
    </row>
    <row r="91" spans="1:19" x14ac:dyDescent="0.25">
      <c r="A91" s="201" t="s">
        <v>266</v>
      </c>
      <c r="B91" s="202">
        <v>2911.1686301371351</v>
      </c>
      <c r="C91" s="202">
        <v>2889.6836986302856</v>
      </c>
      <c r="D91" s="202">
        <v>21.484931506849314</v>
      </c>
      <c r="E91" s="202">
        <v>2522.4446561643126</v>
      </c>
      <c r="F91" s="202">
        <v>436.44005926027063</v>
      </c>
      <c r="G91" s="202">
        <v>78.871627397260639</v>
      </c>
      <c r="H91" s="202">
        <v>17.087671232876708</v>
      </c>
      <c r="I91" s="202">
        <v>20.410684931506857</v>
      </c>
      <c r="J91" s="202">
        <v>81.329983561642834</v>
      </c>
      <c r="K91" s="202">
        <v>232.35779726027536</v>
      </c>
      <c r="L91" s="202">
        <v>232.35779726027536</v>
      </c>
      <c r="M91" s="202">
        <v>118.00562191780962</v>
      </c>
      <c r="N91" s="202">
        <v>118.00562191780962</v>
      </c>
      <c r="O91" s="202"/>
      <c r="P91" s="202">
        <v>1.0926587835616448</v>
      </c>
      <c r="Q91" s="202"/>
      <c r="R91" s="202">
        <v>3508.0407605095161</v>
      </c>
      <c r="S91" s="203">
        <v>1.2050283601552358</v>
      </c>
    </row>
    <row r="92" spans="1:19" x14ac:dyDescent="0.25">
      <c r="A92" s="198" t="s">
        <v>52</v>
      </c>
      <c r="B92" s="199">
        <v>6493.1991780818144</v>
      </c>
      <c r="C92" s="199">
        <v>6492.0923287667456</v>
      </c>
      <c r="D92" s="199">
        <v>1.106849315068493</v>
      </c>
      <c r="E92" s="199">
        <v>5598.230850685065</v>
      </c>
      <c r="F92" s="199">
        <v>734.63123860274686</v>
      </c>
      <c r="G92" s="199">
        <v>143.73642739726111</v>
      </c>
      <c r="H92" s="199">
        <v>83.659972602740083</v>
      </c>
      <c r="I92" s="199">
        <v>1.0515068493150685</v>
      </c>
      <c r="J92" s="199">
        <v>155.06473972602777</v>
      </c>
      <c r="K92" s="199">
        <v>362.79587671232952</v>
      </c>
      <c r="L92" s="199">
        <v>362.79587671232952</v>
      </c>
      <c r="M92" s="199">
        <v>47.39158356164365</v>
      </c>
      <c r="N92" s="199">
        <v>47.39158356164365</v>
      </c>
      <c r="O92" s="199">
        <v>-0.3763241205479449</v>
      </c>
      <c r="P92" s="199">
        <v>0.39008442328766996</v>
      </c>
      <c r="Q92" s="199">
        <v>54.927254794520657</v>
      </c>
      <c r="R92" s="199">
        <v>7181.5032112343906</v>
      </c>
      <c r="S92" s="200">
        <v>1.1060038379041266</v>
      </c>
    </row>
    <row r="93" spans="1:19" x14ac:dyDescent="0.25">
      <c r="A93" s="201" t="s">
        <v>260</v>
      </c>
      <c r="B93" s="202">
        <v>6493.1991780822054</v>
      </c>
      <c r="C93" s="202">
        <v>6492.0923287671367</v>
      </c>
      <c r="D93" s="202">
        <v>1.106849315068493</v>
      </c>
      <c r="E93" s="202">
        <v>5598.2308506852505</v>
      </c>
      <c r="F93" s="202">
        <v>734.63123860278097</v>
      </c>
      <c r="G93" s="202">
        <v>143.73642739726026</v>
      </c>
      <c r="H93" s="202">
        <v>83.659972602740083</v>
      </c>
      <c r="I93" s="202">
        <v>1.0515068493150685</v>
      </c>
      <c r="J93" s="202">
        <v>155.0647397260237</v>
      </c>
      <c r="K93" s="202">
        <v>362.79587671235453</v>
      </c>
      <c r="L93" s="202">
        <v>362.79587671235453</v>
      </c>
      <c r="M93" s="202">
        <v>47.391583561643607</v>
      </c>
      <c r="N93" s="202">
        <v>47.391583561643607</v>
      </c>
      <c r="O93" s="202">
        <v>-0.3763241205479449</v>
      </c>
      <c r="P93" s="202">
        <v>0.3900844232876699</v>
      </c>
      <c r="Q93" s="202">
        <v>54.927254794520657</v>
      </c>
      <c r="R93" s="202">
        <v>7181.5032112346289</v>
      </c>
      <c r="S93" s="203">
        <v>1.1060038379040942</v>
      </c>
    </row>
    <row r="94" spans="1:19" x14ac:dyDescent="0.25">
      <c r="A94" s="198" t="s">
        <v>53</v>
      </c>
      <c r="B94" s="199">
        <v>319.38200000000035</v>
      </c>
      <c r="C94" s="199">
        <v>115.03808219178137</v>
      </c>
      <c r="D94" s="199">
        <v>204.34391780821898</v>
      </c>
      <c r="E94" s="199"/>
      <c r="F94" s="199">
        <v>83.448624821917676</v>
      </c>
      <c r="G94" s="199"/>
      <c r="H94" s="199"/>
      <c r="I94" s="199">
        <v>194.12672191780885</v>
      </c>
      <c r="J94" s="199">
        <v>1.3326575342465754E-2</v>
      </c>
      <c r="K94" s="199"/>
      <c r="L94" s="199"/>
      <c r="M94" s="199"/>
      <c r="N94" s="199"/>
      <c r="O94" s="199">
        <v>-1.4110520547945E-3</v>
      </c>
      <c r="P94" s="199"/>
      <c r="Q94" s="199"/>
      <c r="R94" s="199">
        <v>277.58726226301422</v>
      </c>
      <c r="S94" s="200">
        <v>0.8691387187224513</v>
      </c>
    </row>
    <row r="95" spans="1:19" x14ac:dyDescent="0.25">
      <c r="A95" s="201" t="s">
        <v>276</v>
      </c>
      <c r="B95" s="202">
        <v>319.38200000000035</v>
      </c>
      <c r="C95" s="202">
        <v>115.03808219178137</v>
      </c>
      <c r="D95" s="202">
        <v>204.34391780821898</v>
      </c>
      <c r="E95" s="202"/>
      <c r="F95" s="202">
        <v>83.44862482191769</v>
      </c>
      <c r="G95" s="202"/>
      <c r="H95" s="202"/>
      <c r="I95" s="202">
        <v>194.12672191780885</v>
      </c>
      <c r="J95" s="202">
        <v>1.3326575342465754E-2</v>
      </c>
      <c r="K95" s="202"/>
      <c r="L95" s="202"/>
      <c r="M95" s="202"/>
      <c r="N95" s="202"/>
      <c r="O95" s="202">
        <v>-1.4110520547945E-3</v>
      </c>
      <c r="P95" s="202"/>
      <c r="Q95" s="202"/>
      <c r="R95" s="202">
        <v>277.58726226301428</v>
      </c>
      <c r="S95" s="203">
        <v>0.86913871872245141</v>
      </c>
    </row>
    <row r="96" spans="1:19" x14ac:dyDescent="0.25">
      <c r="A96" s="198" t="s">
        <v>54</v>
      </c>
      <c r="B96" s="199">
        <v>698.44383561646418</v>
      </c>
      <c r="C96" s="199">
        <v>698.44383561646418</v>
      </c>
      <c r="D96" s="199"/>
      <c r="E96" s="199">
        <v>465.32720547946201</v>
      </c>
      <c r="F96" s="199"/>
      <c r="G96" s="199">
        <v>364.93358904109556</v>
      </c>
      <c r="H96" s="199"/>
      <c r="I96" s="199"/>
      <c r="J96" s="199">
        <v>29.270136986301537</v>
      </c>
      <c r="K96" s="199">
        <v>2639.9658082191986</v>
      </c>
      <c r="L96" s="199">
        <v>2639.9658082191986</v>
      </c>
      <c r="M96" s="199">
        <v>485.72063013697755</v>
      </c>
      <c r="N96" s="199">
        <v>485.72063013697755</v>
      </c>
      <c r="O96" s="199"/>
      <c r="P96" s="199"/>
      <c r="Q96" s="199"/>
      <c r="R96" s="199">
        <v>3985.2173698630354</v>
      </c>
      <c r="S96" s="200">
        <v>5.7058523057127157</v>
      </c>
    </row>
    <row r="97" spans="1:19" x14ac:dyDescent="0.25">
      <c r="A97" s="201" t="s">
        <v>275</v>
      </c>
      <c r="B97" s="202">
        <v>698.44383561646703</v>
      </c>
      <c r="C97" s="202">
        <v>698.44383561646703</v>
      </c>
      <c r="D97" s="202"/>
      <c r="E97" s="202">
        <v>465.32720547946207</v>
      </c>
      <c r="F97" s="202"/>
      <c r="G97" s="202">
        <v>364.93358904109556</v>
      </c>
      <c r="H97" s="202"/>
      <c r="I97" s="202"/>
      <c r="J97" s="202">
        <v>29.270136986301431</v>
      </c>
      <c r="K97" s="202">
        <v>2639.9658082191986</v>
      </c>
      <c r="L97" s="202">
        <v>2639.9658082191986</v>
      </c>
      <c r="M97" s="202">
        <v>485.72063013697755</v>
      </c>
      <c r="N97" s="202">
        <v>485.72063013697755</v>
      </c>
      <c r="O97" s="202"/>
      <c r="P97" s="202"/>
      <c r="Q97" s="202"/>
      <c r="R97" s="202">
        <v>3985.2173698630354</v>
      </c>
      <c r="S97" s="203">
        <v>5.7058523057126926</v>
      </c>
    </row>
    <row r="98" spans="1:19" x14ac:dyDescent="0.25">
      <c r="A98" s="198" t="s">
        <v>55</v>
      </c>
      <c r="B98" s="199">
        <v>1685.7365753424722</v>
      </c>
      <c r="C98" s="199">
        <v>1685.7365753424722</v>
      </c>
      <c r="D98" s="199"/>
      <c r="E98" s="199">
        <v>1321.2788561643868</v>
      </c>
      <c r="F98" s="199">
        <v>220.2681304109602</v>
      </c>
      <c r="G98" s="199">
        <v>36.171013698630055</v>
      </c>
      <c r="H98" s="199">
        <v>0.7678904109589042</v>
      </c>
      <c r="I98" s="199"/>
      <c r="J98" s="199">
        <v>18.137457534246678</v>
      </c>
      <c r="K98" s="199">
        <v>111.35498630136891</v>
      </c>
      <c r="L98" s="199">
        <v>111.35498630136891</v>
      </c>
      <c r="M98" s="199">
        <v>61.005989041096221</v>
      </c>
      <c r="N98" s="199">
        <v>61.005989041096221</v>
      </c>
      <c r="O98" s="199"/>
      <c r="P98" s="199"/>
      <c r="Q98" s="199"/>
      <c r="R98" s="199">
        <v>1768.9843235616459</v>
      </c>
      <c r="S98" s="200">
        <v>1.0493836044355038</v>
      </c>
    </row>
    <row r="99" spans="1:19" x14ac:dyDescent="0.25">
      <c r="A99" s="201" t="s">
        <v>274</v>
      </c>
      <c r="B99" s="202">
        <v>1685.7365753422357</v>
      </c>
      <c r="C99" s="202">
        <v>1685.7365753422357</v>
      </c>
      <c r="D99" s="202"/>
      <c r="E99" s="202">
        <v>1321.2788561643881</v>
      </c>
      <c r="F99" s="202">
        <v>220.26813041096005</v>
      </c>
      <c r="G99" s="202">
        <v>36.171013698630013</v>
      </c>
      <c r="H99" s="202">
        <v>0.7678904109589042</v>
      </c>
      <c r="I99" s="202"/>
      <c r="J99" s="202">
        <v>18.137457534246629</v>
      </c>
      <c r="K99" s="202">
        <v>111.35498630136581</v>
      </c>
      <c r="L99" s="202">
        <v>111.35498630136581</v>
      </c>
      <c r="M99" s="202">
        <v>61.005989041096299</v>
      </c>
      <c r="N99" s="202">
        <v>61.005989041096299</v>
      </c>
      <c r="O99" s="202"/>
      <c r="P99" s="202"/>
      <c r="Q99" s="202"/>
      <c r="R99" s="202">
        <v>1768.9843235616459</v>
      </c>
      <c r="S99" s="203">
        <v>1.049383604435651</v>
      </c>
    </row>
    <row r="100" spans="1:19" x14ac:dyDescent="0.25">
      <c r="A100" s="198" t="s">
        <v>438</v>
      </c>
      <c r="B100" s="199">
        <v>6.1068493150684926</v>
      </c>
      <c r="C100" s="199">
        <v>6.1068493150684926</v>
      </c>
      <c r="D100" s="199"/>
      <c r="E100" s="199"/>
      <c r="F100" s="199">
        <v>4.429908493150684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>
        <v>4.429908493150684</v>
      </c>
      <c r="S100" s="200">
        <v>0.72539999999999993</v>
      </c>
    </row>
    <row r="101" spans="1:19" x14ac:dyDescent="0.25">
      <c r="A101" s="201" t="s">
        <v>196</v>
      </c>
      <c r="B101" s="202">
        <v>6.1068493150685015</v>
      </c>
      <c r="C101" s="202">
        <v>6.1068493150685015</v>
      </c>
      <c r="D101" s="202"/>
      <c r="E101" s="202"/>
      <c r="F101" s="202">
        <v>4.4299084931506867</v>
      </c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>
        <v>4.4299084931506867</v>
      </c>
      <c r="S101" s="203">
        <v>0.72539999999999927</v>
      </c>
    </row>
    <row r="102" spans="1:19" x14ac:dyDescent="0.25">
      <c r="A102" s="198" t="s">
        <v>56</v>
      </c>
      <c r="B102" s="199">
        <v>31.202739726027382</v>
      </c>
      <c r="C102" s="199">
        <v>31.202739726027382</v>
      </c>
      <c r="D102" s="199"/>
      <c r="E102" s="199"/>
      <c r="F102" s="199">
        <v>26.195335479452048</v>
      </c>
      <c r="G102" s="199"/>
      <c r="H102" s="199"/>
      <c r="I102" s="199"/>
      <c r="J102" s="199">
        <v>2.1698630136986301E-2</v>
      </c>
      <c r="K102" s="199">
        <v>0.38219178082191779</v>
      </c>
      <c r="L102" s="199">
        <v>0.38219178082191779</v>
      </c>
      <c r="M102" s="199"/>
      <c r="N102" s="199"/>
      <c r="O102" s="199"/>
      <c r="P102" s="199"/>
      <c r="Q102" s="199"/>
      <c r="R102" s="199">
        <v>26.599225890410949</v>
      </c>
      <c r="S102" s="200">
        <v>0.85246443498112223</v>
      </c>
    </row>
    <row r="103" spans="1:19" x14ac:dyDescent="0.25">
      <c r="A103" s="201" t="s">
        <v>273</v>
      </c>
      <c r="B103" s="202">
        <v>31.202739726027435</v>
      </c>
      <c r="C103" s="202">
        <v>31.202739726027435</v>
      </c>
      <c r="D103" s="202"/>
      <c r="E103" s="202"/>
      <c r="F103" s="202">
        <v>26.195335479452183</v>
      </c>
      <c r="G103" s="202"/>
      <c r="H103" s="202"/>
      <c r="I103" s="202"/>
      <c r="J103" s="202">
        <v>2.1698630136986301E-2</v>
      </c>
      <c r="K103" s="202">
        <v>0.38219178082191779</v>
      </c>
      <c r="L103" s="202">
        <v>0.38219178082191779</v>
      </c>
      <c r="M103" s="202"/>
      <c r="N103" s="202"/>
      <c r="O103" s="202"/>
      <c r="P103" s="202"/>
      <c r="Q103" s="202"/>
      <c r="R103" s="202">
        <v>26.599225890411084</v>
      </c>
      <c r="S103" s="203">
        <v>0.85246443498112512</v>
      </c>
    </row>
    <row r="104" spans="1:19" x14ac:dyDescent="0.25">
      <c r="A104" s="198" t="s">
        <v>492</v>
      </c>
      <c r="B104" s="199">
        <v>317.10602739725829</v>
      </c>
      <c r="C104" s="199">
        <v>317.10602739725829</v>
      </c>
      <c r="D104" s="199"/>
      <c r="E104" s="199">
        <v>303.75646575342967</v>
      </c>
      <c r="F104" s="199">
        <v>78.752007616438377</v>
      </c>
      <c r="G104" s="199"/>
      <c r="H104" s="199"/>
      <c r="I104" s="199"/>
      <c r="J104" s="199">
        <v>5.8013424657534225</v>
      </c>
      <c r="K104" s="199">
        <v>1.3876712328767118</v>
      </c>
      <c r="L104" s="199">
        <v>1.3876712328767118</v>
      </c>
      <c r="M104" s="199">
        <v>75.371397260273625</v>
      </c>
      <c r="N104" s="199">
        <v>75.371397260273625</v>
      </c>
      <c r="O104" s="199"/>
      <c r="P104" s="199"/>
      <c r="Q104" s="199"/>
      <c r="R104" s="199">
        <v>465.06888432877179</v>
      </c>
      <c r="S104" s="200">
        <v>1.4666037354949142</v>
      </c>
    </row>
    <row r="105" spans="1:19" x14ac:dyDescent="0.25">
      <c r="A105" s="201" t="s">
        <v>490</v>
      </c>
      <c r="B105" s="202">
        <v>317.1060273972538</v>
      </c>
      <c r="C105" s="202">
        <v>317.1060273972538</v>
      </c>
      <c r="D105" s="202"/>
      <c r="E105" s="202">
        <v>303.75646575342904</v>
      </c>
      <c r="F105" s="202">
        <v>78.752007616439258</v>
      </c>
      <c r="G105" s="202"/>
      <c r="H105" s="202"/>
      <c r="I105" s="202"/>
      <c r="J105" s="202">
        <v>5.8013424657534332</v>
      </c>
      <c r="K105" s="202">
        <v>1.3876712328767118</v>
      </c>
      <c r="L105" s="202">
        <v>1.3876712328767118</v>
      </c>
      <c r="M105" s="202">
        <v>75.371397260273525</v>
      </c>
      <c r="N105" s="202">
        <v>75.371397260273525</v>
      </c>
      <c r="O105" s="202"/>
      <c r="P105" s="202"/>
      <c r="Q105" s="202"/>
      <c r="R105" s="202">
        <v>465.0688843287719</v>
      </c>
      <c r="S105" s="203">
        <v>1.4666037354949359</v>
      </c>
    </row>
    <row r="106" spans="1:19" x14ac:dyDescent="0.25">
      <c r="A106" s="198" t="s">
        <v>129</v>
      </c>
      <c r="B106" s="199">
        <v>26.115068493150709</v>
      </c>
      <c r="C106" s="199">
        <v>26.115068493150709</v>
      </c>
      <c r="D106" s="199"/>
      <c r="E106" s="199"/>
      <c r="F106" s="199">
        <v>18.943870684931511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>
        <v>18.943870684931511</v>
      </c>
      <c r="S106" s="200">
        <v>0.72539999999999949</v>
      </c>
    </row>
    <row r="107" spans="1:19" x14ac:dyDescent="0.25">
      <c r="A107" s="201" t="s">
        <v>272</v>
      </c>
      <c r="B107" s="202">
        <v>26.115068493150776</v>
      </c>
      <c r="C107" s="202">
        <v>26.115068493150776</v>
      </c>
      <c r="D107" s="202"/>
      <c r="E107" s="202"/>
      <c r="F107" s="202">
        <v>18.943870684931557</v>
      </c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>
        <v>18.943870684931557</v>
      </c>
      <c r="S107" s="203">
        <v>0.72539999999999938</v>
      </c>
    </row>
    <row r="108" spans="1:19" x14ac:dyDescent="0.25">
      <c r="A108" s="198" t="s">
        <v>57</v>
      </c>
      <c r="B108" s="199">
        <v>120.70986301369882</v>
      </c>
      <c r="C108" s="199">
        <v>120.70986301369882</v>
      </c>
      <c r="D108" s="199"/>
      <c r="E108" s="199">
        <v>115.98569041095902</v>
      </c>
      <c r="F108" s="199"/>
      <c r="G108" s="199"/>
      <c r="H108" s="199">
        <v>1.750958904109589</v>
      </c>
      <c r="I108" s="199"/>
      <c r="J108" s="199">
        <v>1.6758904109589032</v>
      </c>
      <c r="K108" s="199">
        <v>1.5671232876712324</v>
      </c>
      <c r="L108" s="199">
        <v>1.5671232876712324</v>
      </c>
      <c r="M108" s="199">
        <v>17.937835616438349</v>
      </c>
      <c r="N108" s="199">
        <v>17.937835616438349</v>
      </c>
      <c r="O108" s="199"/>
      <c r="P108" s="199"/>
      <c r="Q108" s="199"/>
      <c r="R108" s="199">
        <v>138.91749863013712</v>
      </c>
      <c r="S108" s="200">
        <v>1.1508380107628156</v>
      </c>
    </row>
    <row r="109" spans="1:19" x14ac:dyDescent="0.25">
      <c r="A109" s="201" t="s">
        <v>271</v>
      </c>
      <c r="B109" s="202">
        <v>120.70986301369859</v>
      </c>
      <c r="C109" s="202">
        <v>120.70986301369859</v>
      </c>
      <c r="D109" s="202"/>
      <c r="E109" s="202">
        <v>115.98569041095872</v>
      </c>
      <c r="F109" s="202"/>
      <c r="G109" s="202"/>
      <c r="H109" s="202">
        <v>1.750958904109589</v>
      </c>
      <c r="I109" s="202"/>
      <c r="J109" s="202">
        <v>1.6758904109589035</v>
      </c>
      <c r="K109" s="202">
        <v>1.5671232876712324</v>
      </c>
      <c r="L109" s="202">
        <v>1.5671232876712324</v>
      </c>
      <c r="M109" s="202">
        <v>17.937835616438338</v>
      </c>
      <c r="N109" s="202">
        <v>17.937835616438338</v>
      </c>
      <c r="O109" s="202"/>
      <c r="P109" s="202"/>
      <c r="Q109" s="202"/>
      <c r="R109" s="202">
        <v>138.91749863013681</v>
      </c>
      <c r="S109" s="203">
        <v>1.1508380107628151</v>
      </c>
    </row>
    <row r="110" spans="1:19" x14ac:dyDescent="0.25">
      <c r="A110" s="198" t="s">
        <v>58</v>
      </c>
      <c r="B110" s="199">
        <v>2484.1542465753632</v>
      </c>
      <c r="C110" s="199">
        <v>2453.477534246596</v>
      </c>
      <c r="D110" s="199">
        <v>30.676712328767145</v>
      </c>
      <c r="E110" s="199">
        <v>2106.4108739725812</v>
      </c>
      <c r="F110" s="199">
        <v>244.26442356164495</v>
      </c>
      <c r="G110" s="199">
        <v>64.663123287671283</v>
      </c>
      <c r="H110" s="199">
        <v>12.42126027397261</v>
      </c>
      <c r="I110" s="199">
        <v>29.142876712328789</v>
      </c>
      <c r="J110" s="199">
        <v>64.081643835615765</v>
      </c>
      <c r="K110" s="199">
        <v>255.4529315068491</v>
      </c>
      <c r="L110" s="199">
        <v>255.4529315068491</v>
      </c>
      <c r="M110" s="199">
        <v>25.273479452054744</v>
      </c>
      <c r="N110" s="199">
        <v>25.273479452054744</v>
      </c>
      <c r="O110" s="199"/>
      <c r="P110" s="199">
        <v>0.33412122739726058</v>
      </c>
      <c r="Q110" s="199"/>
      <c r="R110" s="199">
        <v>2802.0447338301165</v>
      </c>
      <c r="S110" s="200">
        <v>1.1279672901523676</v>
      </c>
    </row>
    <row r="111" spans="1:19" x14ac:dyDescent="0.25">
      <c r="A111" s="201" t="s">
        <v>270</v>
      </c>
      <c r="B111" s="202">
        <v>2484.1542465754947</v>
      </c>
      <c r="C111" s="202">
        <v>2453.4775342467274</v>
      </c>
      <c r="D111" s="202">
        <v>30.676712328767231</v>
      </c>
      <c r="E111" s="202">
        <v>2106.4108739725557</v>
      </c>
      <c r="F111" s="202">
        <v>244.26442356164557</v>
      </c>
      <c r="G111" s="202">
        <v>64.66312328767134</v>
      </c>
      <c r="H111" s="202">
        <v>12.42126027397261</v>
      </c>
      <c r="I111" s="202">
        <v>29.142876712328725</v>
      </c>
      <c r="J111" s="202">
        <v>64.081643835614841</v>
      </c>
      <c r="K111" s="202">
        <v>255.45293150685151</v>
      </c>
      <c r="L111" s="202">
        <v>255.45293150685151</v>
      </c>
      <c r="M111" s="202">
        <v>25.273479452054683</v>
      </c>
      <c r="N111" s="202">
        <v>25.273479452054683</v>
      </c>
      <c r="O111" s="202"/>
      <c r="P111" s="202">
        <v>0.33412122739726002</v>
      </c>
      <c r="Q111" s="202"/>
      <c r="R111" s="202">
        <v>2802.0447338300928</v>
      </c>
      <c r="S111" s="203">
        <v>1.1279672901523015</v>
      </c>
    </row>
    <row r="112" spans="1:19" x14ac:dyDescent="0.25">
      <c r="A112" s="198" t="s">
        <v>59</v>
      </c>
      <c r="B112" s="199">
        <v>5961.9712876708099</v>
      </c>
      <c r="C112" s="199">
        <v>5929.8416164379332</v>
      </c>
      <c r="D112" s="199">
        <v>32.129671232876746</v>
      </c>
      <c r="E112" s="199">
        <v>4748.4661219179379</v>
      </c>
      <c r="F112" s="199">
        <v>888.68538978904201</v>
      </c>
      <c r="G112" s="199">
        <v>161.87551780822048</v>
      </c>
      <c r="H112" s="199">
        <v>66.293835616438443</v>
      </c>
      <c r="I112" s="199">
        <v>30.523187671232982</v>
      </c>
      <c r="J112" s="199">
        <v>142.81131287671195</v>
      </c>
      <c r="K112" s="199">
        <v>362.07915890410942</v>
      </c>
      <c r="L112" s="199">
        <v>362.07915890410942</v>
      </c>
      <c r="M112" s="199">
        <v>26.783999999999924</v>
      </c>
      <c r="N112" s="199">
        <v>26.783999999999924</v>
      </c>
      <c r="O112" s="199">
        <v>-0.51322301369863021</v>
      </c>
      <c r="P112" s="199">
        <v>0.62209509041095845</v>
      </c>
      <c r="Q112" s="199"/>
      <c r="R112" s="199">
        <v>6427.6273966604049</v>
      </c>
      <c r="S112" s="200">
        <v>1.0781043863717681</v>
      </c>
    </row>
    <row r="113" spans="1:19" x14ac:dyDescent="0.25">
      <c r="A113" s="201" t="s">
        <v>269</v>
      </c>
      <c r="B113" s="202">
        <v>5961.9712876706608</v>
      </c>
      <c r="C113" s="202">
        <v>5929.8416164377841</v>
      </c>
      <c r="D113" s="202">
        <v>32.129671232876497</v>
      </c>
      <c r="E113" s="202">
        <v>4748.4661219180598</v>
      </c>
      <c r="F113" s="202">
        <v>888.68538978912102</v>
      </c>
      <c r="G113" s="202">
        <v>161.87551780821974</v>
      </c>
      <c r="H113" s="202">
        <v>66.293835616438443</v>
      </c>
      <c r="I113" s="202">
        <v>30.523187671232396</v>
      </c>
      <c r="J113" s="202">
        <v>142.81131287670874</v>
      </c>
      <c r="K113" s="202">
        <v>362.07915890411431</v>
      </c>
      <c r="L113" s="202">
        <v>362.07915890411431</v>
      </c>
      <c r="M113" s="202">
        <v>26.78399999999991</v>
      </c>
      <c r="N113" s="202">
        <v>26.78399999999991</v>
      </c>
      <c r="O113" s="202">
        <v>-0.51322301369863021</v>
      </c>
      <c r="P113" s="202">
        <v>0.62209509041095734</v>
      </c>
      <c r="Q113" s="202"/>
      <c r="R113" s="202">
        <v>6427.6273966606077</v>
      </c>
      <c r="S113" s="203">
        <v>1.0781043863718234</v>
      </c>
    </row>
    <row r="114" spans="1:19" x14ac:dyDescent="0.25">
      <c r="A114" s="198" t="s">
        <v>470</v>
      </c>
      <c r="B114" s="199">
        <v>1092.4872602739797</v>
      </c>
      <c r="C114" s="199">
        <v>1092.4872602739797</v>
      </c>
      <c r="D114" s="199"/>
      <c r="E114" s="199">
        <v>1037.8314342465753</v>
      </c>
      <c r="F114" s="199">
        <v>128.77818542465744</v>
      </c>
      <c r="G114" s="199">
        <v>29.736767123287628</v>
      </c>
      <c r="H114" s="199">
        <v>7.5945205479452049E-2</v>
      </c>
      <c r="I114" s="199"/>
      <c r="J114" s="199">
        <v>34.436926027397249</v>
      </c>
      <c r="K114" s="199">
        <v>75.930876712328555</v>
      </c>
      <c r="L114" s="199">
        <v>75.930876712328555</v>
      </c>
      <c r="M114" s="199">
        <v>28.152493150684947</v>
      </c>
      <c r="N114" s="199">
        <v>28.152493150684947</v>
      </c>
      <c r="O114" s="199"/>
      <c r="P114" s="199">
        <v>1.0085597753424644</v>
      </c>
      <c r="Q114" s="199"/>
      <c r="R114" s="199">
        <v>1335.951187665753</v>
      </c>
      <c r="S114" s="200">
        <v>1.2228528754932251</v>
      </c>
    </row>
    <row r="115" spans="1:19" x14ac:dyDescent="0.25">
      <c r="A115" s="201" t="s">
        <v>229</v>
      </c>
      <c r="B115" s="202">
        <v>1092.4872602740052</v>
      </c>
      <c r="C115" s="202">
        <v>1092.4872602740052</v>
      </c>
      <c r="D115" s="202"/>
      <c r="E115" s="202">
        <v>1037.8314342465712</v>
      </c>
      <c r="F115" s="202">
        <v>128.77818542465775</v>
      </c>
      <c r="G115" s="202">
        <v>29.736767123287628</v>
      </c>
      <c r="H115" s="202">
        <v>7.5945205479452049E-2</v>
      </c>
      <c r="I115" s="202"/>
      <c r="J115" s="202">
        <v>34.436926027397192</v>
      </c>
      <c r="K115" s="202">
        <v>75.930876712328228</v>
      </c>
      <c r="L115" s="202">
        <v>75.930876712328228</v>
      </c>
      <c r="M115" s="202">
        <v>28.152493150684869</v>
      </c>
      <c r="N115" s="202">
        <v>28.152493150684869</v>
      </c>
      <c r="O115" s="202"/>
      <c r="P115" s="202">
        <v>1.008559775342464</v>
      </c>
      <c r="Q115" s="202"/>
      <c r="R115" s="202">
        <v>1335.9511876657489</v>
      </c>
      <c r="S115" s="203">
        <v>1.2228528754931942</v>
      </c>
    </row>
    <row r="116" spans="1:19" x14ac:dyDescent="0.25">
      <c r="A116" s="198" t="s">
        <v>439</v>
      </c>
      <c r="B116" s="199">
        <v>6982.351972602195</v>
      </c>
      <c r="C116" s="199">
        <v>6967.8177260268521</v>
      </c>
      <c r="D116" s="199">
        <v>14.534246575342472</v>
      </c>
      <c r="E116" s="199">
        <v>6519.2090010959446</v>
      </c>
      <c r="F116" s="199">
        <v>514.27109934246801</v>
      </c>
      <c r="G116" s="199">
        <v>223.89068493150683</v>
      </c>
      <c r="H116" s="199">
        <v>24.078005479451985</v>
      </c>
      <c r="I116" s="199">
        <v>13.807534246575361</v>
      </c>
      <c r="J116" s="199">
        <v>237.69474246575476</v>
      </c>
      <c r="K116" s="199">
        <v>417.95400000000444</v>
      </c>
      <c r="L116" s="199">
        <v>417.95400000000444</v>
      </c>
      <c r="M116" s="199">
        <v>118.91229041096121</v>
      </c>
      <c r="N116" s="199">
        <v>118.91229041096121</v>
      </c>
      <c r="O116" s="199">
        <v>-0.39882120000000015</v>
      </c>
      <c r="P116" s="199">
        <v>3.0786420328767172</v>
      </c>
      <c r="Q116" s="199"/>
      <c r="R116" s="199">
        <v>8072.4971788055536</v>
      </c>
      <c r="S116" s="200">
        <v>1.156128652706272</v>
      </c>
    </row>
    <row r="117" spans="1:19" x14ac:dyDescent="0.25">
      <c r="A117" s="201" t="s">
        <v>243</v>
      </c>
      <c r="B117" s="202">
        <v>6982.3519726018967</v>
      </c>
      <c r="C117" s="202">
        <v>6967.8177260265538</v>
      </c>
      <c r="D117" s="202">
        <v>14.534246575342472</v>
      </c>
      <c r="E117" s="202">
        <v>6519.2090010961547</v>
      </c>
      <c r="F117" s="202">
        <v>514.27109934246414</v>
      </c>
      <c r="G117" s="202">
        <v>223.89068493150634</v>
      </c>
      <c r="H117" s="202">
        <v>24.078005479451985</v>
      </c>
      <c r="I117" s="202">
        <v>13.807534246575392</v>
      </c>
      <c r="J117" s="202">
        <v>237.69474246575226</v>
      </c>
      <c r="K117" s="202">
        <v>417.95400000002667</v>
      </c>
      <c r="L117" s="202">
        <v>417.95400000002667</v>
      </c>
      <c r="M117" s="202">
        <v>118.91229041096121</v>
      </c>
      <c r="N117" s="202">
        <v>118.91229041096121</v>
      </c>
      <c r="O117" s="202">
        <v>-0.39882120000000015</v>
      </c>
      <c r="P117" s="202">
        <v>3.0786420328767288</v>
      </c>
      <c r="Q117" s="202"/>
      <c r="R117" s="202">
        <v>8072.4971788057692</v>
      </c>
      <c r="S117" s="203">
        <v>1.1561286527063519</v>
      </c>
    </row>
    <row r="118" spans="1:19" x14ac:dyDescent="0.25">
      <c r="A118" s="198" t="s">
        <v>60</v>
      </c>
      <c r="B118" s="199">
        <v>2373.2165753424324</v>
      </c>
      <c r="C118" s="199">
        <v>2373.2165753424324</v>
      </c>
      <c r="D118" s="199"/>
      <c r="E118" s="199">
        <v>1926.6091643835548</v>
      </c>
      <c r="F118" s="199">
        <v>313.16233131781007</v>
      </c>
      <c r="G118" s="199">
        <v>84.349808219178342</v>
      </c>
      <c r="H118" s="199">
        <v>22.378520547945204</v>
      </c>
      <c r="I118" s="199"/>
      <c r="J118" s="199">
        <v>61.804273972602466</v>
      </c>
      <c r="K118" s="199">
        <v>138.92394520547919</v>
      </c>
      <c r="L118" s="199">
        <v>138.92394520547919</v>
      </c>
      <c r="M118" s="199">
        <v>35.391452054794399</v>
      </c>
      <c r="N118" s="199">
        <v>35.391452054794399</v>
      </c>
      <c r="O118" s="199"/>
      <c r="P118" s="199">
        <v>0.23234661369863047</v>
      </c>
      <c r="Q118" s="199">
        <v>10.862465753424635</v>
      </c>
      <c r="R118" s="199">
        <v>2593.7143080684868</v>
      </c>
      <c r="S118" s="200">
        <v>1.0929109188841042</v>
      </c>
    </row>
    <row r="119" spans="1:19" x14ac:dyDescent="0.25">
      <c r="A119" s="201" t="s">
        <v>268</v>
      </c>
      <c r="B119" s="202">
        <v>2373.2165753425056</v>
      </c>
      <c r="C119" s="202">
        <v>2373.2165753425056</v>
      </c>
      <c r="D119" s="202"/>
      <c r="E119" s="202">
        <v>1926.6091643835339</v>
      </c>
      <c r="F119" s="202">
        <v>313.16233131780973</v>
      </c>
      <c r="G119" s="202">
        <v>84.349808219178641</v>
      </c>
      <c r="H119" s="202">
        <v>22.378520547945204</v>
      </c>
      <c r="I119" s="202"/>
      <c r="J119" s="202">
        <v>61.804273972601806</v>
      </c>
      <c r="K119" s="202">
        <v>138.92394520547666</v>
      </c>
      <c r="L119" s="202">
        <v>138.92394520547666</v>
      </c>
      <c r="M119" s="202">
        <v>35.391452054794399</v>
      </c>
      <c r="N119" s="202">
        <v>35.391452054794399</v>
      </c>
      <c r="O119" s="202"/>
      <c r="P119" s="202">
        <v>0.23234661369863047</v>
      </c>
      <c r="Q119" s="202">
        <v>10.862465753424635</v>
      </c>
      <c r="R119" s="202">
        <v>2593.7143080684637</v>
      </c>
      <c r="S119" s="203">
        <v>1.0929109188840616</v>
      </c>
    </row>
    <row r="120" spans="1:19" x14ac:dyDescent="0.25">
      <c r="A120" s="198" t="s">
        <v>474</v>
      </c>
      <c r="B120" s="199">
        <v>2542.7794520548546</v>
      </c>
      <c r="C120" s="199">
        <v>2542.7794520548546</v>
      </c>
      <c r="D120" s="199"/>
      <c r="E120" s="199">
        <v>1979.6041643835424</v>
      </c>
      <c r="F120" s="199">
        <v>421.01744120548358</v>
      </c>
      <c r="G120" s="199">
        <v>72.951276712329076</v>
      </c>
      <c r="H120" s="199">
        <v>6.524958904109587</v>
      </c>
      <c r="I120" s="199"/>
      <c r="J120" s="199">
        <v>64.924471232876357</v>
      </c>
      <c r="K120" s="199">
        <v>110.42243287671167</v>
      </c>
      <c r="L120" s="199">
        <v>110.42243287671167</v>
      </c>
      <c r="M120" s="199"/>
      <c r="N120" s="199"/>
      <c r="O120" s="199"/>
      <c r="P120" s="199">
        <v>0.24343629041095868</v>
      </c>
      <c r="Q120" s="199"/>
      <c r="R120" s="199">
        <v>2655.6881816054629</v>
      </c>
      <c r="S120" s="200">
        <v>1.0444036660196245</v>
      </c>
    </row>
    <row r="121" spans="1:19" x14ac:dyDescent="0.25">
      <c r="A121" s="201" t="s">
        <v>473</v>
      </c>
      <c r="B121" s="202">
        <v>2542.7794520548014</v>
      </c>
      <c r="C121" s="202">
        <v>2542.7794520548014</v>
      </c>
      <c r="D121" s="202"/>
      <c r="E121" s="202">
        <v>1979.6041643835438</v>
      </c>
      <c r="F121" s="202">
        <v>421.0174412054813</v>
      </c>
      <c r="G121" s="202">
        <v>72.951276712329133</v>
      </c>
      <c r="H121" s="202">
        <v>6.524958904109587</v>
      </c>
      <c r="I121" s="202"/>
      <c r="J121" s="202">
        <v>64.924471232876002</v>
      </c>
      <c r="K121" s="202">
        <v>110.42243287670955</v>
      </c>
      <c r="L121" s="202">
        <v>110.42243287670955</v>
      </c>
      <c r="M121" s="202"/>
      <c r="N121" s="202"/>
      <c r="O121" s="202"/>
      <c r="P121" s="202">
        <v>0.24343629041095868</v>
      </c>
      <c r="Q121" s="202"/>
      <c r="R121" s="202">
        <v>2655.6881816054602</v>
      </c>
      <c r="S121" s="203">
        <v>1.0444036660196456</v>
      </c>
    </row>
    <row r="122" spans="1:19" x14ac:dyDescent="0.25">
      <c r="A122" s="198" t="s">
        <v>61</v>
      </c>
      <c r="B122" s="199">
        <v>77.540410958904047</v>
      </c>
      <c r="C122" s="199">
        <v>77.540410958904047</v>
      </c>
      <c r="D122" s="199"/>
      <c r="E122" s="199">
        <v>9.9205753424657548</v>
      </c>
      <c r="F122" s="199">
        <v>58.979915876712546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>
        <v>1.1283826315068479</v>
      </c>
      <c r="Q122" s="199"/>
      <c r="R122" s="199">
        <v>70.028873850685159</v>
      </c>
      <c r="S122" s="200">
        <v>0.90312745295869068</v>
      </c>
    </row>
    <row r="123" spans="1:19" x14ac:dyDescent="0.25">
      <c r="A123" s="201" t="s">
        <v>264</v>
      </c>
      <c r="B123" s="202">
        <v>77.540410958904033</v>
      </c>
      <c r="C123" s="202">
        <v>77.540410958904033</v>
      </c>
      <c r="D123" s="202"/>
      <c r="E123" s="202">
        <v>9.920575342465753</v>
      </c>
      <c r="F123" s="202">
        <v>58.979915876712923</v>
      </c>
      <c r="G123" s="202"/>
      <c r="H123" s="202"/>
      <c r="I123" s="202"/>
      <c r="J123" s="202"/>
      <c r="K123" s="202"/>
      <c r="L123" s="202"/>
      <c r="M123" s="202"/>
      <c r="N123" s="202"/>
      <c r="O123" s="202"/>
      <c r="P123" s="202">
        <v>1.1283826315068497</v>
      </c>
      <c r="Q123" s="202"/>
      <c r="R123" s="202">
        <v>70.028873850685528</v>
      </c>
      <c r="S123" s="203">
        <v>0.90312745295869556</v>
      </c>
    </row>
    <row r="124" spans="1:19" x14ac:dyDescent="0.25">
      <c r="A124" s="198" t="s">
        <v>62</v>
      </c>
      <c r="B124" s="199">
        <v>42.576712328767172</v>
      </c>
      <c r="C124" s="199">
        <v>42.576712328767172</v>
      </c>
      <c r="D124" s="199"/>
      <c r="E124" s="199">
        <v>61.742882191780907</v>
      </c>
      <c r="F124" s="199"/>
      <c r="G124" s="199"/>
      <c r="H124" s="199"/>
      <c r="I124" s="199"/>
      <c r="J124" s="199">
        <v>0.19791780821917804</v>
      </c>
      <c r="K124" s="199">
        <v>1.3553424657534243</v>
      </c>
      <c r="L124" s="199">
        <v>1.3553424657534243</v>
      </c>
      <c r="M124" s="199"/>
      <c r="N124" s="199"/>
      <c r="O124" s="199"/>
      <c r="P124" s="199"/>
      <c r="Q124" s="199"/>
      <c r="R124" s="199">
        <v>63.296142465753512</v>
      </c>
      <c r="S124" s="200">
        <v>1.4866376242720643</v>
      </c>
    </row>
    <row r="125" spans="1:19" x14ac:dyDescent="0.25">
      <c r="A125" s="201" t="s">
        <v>263</v>
      </c>
      <c r="B125" s="202">
        <v>42.576712328767123</v>
      </c>
      <c r="C125" s="202">
        <v>42.576712328767123</v>
      </c>
      <c r="D125" s="202"/>
      <c r="E125" s="202">
        <v>61.742882191780879</v>
      </c>
      <c r="F125" s="202"/>
      <c r="G125" s="202"/>
      <c r="H125" s="202"/>
      <c r="I125" s="202"/>
      <c r="J125" s="202">
        <v>0.19791780821917795</v>
      </c>
      <c r="K125" s="202">
        <v>1.3553424657534241</v>
      </c>
      <c r="L125" s="202">
        <v>1.3553424657534241</v>
      </c>
      <c r="M125" s="202"/>
      <c r="N125" s="202"/>
      <c r="O125" s="202"/>
      <c r="P125" s="202"/>
      <c r="Q125" s="202"/>
      <c r="R125" s="202">
        <v>63.296142465753483</v>
      </c>
      <c r="S125" s="203">
        <v>1.4866376242720647</v>
      </c>
    </row>
    <row r="126" spans="1:19" x14ac:dyDescent="0.25">
      <c r="A126" s="198" t="s">
        <v>357</v>
      </c>
      <c r="B126" s="199">
        <v>105.41589041095892</v>
      </c>
      <c r="C126" s="199">
        <v>105.41589041095892</v>
      </c>
      <c r="D126" s="199"/>
      <c r="E126" s="199">
        <v>93.914071232876751</v>
      </c>
      <c r="F126" s="199">
        <v>5.681968767123287</v>
      </c>
      <c r="G126" s="199"/>
      <c r="H126" s="199">
        <v>1.1771506849315068</v>
      </c>
      <c r="I126" s="199"/>
      <c r="J126" s="199">
        <v>1.805095890410956</v>
      </c>
      <c r="K126" s="199">
        <v>7.6397260273972636</v>
      </c>
      <c r="L126" s="199">
        <v>7.6397260273972636</v>
      </c>
      <c r="M126" s="199"/>
      <c r="N126" s="199"/>
      <c r="O126" s="199"/>
      <c r="P126" s="199"/>
      <c r="Q126" s="199"/>
      <c r="R126" s="199">
        <v>110.21801260273976</v>
      </c>
      <c r="S126" s="200">
        <v>1.0455540637475051</v>
      </c>
    </row>
    <row r="127" spans="1:19" x14ac:dyDescent="0.25">
      <c r="A127" s="201" t="s">
        <v>262</v>
      </c>
      <c r="B127" s="202">
        <v>105.41589041095867</v>
      </c>
      <c r="C127" s="202">
        <v>105.41589041095867</v>
      </c>
      <c r="D127" s="202"/>
      <c r="E127" s="202">
        <v>93.914071232876822</v>
      </c>
      <c r="F127" s="202">
        <v>5.6819687671232817</v>
      </c>
      <c r="G127" s="202"/>
      <c r="H127" s="202">
        <v>1.1771506849315068</v>
      </c>
      <c r="I127" s="202"/>
      <c r="J127" s="202">
        <v>1.8050958904109482</v>
      </c>
      <c r="K127" s="202">
        <v>7.6397260273972663</v>
      </c>
      <c r="L127" s="202">
        <v>7.6397260273972663</v>
      </c>
      <c r="M127" s="202"/>
      <c r="N127" s="202"/>
      <c r="O127" s="202"/>
      <c r="P127" s="202"/>
      <c r="Q127" s="202"/>
      <c r="R127" s="202">
        <v>110.21801260273982</v>
      </c>
      <c r="S127" s="203">
        <v>1.0455540637475083</v>
      </c>
    </row>
    <row r="128" spans="1:19" x14ac:dyDescent="0.25">
      <c r="A128" s="198" t="s">
        <v>64</v>
      </c>
      <c r="B128" s="199">
        <v>169.15999999999943</v>
      </c>
      <c r="C128" s="199">
        <v>157.44493150684875</v>
      </c>
      <c r="D128" s="199">
        <v>11.715068493150685</v>
      </c>
      <c r="E128" s="199">
        <v>130.76879999999971</v>
      </c>
      <c r="F128" s="199">
        <v>49.238164602739701</v>
      </c>
      <c r="G128" s="199"/>
      <c r="H128" s="199"/>
      <c r="I128" s="199">
        <v>11.129315068493154</v>
      </c>
      <c r="J128" s="199">
        <v>2.3301698630137002</v>
      </c>
      <c r="K128" s="199">
        <v>9.8630136986301367E-3</v>
      </c>
      <c r="L128" s="199">
        <v>9.8630136986301367E-3</v>
      </c>
      <c r="M128" s="199">
        <v>33.04291506849318</v>
      </c>
      <c r="N128" s="199">
        <v>33.04291506849318</v>
      </c>
      <c r="O128" s="199"/>
      <c r="P128" s="199"/>
      <c r="Q128" s="199"/>
      <c r="R128" s="199">
        <v>226.51922761643809</v>
      </c>
      <c r="S128" s="200">
        <v>1.3390826886760396</v>
      </c>
    </row>
    <row r="129" spans="1:19" x14ac:dyDescent="0.25">
      <c r="A129" s="201" t="s">
        <v>261</v>
      </c>
      <c r="B129" s="202">
        <v>169.15999999999795</v>
      </c>
      <c r="C129" s="202">
        <v>157.44493150684727</v>
      </c>
      <c r="D129" s="202">
        <v>11.715068493150671</v>
      </c>
      <c r="E129" s="202">
        <v>130.7687999999998</v>
      </c>
      <c r="F129" s="202">
        <v>49.238164602740362</v>
      </c>
      <c r="G129" s="202"/>
      <c r="H129" s="202"/>
      <c r="I129" s="202">
        <v>11.129315068493161</v>
      </c>
      <c r="J129" s="202">
        <v>2.3301698630137029</v>
      </c>
      <c r="K129" s="202">
        <v>9.8630136986301367E-3</v>
      </c>
      <c r="L129" s="202">
        <v>9.8630136986301367E-3</v>
      </c>
      <c r="M129" s="202">
        <v>33.042915068493208</v>
      </c>
      <c r="N129" s="202">
        <v>33.042915068493208</v>
      </c>
      <c r="O129" s="202"/>
      <c r="P129" s="202"/>
      <c r="Q129" s="202"/>
      <c r="R129" s="202">
        <v>226.51922761643888</v>
      </c>
      <c r="S129" s="203">
        <v>1.3390826886760561</v>
      </c>
    </row>
    <row r="130" spans="1:19" x14ac:dyDescent="0.25">
      <c r="A130" s="198" t="s">
        <v>144</v>
      </c>
      <c r="B130" s="199">
        <v>29.958904109589064</v>
      </c>
      <c r="C130" s="199">
        <v>29.958904109589064</v>
      </c>
      <c r="D130" s="199"/>
      <c r="E130" s="199"/>
      <c r="F130" s="199">
        <v>29.812105479452025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>
        <v>29.812105479452025</v>
      </c>
      <c r="S130" s="200">
        <v>0.99509999999999832</v>
      </c>
    </row>
    <row r="131" spans="1:19" x14ac:dyDescent="0.25">
      <c r="A131" s="201" t="s">
        <v>259</v>
      </c>
      <c r="B131" s="202">
        <v>29.958904109589092</v>
      </c>
      <c r="C131" s="202">
        <v>29.958904109589092</v>
      </c>
      <c r="D131" s="202"/>
      <c r="E131" s="202"/>
      <c r="F131" s="202">
        <v>29.812105479452025</v>
      </c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>
        <v>29.812105479452025</v>
      </c>
      <c r="S131" s="203">
        <v>0.99509999999999732</v>
      </c>
    </row>
    <row r="132" spans="1:19" x14ac:dyDescent="0.25">
      <c r="A132" s="198" t="s">
        <v>65</v>
      </c>
      <c r="B132" s="199">
        <v>40.87397260273972</v>
      </c>
      <c r="C132" s="199">
        <v>40.87397260273972</v>
      </c>
      <c r="D132" s="199"/>
      <c r="E132" s="199"/>
      <c r="F132" s="199">
        <v>28.515175890410987</v>
      </c>
      <c r="G132" s="199"/>
      <c r="H132" s="199">
        <v>2.4091506849315065</v>
      </c>
      <c r="I132" s="199"/>
      <c r="J132" s="199"/>
      <c r="K132" s="199">
        <v>0.19863013698630136</v>
      </c>
      <c r="L132" s="199">
        <v>0.19863013698630136</v>
      </c>
      <c r="M132" s="199"/>
      <c r="N132" s="199"/>
      <c r="O132" s="199"/>
      <c r="P132" s="199"/>
      <c r="Q132" s="199"/>
      <c r="R132" s="199">
        <v>31.122956712328797</v>
      </c>
      <c r="S132" s="200">
        <v>0.7614370400160877</v>
      </c>
    </row>
    <row r="133" spans="1:19" x14ac:dyDescent="0.25">
      <c r="A133" s="201" t="s">
        <v>298</v>
      </c>
      <c r="B133" s="202">
        <v>40.873972602739912</v>
      </c>
      <c r="C133" s="202">
        <v>40.873972602739912</v>
      </c>
      <c r="D133" s="202"/>
      <c r="E133" s="202"/>
      <c r="F133" s="202">
        <v>28.515175890411125</v>
      </c>
      <c r="G133" s="202"/>
      <c r="H133" s="202">
        <v>2.4091506849315065</v>
      </c>
      <c r="I133" s="202"/>
      <c r="J133" s="202"/>
      <c r="K133" s="202">
        <v>0.19863013698630136</v>
      </c>
      <c r="L133" s="202">
        <v>0.19863013698630136</v>
      </c>
      <c r="M133" s="202"/>
      <c r="N133" s="202"/>
      <c r="O133" s="202"/>
      <c r="P133" s="202"/>
      <c r="Q133" s="202"/>
      <c r="R133" s="202">
        <v>31.122956712328936</v>
      </c>
      <c r="S133" s="203">
        <v>0.76143704001608759</v>
      </c>
    </row>
    <row r="134" spans="1:19" x14ac:dyDescent="0.25">
      <c r="A134" s="198" t="s">
        <v>66</v>
      </c>
      <c r="B134" s="199">
        <v>23.819178082191794</v>
      </c>
      <c r="C134" s="199">
        <v>23.819178082191794</v>
      </c>
      <c r="D134" s="199"/>
      <c r="E134" s="199"/>
      <c r="F134" s="199">
        <v>17.278431780821929</v>
      </c>
      <c r="G134" s="199"/>
      <c r="H134" s="199"/>
      <c r="I134" s="199"/>
      <c r="J134" s="199">
        <v>6.0000000000000005E-2</v>
      </c>
      <c r="K134" s="199"/>
      <c r="L134" s="199"/>
      <c r="M134" s="199"/>
      <c r="N134" s="199"/>
      <c r="O134" s="199"/>
      <c r="P134" s="199"/>
      <c r="Q134" s="199"/>
      <c r="R134" s="199">
        <v>17.338431780821928</v>
      </c>
      <c r="S134" s="200">
        <v>0.72791897860593513</v>
      </c>
    </row>
    <row r="135" spans="1:19" x14ac:dyDescent="0.25">
      <c r="A135" s="201" t="s">
        <v>258</v>
      </c>
      <c r="B135" s="202">
        <v>23.819178082191801</v>
      </c>
      <c r="C135" s="202">
        <v>23.819178082191801</v>
      </c>
      <c r="D135" s="202"/>
      <c r="E135" s="202"/>
      <c r="F135" s="202">
        <v>17.278431780821901</v>
      </c>
      <c r="G135" s="202"/>
      <c r="H135" s="202"/>
      <c r="I135" s="202"/>
      <c r="J135" s="202">
        <v>6.0000000000000005E-2</v>
      </c>
      <c r="K135" s="202"/>
      <c r="L135" s="202"/>
      <c r="M135" s="202"/>
      <c r="N135" s="202"/>
      <c r="O135" s="202"/>
      <c r="P135" s="202"/>
      <c r="Q135" s="202"/>
      <c r="R135" s="202">
        <v>17.3384317808219</v>
      </c>
      <c r="S135" s="203">
        <v>0.7279189786059338</v>
      </c>
    </row>
    <row r="136" spans="1:19" x14ac:dyDescent="0.25">
      <c r="A136" s="198" t="s">
        <v>67</v>
      </c>
      <c r="B136" s="199">
        <v>50.122739726027405</v>
      </c>
      <c r="C136" s="199">
        <v>50.122739726027405</v>
      </c>
      <c r="D136" s="199"/>
      <c r="E136" s="199">
        <v>71.20416438356159</v>
      </c>
      <c r="F136" s="199"/>
      <c r="G136" s="199"/>
      <c r="H136" s="199"/>
      <c r="I136" s="199"/>
      <c r="J136" s="199">
        <v>0.41687671232876716</v>
      </c>
      <c r="K136" s="199"/>
      <c r="L136" s="199"/>
      <c r="M136" s="199"/>
      <c r="N136" s="199"/>
      <c r="O136" s="199"/>
      <c r="P136" s="199"/>
      <c r="Q136" s="199"/>
      <c r="R136" s="199">
        <v>71.621041095890362</v>
      </c>
      <c r="S136" s="200">
        <v>1.4289131337866487</v>
      </c>
    </row>
    <row r="137" spans="1:19" x14ac:dyDescent="0.25">
      <c r="A137" s="201" t="s">
        <v>257</v>
      </c>
      <c r="B137" s="202">
        <v>50.122739726027355</v>
      </c>
      <c r="C137" s="202">
        <v>50.122739726027355</v>
      </c>
      <c r="D137" s="202"/>
      <c r="E137" s="202">
        <v>71.204164383561618</v>
      </c>
      <c r="F137" s="202"/>
      <c r="G137" s="202"/>
      <c r="H137" s="202"/>
      <c r="I137" s="202"/>
      <c r="J137" s="202">
        <v>0.41687671232876761</v>
      </c>
      <c r="K137" s="202"/>
      <c r="L137" s="202"/>
      <c r="M137" s="202"/>
      <c r="N137" s="202"/>
      <c r="O137" s="202"/>
      <c r="P137" s="202"/>
      <c r="Q137" s="202"/>
      <c r="R137" s="202">
        <v>71.621041095890391</v>
      </c>
      <c r="S137" s="203">
        <v>1.4289131337866505</v>
      </c>
    </row>
    <row r="138" spans="1:19" x14ac:dyDescent="0.25">
      <c r="A138" s="198" t="s">
        <v>469</v>
      </c>
      <c r="B138" s="199">
        <v>1038.9671232877247</v>
      </c>
      <c r="C138" s="199">
        <v>1038.9671232877247</v>
      </c>
      <c r="D138" s="199"/>
      <c r="E138" s="199">
        <v>543.49791780823023</v>
      </c>
      <c r="F138" s="199">
        <v>35.266364383561772</v>
      </c>
      <c r="G138" s="199">
        <v>674.81112328768279</v>
      </c>
      <c r="H138" s="199">
        <v>5.7085479452054821</v>
      </c>
      <c r="I138" s="199"/>
      <c r="J138" s="199">
        <v>35.058904109589001</v>
      </c>
      <c r="K138" s="199">
        <v>3933.4658630137942</v>
      </c>
      <c r="L138" s="199">
        <v>3933.4658630137942</v>
      </c>
      <c r="M138" s="199">
        <v>84.227260273972803</v>
      </c>
      <c r="N138" s="199">
        <v>84.227260273972803</v>
      </c>
      <c r="O138" s="199"/>
      <c r="P138" s="199"/>
      <c r="Q138" s="199"/>
      <c r="R138" s="199">
        <v>5312.0359808220364</v>
      </c>
      <c r="S138" s="200">
        <v>5.1128046901162207</v>
      </c>
    </row>
    <row r="139" spans="1:19" x14ac:dyDescent="0.25">
      <c r="A139" s="201" t="s">
        <v>295</v>
      </c>
      <c r="B139" s="202">
        <v>1038.9671232877381</v>
      </c>
      <c r="C139" s="202">
        <v>1038.9671232877381</v>
      </c>
      <c r="D139" s="202"/>
      <c r="E139" s="202">
        <v>543.49791780823261</v>
      </c>
      <c r="F139" s="202">
        <v>35.266364383561772</v>
      </c>
      <c r="G139" s="202">
        <v>674.81112328768279</v>
      </c>
      <c r="H139" s="202">
        <v>5.7085479452054821</v>
      </c>
      <c r="I139" s="202"/>
      <c r="J139" s="202">
        <v>35.058904109588951</v>
      </c>
      <c r="K139" s="202">
        <v>3933.4658630137401</v>
      </c>
      <c r="L139" s="202">
        <v>3933.4658630137401</v>
      </c>
      <c r="M139" s="202">
        <v>84.227260273972803</v>
      </c>
      <c r="N139" s="202">
        <v>84.227260273972803</v>
      </c>
      <c r="O139" s="202"/>
      <c r="P139" s="202"/>
      <c r="Q139" s="202"/>
      <c r="R139" s="202">
        <v>5312.0359808219846</v>
      </c>
      <c r="S139" s="203">
        <v>5.1128046901161044</v>
      </c>
    </row>
    <row r="140" spans="1:19" x14ac:dyDescent="0.25">
      <c r="A140" s="198" t="s">
        <v>68</v>
      </c>
      <c r="B140" s="199">
        <v>1252.3936986301535</v>
      </c>
      <c r="C140" s="199">
        <v>1247.1712328767289</v>
      </c>
      <c r="D140" s="199">
        <v>5.2224657534246575</v>
      </c>
      <c r="E140" s="199">
        <v>985.41758356163325</v>
      </c>
      <c r="F140" s="199">
        <v>209.73208397260316</v>
      </c>
      <c r="G140" s="199">
        <v>22.513534246575318</v>
      </c>
      <c r="H140" s="199">
        <v>1.037917808219178</v>
      </c>
      <c r="I140" s="199">
        <v>4.9613424657534235</v>
      </c>
      <c r="J140" s="199">
        <v>32.815208219178139</v>
      </c>
      <c r="K140" s="199">
        <v>57.009150684931541</v>
      </c>
      <c r="L140" s="199">
        <v>57.009150684931541</v>
      </c>
      <c r="M140" s="199">
        <v>18.2632438356164</v>
      </c>
      <c r="N140" s="199">
        <v>18.2632438356164</v>
      </c>
      <c r="O140" s="199"/>
      <c r="P140" s="199">
        <v>0.66305534794520549</v>
      </c>
      <c r="Q140" s="199"/>
      <c r="R140" s="199">
        <v>1332.4131201424555</v>
      </c>
      <c r="S140" s="200">
        <v>1.063893184387487</v>
      </c>
    </row>
    <row r="141" spans="1:19" x14ac:dyDescent="0.25">
      <c r="A141" s="201" t="s">
        <v>256</v>
      </c>
      <c r="B141" s="202">
        <v>1252.3936986301464</v>
      </c>
      <c r="C141" s="202">
        <v>1247.1712328767219</v>
      </c>
      <c r="D141" s="202">
        <v>5.2224657534246619</v>
      </c>
      <c r="E141" s="202">
        <v>985.41758356163291</v>
      </c>
      <c r="F141" s="202">
        <v>209.73208397260279</v>
      </c>
      <c r="G141" s="202">
        <v>22.513534246575301</v>
      </c>
      <c r="H141" s="202">
        <v>1.037917808219178</v>
      </c>
      <c r="I141" s="202">
        <v>4.9613424657534209</v>
      </c>
      <c r="J141" s="202">
        <v>32.81520821917799</v>
      </c>
      <c r="K141" s="202">
        <v>57.009150684931434</v>
      </c>
      <c r="L141" s="202">
        <v>57.009150684931434</v>
      </c>
      <c r="M141" s="202">
        <v>18.2632438356164</v>
      </c>
      <c r="N141" s="202">
        <v>18.2632438356164</v>
      </c>
      <c r="O141" s="202"/>
      <c r="P141" s="202">
        <v>0.6630553479452036</v>
      </c>
      <c r="Q141" s="202"/>
      <c r="R141" s="202">
        <v>1332.4131201424545</v>
      </c>
      <c r="S141" s="203">
        <v>1.0638931843874913</v>
      </c>
    </row>
    <row r="142" spans="1:19" x14ac:dyDescent="0.25">
      <c r="A142" s="198" t="s">
        <v>69</v>
      </c>
      <c r="B142" s="199">
        <v>1780.0745205479566</v>
      </c>
      <c r="C142" s="199">
        <v>1780.0745205479566</v>
      </c>
      <c r="D142" s="199"/>
      <c r="E142" s="199">
        <v>1447.6724260273841</v>
      </c>
      <c r="F142" s="199">
        <v>261.70739654794664</v>
      </c>
      <c r="G142" s="199">
        <v>59.908109589041196</v>
      </c>
      <c r="H142" s="199">
        <v>8.5396164383561661</v>
      </c>
      <c r="I142" s="199"/>
      <c r="J142" s="199">
        <v>45.088726027397065</v>
      </c>
      <c r="K142" s="199">
        <v>123.91819178082126</v>
      </c>
      <c r="L142" s="199">
        <v>123.91819178082126</v>
      </c>
      <c r="M142" s="199">
        <v>7.9772054794520555</v>
      </c>
      <c r="N142" s="199">
        <v>7.9772054794520555</v>
      </c>
      <c r="O142" s="199"/>
      <c r="P142" s="199"/>
      <c r="Q142" s="199"/>
      <c r="R142" s="199">
        <v>1954.8116718903977</v>
      </c>
      <c r="S142" s="200">
        <v>1.0981628293228154</v>
      </c>
    </row>
    <row r="143" spans="1:19" x14ac:dyDescent="0.25">
      <c r="A143" s="201" t="s">
        <v>254</v>
      </c>
      <c r="B143" s="202">
        <v>1780.0745205479013</v>
      </c>
      <c r="C143" s="202">
        <v>1780.0745205479013</v>
      </c>
      <c r="D143" s="202"/>
      <c r="E143" s="202">
        <v>1447.67242602737</v>
      </c>
      <c r="F143" s="202">
        <v>261.70739654794653</v>
      </c>
      <c r="G143" s="202">
        <v>59.908109589041203</v>
      </c>
      <c r="H143" s="202">
        <v>8.5396164383561661</v>
      </c>
      <c r="I143" s="202"/>
      <c r="J143" s="202">
        <v>45.088726027396788</v>
      </c>
      <c r="K143" s="202">
        <v>123.91819178081835</v>
      </c>
      <c r="L143" s="202">
        <v>123.91819178081835</v>
      </c>
      <c r="M143" s="202">
        <v>7.9772054794520555</v>
      </c>
      <c r="N143" s="202">
        <v>7.9772054794520555</v>
      </c>
      <c r="O143" s="202"/>
      <c r="P143" s="202"/>
      <c r="Q143" s="202"/>
      <c r="R143" s="202">
        <v>1954.8116718903814</v>
      </c>
      <c r="S143" s="203">
        <v>1.09816282932284</v>
      </c>
    </row>
    <row r="144" spans="1:19" x14ac:dyDescent="0.25">
      <c r="A144" s="198" t="s">
        <v>70</v>
      </c>
      <c r="B144" s="199">
        <v>2743.9810958904063</v>
      </c>
      <c r="C144" s="199">
        <v>2743.9810958904063</v>
      </c>
      <c r="D144" s="199"/>
      <c r="E144" s="199">
        <v>2187.86016986297</v>
      </c>
      <c r="F144" s="199">
        <v>387.63539441095992</v>
      </c>
      <c r="G144" s="199">
        <v>84.851890410959143</v>
      </c>
      <c r="H144" s="199">
        <v>67.175643835616739</v>
      </c>
      <c r="I144" s="199"/>
      <c r="J144" s="199">
        <v>77.131594520547097</v>
      </c>
      <c r="K144" s="199">
        <v>213.65304109589076</v>
      </c>
      <c r="L144" s="199">
        <v>213.65304109589076</v>
      </c>
      <c r="M144" s="199">
        <v>24.384328767123247</v>
      </c>
      <c r="N144" s="199">
        <v>24.384328767123247</v>
      </c>
      <c r="O144" s="199"/>
      <c r="P144" s="199">
        <v>1.4477394082191783</v>
      </c>
      <c r="Q144" s="199"/>
      <c r="R144" s="199">
        <v>3044.139802312287</v>
      </c>
      <c r="S144" s="200">
        <v>1.1093880372832812</v>
      </c>
    </row>
    <row r="145" spans="1:19" x14ac:dyDescent="0.25">
      <c r="A145" s="201" t="s">
        <v>253</v>
      </c>
      <c r="B145" s="202">
        <v>2743.9810958905578</v>
      </c>
      <c r="C145" s="202">
        <v>2743.9810958905578</v>
      </c>
      <c r="D145" s="202"/>
      <c r="E145" s="202">
        <v>2187.8601698629459</v>
      </c>
      <c r="F145" s="202">
        <v>387.63539441095793</v>
      </c>
      <c r="G145" s="202">
        <v>84.851890410959342</v>
      </c>
      <c r="H145" s="202">
        <v>67.175643835616739</v>
      </c>
      <c r="I145" s="202"/>
      <c r="J145" s="202">
        <v>77.131594520545676</v>
      </c>
      <c r="K145" s="202">
        <v>213.65304109589133</v>
      </c>
      <c r="L145" s="202">
        <v>213.65304109589133</v>
      </c>
      <c r="M145" s="202">
        <v>24.38432876712324</v>
      </c>
      <c r="N145" s="202">
        <v>24.38432876712324</v>
      </c>
      <c r="O145" s="202"/>
      <c r="P145" s="202">
        <v>1.4477394082191848</v>
      </c>
      <c r="Q145" s="202"/>
      <c r="R145" s="202">
        <v>3044.1398023122592</v>
      </c>
      <c r="S145" s="203">
        <v>1.1093880372832106</v>
      </c>
    </row>
    <row r="146" spans="1:19" x14ac:dyDescent="0.25">
      <c r="A146" s="198" t="s">
        <v>71</v>
      </c>
      <c r="B146" s="199">
        <v>4744.0850684929665</v>
      </c>
      <c r="C146" s="199">
        <v>4740.2176712326927</v>
      </c>
      <c r="D146" s="199">
        <v>3.8673972602739748</v>
      </c>
      <c r="E146" s="199">
        <v>3338.2518487670718</v>
      </c>
      <c r="F146" s="199">
        <v>1066.7713489150863</v>
      </c>
      <c r="G146" s="199">
        <v>132.15942465753483</v>
      </c>
      <c r="H146" s="199">
        <v>3.3458082191780827</v>
      </c>
      <c r="I146" s="199">
        <v>3.6740273972602679</v>
      </c>
      <c r="J146" s="199">
        <v>117.66761095890459</v>
      </c>
      <c r="K146" s="199">
        <v>277.10981369862873</v>
      </c>
      <c r="L146" s="199">
        <v>277.10981369862873</v>
      </c>
      <c r="M146" s="199">
        <v>26.97987945205471</v>
      </c>
      <c r="N146" s="199">
        <v>26.97987945205471</v>
      </c>
      <c r="O146" s="199"/>
      <c r="P146" s="199">
        <v>4.5375971473972596</v>
      </c>
      <c r="Q146" s="199"/>
      <c r="R146" s="199">
        <v>4970.4973592131164</v>
      </c>
      <c r="S146" s="200">
        <v>1.0477251751288856</v>
      </c>
    </row>
    <row r="147" spans="1:19" x14ac:dyDescent="0.25">
      <c r="A147" s="201" t="s">
        <v>252</v>
      </c>
      <c r="B147" s="202">
        <v>4744.0850684925172</v>
      </c>
      <c r="C147" s="202">
        <v>4740.2176712322434</v>
      </c>
      <c r="D147" s="202">
        <v>3.8673972602739761</v>
      </c>
      <c r="E147" s="202">
        <v>3338.251848766964</v>
      </c>
      <c r="F147" s="202">
        <v>1066.7713489151281</v>
      </c>
      <c r="G147" s="202">
        <v>132.15942465753457</v>
      </c>
      <c r="H147" s="202">
        <v>3.3458082191780827</v>
      </c>
      <c r="I147" s="202">
        <v>3.6740273972602697</v>
      </c>
      <c r="J147" s="202">
        <v>117.66761095890134</v>
      </c>
      <c r="K147" s="202">
        <v>277.10981369862884</v>
      </c>
      <c r="L147" s="202">
        <v>277.10981369862884</v>
      </c>
      <c r="M147" s="202">
        <v>26.9798794520547</v>
      </c>
      <c r="N147" s="202">
        <v>26.9798794520547</v>
      </c>
      <c r="O147" s="202"/>
      <c r="P147" s="202">
        <v>4.5375971473972569</v>
      </c>
      <c r="Q147" s="202"/>
      <c r="R147" s="202">
        <v>4970.4973592130473</v>
      </c>
      <c r="S147" s="203">
        <v>1.0477251751289685</v>
      </c>
    </row>
    <row r="148" spans="1:19" x14ac:dyDescent="0.25">
      <c r="A148" s="198" t="s">
        <v>72</v>
      </c>
      <c r="B148" s="199">
        <v>223.94246575342399</v>
      </c>
      <c r="C148" s="199">
        <v>223.94246575342399</v>
      </c>
      <c r="D148" s="199"/>
      <c r="E148" s="199">
        <v>203.15123287671221</v>
      </c>
      <c r="F148" s="199">
        <v>13.881766027397257</v>
      </c>
      <c r="G148" s="199"/>
      <c r="H148" s="199">
        <v>25.348821917808213</v>
      </c>
      <c r="I148" s="199"/>
      <c r="J148" s="199">
        <v>1.0122739726027399</v>
      </c>
      <c r="K148" s="199">
        <v>12.501369863013702</v>
      </c>
      <c r="L148" s="199">
        <v>12.501369863013702</v>
      </c>
      <c r="M148" s="199"/>
      <c r="N148" s="199"/>
      <c r="O148" s="199"/>
      <c r="P148" s="199"/>
      <c r="Q148" s="199"/>
      <c r="R148" s="199">
        <v>255.89546465753415</v>
      </c>
      <c r="S148" s="200">
        <v>1.1426839648148404</v>
      </c>
    </row>
    <row r="149" spans="1:19" x14ac:dyDescent="0.25">
      <c r="A149" s="201" t="s">
        <v>250</v>
      </c>
      <c r="B149" s="202">
        <v>223.94246575341899</v>
      </c>
      <c r="C149" s="202">
        <v>223.94246575341899</v>
      </c>
      <c r="D149" s="202"/>
      <c r="E149" s="202">
        <v>203.15123287671292</v>
      </c>
      <c r="F149" s="202">
        <v>13.881766027397267</v>
      </c>
      <c r="G149" s="202"/>
      <c r="H149" s="202">
        <v>25.348821917808213</v>
      </c>
      <c r="I149" s="202"/>
      <c r="J149" s="202">
        <v>1.0122739726027417</v>
      </c>
      <c r="K149" s="202">
        <v>12.501369863013744</v>
      </c>
      <c r="L149" s="202">
        <v>12.501369863013744</v>
      </c>
      <c r="M149" s="202"/>
      <c r="N149" s="202"/>
      <c r="O149" s="202"/>
      <c r="P149" s="202"/>
      <c r="Q149" s="202"/>
      <c r="R149" s="202">
        <v>255.89546465753489</v>
      </c>
      <c r="S149" s="203">
        <v>1.1426839648148692</v>
      </c>
    </row>
    <row r="150" spans="1:19" x14ac:dyDescent="0.25">
      <c r="A150" s="198" t="s">
        <v>73</v>
      </c>
      <c r="B150" s="199">
        <v>107.98082191780826</v>
      </c>
      <c r="C150" s="199">
        <v>107.26849315068498</v>
      </c>
      <c r="D150" s="199">
        <v>0.71232876712328763</v>
      </c>
      <c r="E150" s="199"/>
      <c r="F150" s="199">
        <v>77.812564931506799</v>
      </c>
      <c r="G150" s="199"/>
      <c r="H150" s="199"/>
      <c r="I150" s="199">
        <v>0.67671232876712317</v>
      </c>
      <c r="J150" s="199"/>
      <c r="K150" s="199"/>
      <c r="L150" s="199"/>
      <c r="M150" s="199"/>
      <c r="N150" s="199"/>
      <c r="O150" s="199"/>
      <c r="P150" s="199"/>
      <c r="Q150" s="199"/>
      <c r="R150" s="199">
        <v>78.489277260273923</v>
      </c>
      <c r="S150" s="200">
        <v>0.72688164311267789</v>
      </c>
    </row>
    <row r="151" spans="1:19" x14ac:dyDescent="0.25">
      <c r="A151" s="201" t="s">
        <v>246</v>
      </c>
      <c r="B151" s="202">
        <v>107.98082191780827</v>
      </c>
      <c r="C151" s="202">
        <v>107.26849315068499</v>
      </c>
      <c r="D151" s="202">
        <v>0.71232876712328763</v>
      </c>
      <c r="E151" s="202"/>
      <c r="F151" s="202">
        <v>77.812564931507225</v>
      </c>
      <c r="G151" s="202"/>
      <c r="H151" s="202"/>
      <c r="I151" s="202">
        <v>0.67671232876712317</v>
      </c>
      <c r="J151" s="202"/>
      <c r="K151" s="202"/>
      <c r="L151" s="202"/>
      <c r="M151" s="202"/>
      <c r="N151" s="202"/>
      <c r="O151" s="202"/>
      <c r="P151" s="202"/>
      <c r="Q151" s="202"/>
      <c r="R151" s="202">
        <v>78.489277260274349</v>
      </c>
      <c r="S151" s="203">
        <v>0.72688164311268166</v>
      </c>
    </row>
    <row r="152" spans="1:19" x14ac:dyDescent="0.25">
      <c r="A152" s="198" t="s">
        <v>74</v>
      </c>
      <c r="B152" s="199">
        <v>194.97945205479357</v>
      </c>
      <c r="C152" s="199">
        <v>194.97945205479357</v>
      </c>
      <c r="D152" s="199"/>
      <c r="E152" s="199">
        <v>108.95438630136961</v>
      </c>
      <c r="F152" s="199">
        <v>57.11455627397261</v>
      </c>
      <c r="G152" s="199"/>
      <c r="H152" s="199">
        <v>8.7674520547945214</v>
      </c>
      <c r="I152" s="199"/>
      <c r="J152" s="199">
        <v>1.1515726027397264</v>
      </c>
      <c r="K152" s="199">
        <v>13.308493150684937</v>
      </c>
      <c r="L152" s="199">
        <v>13.308493150684937</v>
      </c>
      <c r="M152" s="199"/>
      <c r="N152" s="199"/>
      <c r="O152" s="199"/>
      <c r="P152" s="199">
        <v>0.39636650958904085</v>
      </c>
      <c r="Q152" s="199"/>
      <c r="R152" s="199">
        <v>189.69282689315042</v>
      </c>
      <c r="S152" s="200">
        <v>0.97288624464819251</v>
      </c>
    </row>
    <row r="153" spans="1:19" x14ac:dyDescent="0.25">
      <c r="A153" s="201" t="s">
        <v>248</v>
      </c>
      <c r="B153" s="202">
        <v>194.97945205478851</v>
      </c>
      <c r="C153" s="202">
        <v>194.97945205478851</v>
      </c>
      <c r="D153" s="202"/>
      <c r="E153" s="202">
        <v>108.95438630136981</v>
      </c>
      <c r="F153" s="202">
        <v>57.114556273973314</v>
      </c>
      <c r="G153" s="202"/>
      <c r="H153" s="202">
        <v>8.7674520547945214</v>
      </c>
      <c r="I153" s="202"/>
      <c r="J153" s="202">
        <v>1.1515726027397248</v>
      </c>
      <c r="K153" s="202">
        <v>13.308493150684953</v>
      </c>
      <c r="L153" s="202">
        <v>13.308493150684953</v>
      </c>
      <c r="M153" s="202"/>
      <c r="N153" s="202"/>
      <c r="O153" s="202"/>
      <c r="P153" s="202">
        <v>0.39636650958904018</v>
      </c>
      <c r="Q153" s="202"/>
      <c r="R153" s="202">
        <v>189.69282689315136</v>
      </c>
      <c r="S153" s="203">
        <v>0.9728862446482226</v>
      </c>
    </row>
    <row r="154" spans="1:19" x14ac:dyDescent="0.25">
      <c r="A154" s="198" t="s">
        <v>442</v>
      </c>
      <c r="B154" s="199">
        <v>913.47219178082901</v>
      </c>
      <c r="C154" s="199">
        <v>913.47219178082901</v>
      </c>
      <c r="D154" s="199"/>
      <c r="E154" s="199">
        <v>581.85704657534029</v>
      </c>
      <c r="F154" s="199">
        <v>122.50753939726026</v>
      </c>
      <c r="G154" s="199"/>
      <c r="H154" s="199"/>
      <c r="I154" s="199"/>
      <c r="J154" s="199">
        <v>28.111799999999977</v>
      </c>
      <c r="K154" s="199">
        <v>41.282054794520562</v>
      </c>
      <c r="L154" s="199">
        <v>41.282054794520562</v>
      </c>
      <c r="M154" s="199"/>
      <c r="N154" s="199"/>
      <c r="O154" s="199">
        <v>-15.419976854794484</v>
      </c>
      <c r="P154" s="199"/>
      <c r="Q154" s="199"/>
      <c r="R154" s="199">
        <v>758.33846391232669</v>
      </c>
      <c r="S154" s="200">
        <v>0.83017137328935364</v>
      </c>
    </row>
    <row r="155" spans="1:19" x14ac:dyDescent="0.25">
      <c r="A155" s="201" t="s">
        <v>279</v>
      </c>
      <c r="B155" s="202">
        <v>913.47219178084481</v>
      </c>
      <c r="C155" s="202">
        <v>913.47219178084481</v>
      </c>
      <c r="D155" s="202"/>
      <c r="E155" s="202">
        <v>581.8570465753395</v>
      </c>
      <c r="F155" s="202">
        <v>122.50753939726053</v>
      </c>
      <c r="G155" s="202"/>
      <c r="H155" s="202"/>
      <c r="I155" s="202"/>
      <c r="J155" s="202">
        <v>28.111799999999974</v>
      </c>
      <c r="K155" s="202">
        <v>41.282054794520576</v>
      </c>
      <c r="L155" s="202">
        <v>41.282054794520576</v>
      </c>
      <c r="M155" s="202"/>
      <c r="N155" s="202"/>
      <c r="O155" s="202">
        <v>-15.419976854794484</v>
      </c>
      <c r="P155" s="202"/>
      <c r="Q155" s="202"/>
      <c r="R155" s="202">
        <v>758.33846391232612</v>
      </c>
      <c r="S155" s="203">
        <v>0.83017137328933877</v>
      </c>
    </row>
    <row r="156" spans="1:19" x14ac:dyDescent="0.25">
      <c r="A156" s="198" t="s">
        <v>145</v>
      </c>
      <c r="B156" s="199">
        <v>2.2065753424657526</v>
      </c>
      <c r="C156" s="199">
        <v>2.2065753424657526</v>
      </c>
      <c r="D156" s="199"/>
      <c r="E156" s="199"/>
      <c r="F156" s="199">
        <v>1.6006497534246553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>
        <v>0.11776521205479494</v>
      </c>
      <c r="Q156" s="199"/>
      <c r="R156" s="199">
        <v>1.7184149654794503</v>
      </c>
      <c r="S156" s="200">
        <v>0.77877012962503056</v>
      </c>
    </row>
    <row r="157" spans="1:19" x14ac:dyDescent="0.25">
      <c r="A157" s="201" t="s">
        <v>247</v>
      </c>
      <c r="B157" s="202">
        <v>2.2065753424657526</v>
      </c>
      <c r="C157" s="202">
        <v>2.2065753424657526</v>
      </c>
      <c r="D157" s="202"/>
      <c r="E157" s="202"/>
      <c r="F157" s="202">
        <v>1.6006497534246553</v>
      </c>
      <c r="G157" s="202"/>
      <c r="H157" s="202"/>
      <c r="I157" s="202"/>
      <c r="J157" s="202"/>
      <c r="K157" s="202"/>
      <c r="L157" s="202"/>
      <c r="M157" s="202"/>
      <c r="N157" s="202"/>
      <c r="O157" s="202"/>
      <c r="P157" s="202">
        <v>0.11776521205479494</v>
      </c>
      <c r="Q157" s="202"/>
      <c r="R157" s="202">
        <v>1.7184149654794503</v>
      </c>
      <c r="S157" s="203">
        <v>0.77877012962503056</v>
      </c>
    </row>
    <row r="158" spans="1:19" x14ac:dyDescent="0.25">
      <c r="A158" s="198" t="s">
        <v>75</v>
      </c>
      <c r="B158" s="199">
        <v>1293.9808219177496</v>
      </c>
      <c r="C158" s="199">
        <v>1293.9808219177496</v>
      </c>
      <c r="D158" s="199"/>
      <c r="E158" s="199">
        <v>1116.287846575324</v>
      </c>
      <c r="F158" s="199">
        <v>159.00937693150703</v>
      </c>
      <c r="G158" s="199">
        <v>94.827715068493617</v>
      </c>
      <c r="H158" s="199">
        <v>10.424745205479454</v>
      </c>
      <c r="I158" s="199"/>
      <c r="J158" s="199">
        <v>46.68570410958835</v>
      </c>
      <c r="K158" s="199">
        <v>453.50875068492957</v>
      </c>
      <c r="L158" s="199">
        <v>453.50875068492957</v>
      </c>
      <c r="M158" s="199">
        <v>98.230964383562508</v>
      </c>
      <c r="N158" s="199">
        <v>98.230964383562508</v>
      </c>
      <c r="O158" s="199"/>
      <c r="P158" s="199"/>
      <c r="Q158" s="199"/>
      <c r="R158" s="199">
        <v>1978.9751029588847</v>
      </c>
      <c r="S158" s="200">
        <v>1.5293697320999962</v>
      </c>
    </row>
    <row r="159" spans="1:19" x14ac:dyDescent="0.25">
      <c r="A159" s="201" t="s">
        <v>245</v>
      </c>
      <c r="B159" s="202">
        <v>1293.9808219177023</v>
      </c>
      <c r="C159" s="202">
        <v>1293.9808219177023</v>
      </c>
      <c r="D159" s="202"/>
      <c r="E159" s="202">
        <v>1116.2878465753249</v>
      </c>
      <c r="F159" s="202">
        <v>159.00937693150695</v>
      </c>
      <c r="G159" s="202">
        <v>94.827715068493688</v>
      </c>
      <c r="H159" s="202">
        <v>10.424745205479454</v>
      </c>
      <c r="I159" s="202"/>
      <c r="J159" s="202">
        <v>46.685704109588208</v>
      </c>
      <c r="K159" s="202">
        <v>453.508750684929</v>
      </c>
      <c r="L159" s="202">
        <v>453.508750684929</v>
      </c>
      <c r="M159" s="202">
        <v>98.230964383562508</v>
      </c>
      <c r="N159" s="202">
        <v>98.230964383562508</v>
      </c>
      <c r="O159" s="202"/>
      <c r="P159" s="202"/>
      <c r="Q159" s="202"/>
      <c r="R159" s="202">
        <v>1978.9751029588847</v>
      </c>
      <c r="S159" s="203">
        <v>1.5293697321000546</v>
      </c>
    </row>
    <row r="160" spans="1:19" x14ac:dyDescent="0.25">
      <c r="A160" s="198" t="s">
        <v>76</v>
      </c>
      <c r="B160" s="199">
        <v>39.446219178082217</v>
      </c>
      <c r="C160" s="199">
        <v>39.446219178082217</v>
      </c>
      <c r="D160" s="199"/>
      <c r="E160" s="199">
        <v>57.186055342465764</v>
      </c>
      <c r="F160" s="199"/>
      <c r="G160" s="199"/>
      <c r="H160" s="199"/>
      <c r="I160" s="199"/>
      <c r="J160" s="199">
        <v>0.68334246575342483</v>
      </c>
      <c r="K160" s="199"/>
      <c r="L160" s="199"/>
      <c r="M160" s="199"/>
      <c r="N160" s="199"/>
      <c r="O160" s="199"/>
      <c r="P160" s="199"/>
      <c r="Q160" s="199"/>
      <c r="R160" s="199">
        <v>57.86939780821919</v>
      </c>
      <c r="S160" s="200">
        <v>1.4670454865893352</v>
      </c>
    </row>
    <row r="161" spans="1:19" x14ac:dyDescent="0.25">
      <c r="A161" s="201" t="s">
        <v>244</v>
      </c>
      <c r="B161" s="202">
        <v>39.446219178082224</v>
      </c>
      <c r="C161" s="202">
        <v>39.446219178082224</v>
      </c>
      <c r="D161" s="202"/>
      <c r="E161" s="202">
        <v>57.186055342465771</v>
      </c>
      <c r="F161" s="202"/>
      <c r="G161" s="202"/>
      <c r="H161" s="202"/>
      <c r="I161" s="202"/>
      <c r="J161" s="202">
        <v>0.68334246575342494</v>
      </c>
      <c r="K161" s="202"/>
      <c r="L161" s="202"/>
      <c r="M161" s="202"/>
      <c r="N161" s="202"/>
      <c r="O161" s="202"/>
      <c r="P161" s="202"/>
      <c r="Q161" s="202"/>
      <c r="R161" s="202">
        <v>57.869397808219198</v>
      </c>
      <c r="S161" s="203">
        <v>1.467045486589335</v>
      </c>
    </row>
    <row r="162" spans="1:19" x14ac:dyDescent="0.25">
      <c r="A162" s="198" t="s">
        <v>77</v>
      </c>
      <c r="B162" s="199">
        <v>47.098630136986301</v>
      </c>
      <c r="C162" s="199">
        <v>47.098630136986301</v>
      </c>
      <c r="D162" s="199"/>
      <c r="E162" s="199">
        <v>50.395534246575274</v>
      </c>
      <c r="F162" s="199"/>
      <c r="G162" s="199"/>
      <c r="H162" s="199"/>
      <c r="I162" s="199"/>
      <c r="J162" s="199">
        <v>1.7730410958904113</v>
      </c>
      <c r="K162" s="199">
        <v>1.6684931506849312</v>
      </c>
      <c r="L162" s="199">
        <v>1.6684931506849312</v>
      </c>
      <c r="M162" s="199">
        <v>15.492821917808206</v>
      </c>
      <c r="N162" s="199">
        <v>15.492821917808206</v>
      </c>
      <c r="O162" s="199"/>
      <c r="P162" s="199"/>
      <c r="Q162" s="199"/>
      <c r="R162" s="199">
        <v>69.329890410958825</v>
      </c>
      <c r="S162" s="200">
        <v>1.4720150078529446</v>
      </c>
    </row>
    <row r="163" spans="1:19" x14ac:dyDescent="0.25">
      <c r="A163" s="201" t="s">
        <v>240</v>
      </c>
      <c r="B163" s="202">
        <v>47.098630136986323</v>
      </c>
      <c r="C163" s="202">
        <v>47.098630136986323</v>
      </c>
      <c r="D163" s="202"/>
      <c r="E163" s="202">
        <v>50.395534246575274</v>
      </c>
      <c r="F163" s="202"/>
      <c r="G163" s="202"/>
      <c r="H163" s="202"/>
      <c r="I163" s="202"/>
      <c r="J163" s="202">
        <v>1.7730410958904115</v>
      </c>
      <c r="K163" s="202">
        <v>1.668493150684931</v>
      </c>
      <c r="L163" s="202">
        <v>1.668493150684931</v>
      </c>
      <c r="M163" s="202">
        <v>15.492821917808206</v>
      </c>
      <c r="N163" s="202">
        <v>15.492821917808206</v>
      </c>
      <c r="O163" s="202"/>
      <c r="P163" s="202"/>
      <c r="Q163" s="202"/>
      <c r="R163" s="202">
        <v>69.329890410958811</v>
      </c>
      <c r="S163" s="203">
        <v>1.4720150078529437</v>
      </c>
    </row>
    <row r="164" spans="1:19" x14ac:dyDescent="0.25">
      <c r="A164" s="198" t="s">
        <v>78</v>
      </c>
      <c r="B164" s="199">
        <v>66.904109589041113</v>
      </c>
      <c r="C164" s="199">
        <v>66.904109589041113</v>
      </c>
      <c r="D164" s="199"/>
      <c r="E164" s="199"/>
      <c r="F164" s="199">
        <v>60.864576164383607</v>
      </c>
      <c r="G164" s="199"/>
      <c r="H164" s="199"/>
      <c r="I164" s="199"/>
      <c r="J164" s="199"/>
      <c r="K164" s="199"/>
      <c r="L164" s="199"/>
      <c r="M164" s="199"/>
      <c r="N164" s="199"/>
      <c r="O164" s="199">
        <v>-0.13969415342465738</v>
      </c>
      <c r="P164" s="199"/>
      <c r="Q164" s="199"/>
      <c r="R164" s="199">
        <v>60.72488201095895</v>
      </c>
      <c r="S164" s="200">
        <v>0.90764053783783827</v>
      </c>
    </row>
    <row r="165" spans="1:19" x14ac:dyDescent="0.25">
      <c r="A165" s="201" t="s">
        <v>239</v>
      </c>
      <c r="B165" s="202">
        <v>66.904109589041042</v>
      </c>
      <c r="C165" s="202">
        <v>66.904109589041042</v>
      </c>
      <c r="D165" s="202"/>
      <c r="E165" s="202"/>
      <c r="F165" s="202">
        <v>60.864576164383756</v>
      </c>
      <c r="G165" s="202"/>
      <c r="H165" s="202"/>
      <c r="I165" s="202"/>
      <c r="J165" s="202"/>
      <c r="K165" s="202"/>
      <c r="L165" s="202"/>
      <c r="M165" s="202"/>
      <c r="N165" s="202"/>
      <c r="O165" s="202">
        <v>-0.13969415342465738</v>
      </c>
      <c r="P165" s="202"/>
      <c r="Q165" s="202"/>
      <c r="R165" s="202">
        <v>60.724882010959099</v>
      </c>
      <c r="S165" s="203">
        <v>0.90764053783784149</v>
      </c>
    </row>
    <row r="166" spans="1:19" x14ac:dyDescent="0.25">
      <c r="A166" s="198" t="s">
        <v>79</v>
      </c>
      <c r="B166" s="199">
        <v>65.552328767123512</v>
      </c>
      <c r="C166" s="199">
        <v>65.552328767123512</v>
      </c>
      <c r="D166" s="199"/>
      <c r="E166" s="199"/>
      <c r="F166" s="199">
        <v>54.305981753424525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>
        <v>54.305981753424525</v>
      </c>
      <c r="S166" s="200">
        <v>0.82843710932601722</v>
      </c>
    </row>
    <row r="167" spans="1:19" x14ac:dyDescent="0.25">
      <c r="A167" s="201" t="s">
        <v>238</v>
      </c>
      <c r="B167" s="202">
        <v>65.552328767123385</v>
      </c>
      <c r="C167" s="202">
        <v>65.552328767123385</v>
      </c>
      <c r="D167" s="202"/>
      <c r="E167" s="202"/>
      <c r="F167" s="202">
        <v>54.305981753424987</v>
      </c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>
        <v>54.305981753424987</v>
      </c>
      <c r="S167" s="203">
        <v>0.82843710932602588</v>
      </c>
    </row>
    <row r="168" spans="1:19" x14ac:dyDescent="0.25">
      <c r="A168" s="198" t="s">
        <v>80</v>
      </c>
      <c r="B168" s="199">
        <v>1011.9372602739949</v>
      </c>
      <c r="C168" s="199">
        <v>1011.9372602739949</v>
      </c>
      <c r="D168" s="199"/>
      <c r="E168" s="199">
        <v>909.2791452054729</v>
      </c>
      <c r="F168" s="199">
        <v>203.36123108219275</v>
      </c>
      <c r="G168" s="199"/>
      <c r="H168" s="199">
        <v>4.1558904109589019</v>
      </c>
      <c r="I168" s="199"/>
      <c r="J168" s="199">
        <v>12.581736986301436</v>
      </c>
      <c r="K168" s="199">
        <v>63.895958904109627</v>
      </c>
      <c r="L168" s="199">
        <v>63.895958904109627</v>
      </c>
      <c r="M168" s="199">
        <v>75.221334246575623</v>
      </c>
      <c r="N168" s="199">
        <v>75.221334246575623</v>
      </c>
      <c r="O168" s="199"/>
      <c r="P168" s="199"/>
      <c r="Q168" s="199">
        <v>1.853369863013699</v>
      </c>
      <c r="R168" s="199">
        <v>1270.348666698625</v>
      </c>
      <c r="S168" s="200">
        <v>1.2553630709819503</v>
      </c>
    </row>
    <row r="169" spans="1:19" x14ac:dyDescent="0.25">
      <c r="A169" s="201" t="s">
        <v>237</v>
      </c>
      <c r="B169" s="202">
        <v>1011.9372602740851</v>
      </c>
      <c r="C169" s="202">
        <v>1011.9372602740851</v>
      </c>
      <c r="D169" s="202"/>
      <c r="E169" s="202">
        <v>909.27914520547563</v>
      </c>
      <c r="F169" s="202">
        <v>203.36123108219297</v>
      </c>
      <c r="G169" s="202"/>
      <c r="H169" s="202">
        <v>4.1558904109589019</v>
      </c>
      <c r="I169" s="202"/>
      <c r="J169" s="202">
        <v>12.581736986301456</v>
      </c>
      <c r="K169" s="202">
        <v>63.89595890410952</v>
      </c>
      <c r="L169" s="202">
        <v>63.89595890410952</v>
      </c>
      <c r="M169" s="202">
        <v>75.221334246575623</v>
      </c>
      <c r="N169" s="202">
        <v>75.221334246575623</v>
      </c>
      <c r="O169" s="202"/>
      <c r="P169" s="202"/>
      <c r="Q169" s="202">
        <v>1.853369863013699</v>
      </c>
      <c r="R169" s="202">
        <v>1270.3486666986278</v>
      </c>
      <c r="S169" s="203">
        <v>1.2553630709818426</v>
      </c>
    </row>
    <row r="170" spans="1:19" x14ac:dyDescent="0.25">
      <c r="A170" s="198" t="s">
        <v>81</v>
      </c>
      <c r="B170" s="199">
        <v>1536.4882191780771</v>
      </c>
      <c r="C170" s="199">
        <v>1536.4882191780771</v>
      </c>
      <c r="D170" s="199"/>
      <c r="E170" s="199">
        <v>1111.877964383566</v>
      </c>
      <c r="F170" s="199">
        <v>177.31876339726153</v>
      </c>
      <c r="G170" s="199"/>
      <c r="H170" s="199">
        <v>14.916904109589034</v>
      </c>
      <c r="I170" s="199"/>
      <c r="J170" s="199">
        <v>47.736493150684623</v>
      </c>
      <c r="K170" s="199">
        <v>85.417260273972019</v>
      </c>
      <c r="L170" s="199">
        <v>85.417260273972019</v>
      </c>
      <c r="M170" s="199"/>
      <c r="N170" s="199"/>
      <c r="O170" s="199">
        <v>-3.8733378904109577</v>
      </c>
      <c r="P170" s="199">
        <v>8.56766958904112E-2</v>
      </c>
      <c r="Q170" s="199"/>
      <c r="R170" s="199">
        <v>1433.4797241205529</v>
      </c>
      <c r="S170" s="200">
        <v>0.93295848691073779</v>
      </c>
    </row>
    <row r="171" spans="1:19" x14ac:dyDescent="0.25">
      <c r="A171" s="201" t="s">
        <v>236</v>
      </c>
      <c r="B171" s="202">
        <v>1536.4882191780266</v>
      </c>
      <c r="C171" s="202">
        <v>1536.4882191780266</v>
      </c>
      <c r="D171" s="202"/>
      <c r="E171" s="202">
        <v>1111.8779643835667</v>
      </c>
      <c r="F171" s="202">
        <v>177.3187633972623</v>
      </c>
      <c r="G171" s="202"/>
      <c r="H171" s="202">
        <v>14.916904109589034</v>
      </c>
      <c r="I171" s="202"/>
      <c r="J171" s="202">
        <v>47.736493150683778</v>
      </c>
      <c r="K171" s="202">
        <v>85.417260273971323</v>
      </c>
      <c r="L171" s="202">
        <v>85.417260273971323</v>
      </c>
      <c r="M171" s="202"/>
      <c r="N171" s="202"/>
      <c r="O171" s="202">
        <v>-3.8733378904109577</v>
      </c>
      <c r="P171" s="202">
        <v>8.56766958904112E-2</v>
      </c>
      <c r="Q171" s="202"/>
      <c r="R171" s="202">
        <v>1433.4797241205526</v>
      </c>
      <c r="S171" s="203">
        <v>0.93295848691076833</v>
      </c>
    </row>
    <row r="172" spans="1:19" x14ac:dyDescent="0.25">
      <c r="A172" s="198" t="s">
        <v>82</v>
      </c>
      <c r="B172" s="199">
        <v>100.04109589041103</v>
      </c>
      <c r="C172" s="199">
        <v>100.04109589041103</v>
      </c>
      <c r="D172" s="199"/>
      <c r="E172" s="199">
        <v>83.983397260274117</v>
      </c>
      <c r="F172" s="199">
        <v>9.7640827397260281</v>
      </c>
      <c r="G172" s="199"/>
      <c r="H172" s="199"/>
      <c r="I172" s="199"/>
      <c r="J172" s="199">
        <v>1.3648767123287673</v>
      </c>
      <c r="K172" s="199">
        <v>1.2794520547945203</v>
      </c>
      <c r="L172" s="199">
        <v>1.2794520547945203</v>
      </c>
      <c r="M172" s="199">
        <v>9.2336438356164265</v>
      </c>
      <c r="N172" s="199">
        <v>9.2336438356164265</v>
      </c>
      <c r="O172" s="199"/>
      <c r="P172" s="199">
        <v>0.38366704109589084</v>
      </c>
      <c r="Q172" s="199"/>
      <c r="R172" s="199">
        <v>106.00911964383573</v>
      </c>
      <c r="S172" s="200">
        <v>1.0596557214843219</v>
      </c>
    </row>
    <row r="173" spans="1:19" x14ac:dyDescent="0.25">
      <c r="A173" s="201" t="s">
        <v>235</v>
      </c>
      <c r="B173" s="202">
        <v>100.04109589041111</v>
      </c>
      <c r="C173" s="202">
        <v>100.04109589041111</v>
      </c>
      <c r="D173" s="202"/>
      <c r="E173" s="202">
        <v>83.983397260274174</v>
      </c>
      <c r="F173" s="202">
        <v>9.7640827397260264</v>
      </c>
      <c r="G173" s="202"/>
      <c r="H173" s="202"/>
      <c r="I173" s="202"/>
      <c r="J173" s="202">
        <v>1.3648767123287653</v>
      </c>
      <c r="K173" s="202">
        <v>1.2794520547945203</v>
      </c>
      <c r="L173" s="202">
        <v>1.2794520547945203</v>
      </c>
      <c r="M173" s="202">
        <v>9.2336438356164265</v>
      </c>
      <c r="N173" s="202">
        <v>9.2336438356164265</v>
      </c>
      <c r="O173" s="202"/>
      <c r="P173" s="202">
        <v>0.38366704109589012</v>
      </c>
      <c r="Q173" s="202"/>
      <c r="R173" s="202">
        <v>106.00911964383579</v>
      </c>
      <c r="S173" s="203">
        <v>1.0596557214843216</v>
      </c>
    </row>
    <row r="174" spans="1:19" x14ac:dyDescent="0.25">
      <c r="A174" s="198" t="s">
        <v>83</v>
      </c>
      <c r="B174" s="199">
        <v>5530.4498356157565</v>
      </c>
      <c r="C174" s="199">
        <v>5470.9243561637013</v>
      </c>
      <c r="D174" s="199">
        <v>59.525479452054881</v>
      </c>
      <c r="E174" s="199">
        <v>4917.8864054794903</v>
      </c>
      <c r="F174" s="199">
        <v>642.33050407398332</v>
      </c>
      <c r="G174" s="199">
        <v>128.31617534246649</v>
      </c>
      <c r="H174" s="199">
        <v>60.281084931506896</v>
      </c>
      <c r="I174" s="199">
        <v>56.549205479452148</v>
      </c>
      <c r="J174" s="199">
        <v>133.98873534246769</v>
      </c>
      <c r="K174" s="199">
        <v>371.54624657534856</v>
      </c>
      <c r="L174" s="199">
        <v>371.54624657534856</v>
      </c>
      <c r="M174" s="199">
        <v>227.15516821917868</v>
      </c>
      <c r="N174" s="199">
        <v>210.00318772506782</v>
      </c>
      <c r="O174" s="199">
        <v>-1.9754728767123302E-2</v>
      </c>
      <c r="P174" s="199">
        <v>3.5891266684931429</v>
      </c>
      <c r="Q174" s="199">
        <v>2.8521205479452081</v>
      </c>
      <c r="R174" s="199">
        <v>6527.323037437458</v>
      </c>
      <c r="S174" s="200">
        <v>1.1802517392711729</v>
      </c>
    </row>
    <row r="175" spans="1:19" x14ac:dyDescent="0.25">
      <c r="A175" s="201" t="s">
        <v>242</v>
      </c>
      <c r="B175" s="202">
        <v>5530.4498356156691</v>
      </c>
      <c r="C175" s="202">
        <v>5470.924356163614</v>
      </c>
      <c r="D175" s="202">
        <v>59.525479452054782</v>
      </c>
      <c r="E175" s="202">
        <v>4917.8864054796413</v>
      </c>
      <c r="F175" s="202">
        <v>642.33050407400879</v>
      </c>
      <c r="G175" s="202">
        <v>128.31617534246658</v>
      </c>
      <c r="H175" s="202">
        <v>60.281084931506896</v>
      </c>
      <c r="I175" s="202">
        <v>56.549205479452496</v>
      </c>
      <c r="J175" s="202">
        <v>133.98873534246417</v>
      </c>
      <c r="K175" s="202">
        <v>371.54624657536749</v>
      </c>
      <c r="L175" s="202">
        <v>371.54624657536749</v>
      </c>
      <c r="M175" s="202">
        <v>227.15516821917868</v>
      </c>
      <c r="N175" s="202">
        <v>210.00318772506782</v>
      </c>
      <c r="O175" s="202">
        <v>-1.9754728767123302E-2</v>
      </c>
      <c r="P175" s="202">
        <v>3.5891266684931584</v>
      </c>
      <c r="Q175" s="202">
        <v>2.8521205479452081</v>
      </c>
      <c r="R175" s="202">
        <v>6527.3230374376453</v>
      </c>
      <c r="S175" s="203">
        <v>1.1802517392712235</v>
      </c>
    </row>
    <row r="176" spans="1:19" x14ac:dyDescent="0.25">
      <c r="A176" s="198" t="s">
        <v>493</v>
      </c>
      <c r="B176" s="199">
        <v>119.0253424657537</v>
      </c>
      <c r="C176" s="199">
        <v>109.83904109589068</v>
      </c>
      <c r="D176" s="199">
        <v>9.1863013698630134</v>
      </c>
      <c r="E176" s="199">
        <v>85.673294520548041</v>
      </c>
      <c r="F176" s="199">
        <v>16.063138356164387</v>
      </c>
      <c r="G176" s="199"/>
      <c r="H176" s="199"/>
      <c r="I176" s="199">
        <v>8.7269863013698625</v>
      </c>
      <c r="J176" s="199">
        <v>1.3643835616438355E-2</v>
      </c>
      <c r="K176" s="199"/>
      <c r="L176" s="199"/>
      <c r="M176" s="199">
        <v>0.1054794520547945</v>
      </c>
      <c r="N176" s="199">
        <v>0.1054794520547945</v>
      </c>
      <c r="O176" s="199"/>
      <c r="P176" s="199"/>
      <c r="Q176" s="199"/>
      <c r="R176" s="199">
        <v>110.58254246575352</v>
      </c>
      <c r="S176" s="200">
        <v>0.92906720682253563</v>
      </c>
    </row>
    <row r="177" spans="1:19" x14ac:dyDescent="0.25">
      <c r="A177" s="201" t="s">
        <v>232</v>
      </c>
      <c r="B177" s="202">
        <v>119.02534246575352</v>
      </c>
      <c r="C177" s="202">
        <v>109.83904109589049</v>
      </c>
      <c r="D177" s="202">
        <v>9.1863013698630329</v>
      </c>
      <c r="E177" s="202">
        <v>85.673294520547856</v>
      </c>
      <c r="F177" s="202">
        <v>16.063138356164362</v>
      </c>
      <c r="G177" s="202"/>
      <c r="H177" s="202"/>
      <c r="I177" s="202">
        <v>8.7269863013698625</v>
      </c>
      <c r="J177" s="202">
        <v>1.3643835616438355E-2</v>
      </c>
      <c r="K177" s="202"/>
      <c r="L177" s="202"/>
      <c r="M177" s="202">
        <v>0.1054794520547945</v>
      </c>
      <c r="N177" s="202">
        <v>0.1054794520547945</v>
      </c>
      <c r="O177" s="202"/>
      <c r="P177" s="202"/>
      <c r="Q177" s="202"/>
      <c r="R177" s="202">
        <v>110.58254246575331</v>
      </c>
      <c r="S177" s="203">
        <v>0.92906720682253519</v>
      </c>
    </row>
    <row r="178" spans="1:19" x14ac:dyDescent="0.25">
      <c r="A178" s="198" t="s">
        <v>85</v>
      </c>
      <c r="B178" s="199">
        <v>47.426301369862955</v>
      </c>
      <c r="C178" s="199">
        <v>47.426301369862955</v>
      </c>
      <c r="D178" s="199"/>
      <c r="E178" s="199">
        <v>46.003512328767208</v>
      </c>
      <c r="F178" s="199"/>
      <c r="G178" s="199"/>
      <c r="H178" s="199"/>
      <c r="I178" s="199"/>
      <c r="J178" s="199">
        <v>0.64823013698630128</v>
      </c>
      <c r="K178" s="199">
        <v>3.2402739726027439</v>
      </c>
      <c r="L178" s="199">
        <v>3.2402739726027439</v>
      </c>
      <c r="M178" s="199">
        <v>8.5607123287671119</v>
      </c>
      <c r="N178" s="199">
        <v>8.5607123287671119</v>
      </c>
      <c r="O178" s="199"/>
      <c r="P178" s="199"/>
      <c r="Q178" s="199"/>
      <c r="R178" s="199">
        <v>58.452728767123361</v>
      </c>
      <c r="S178" s="200">
        <v>1.2324960428870202</v>
      </c>
    </row>
    <row r="179" spans="1:19" x14ac:dyDescent="0.25">
      <c r="A179" s="201" t="s">
        <v>231</v>
      </c>
      <c r="B179" s="202">
        <v>47.426301369862912</v>
      </c>
      <c r="C179" s="202">
        <v>47.426301369862912</v>
      </c>
      <c r="D179" s="202"/>
      <c r="E179" s="202">
        <v>46.003512328767222</v>
      </c>
      <c r="F179" s="202"/>
      <c r="G179" s="202"/>
      <c r="H179" s="202"/>
      <c r="I179" s="202"/>
      <c r="J179" s="202">
        <v>0.64823013698630194</v>
      </c>
      <c r="K179" s="202">
        <v>3.2402739726027439</v>
      </c>
      <c r="L179" s="202">
        <v>3.2402739726027439</v>
      </c>
      <c r="M179" s="202">
        <v>8.560712328767119</v>
      </c>
      <c r="N179" s="202">
        <v>8.560712328767119</v>
      </c>
      <c r="O179" s="202"/>
      <c r="P179" s="202"/>
      <c r="Q179" s="202"/>
      <c r="R179" s="202">
        <v>58.452728767123382</v>
      </c>
      <c r="S179" s="203">
        <v>1.2324960428870217</v>
      </c>
    </row>
    <row r="180" spans="1:19" x14ac:dyDescent="0.25">
      <c r="A180" s="198" t="s">
        <v>86</v>
      </c>
      <c r="B180" s="199">
        <v>294.60715068492965</v>
      </c>
      <c r="C180" s="199">
        <v>294.60715068492965</v>
      </c>
      <c r="D180" s="199"/>
      <c r="E180" s="199">
        <v>153.4777493150691</v>
      </c>
      <c r="F180" s="199">
        <v>94.996006257534333</v>
      </c>
      <c r="G180" s="199"/>
      <c r="H180" s="199"/>
      <c r="I180" s="199"/>
      <c r="J180" s="199">
        <v>0.1201643835616438</v>
      </c>
      <c r="K180" s="199"/>
      <c r="L180" s="199"/>
      <c r="M180" s="199"/>
      <c r="N180" s="199"/>
      <c r="O180" s="199"/>
      <c r="P180" s="199">
        <v>6.9566849112329603</v>
      </c>
      <c r="Q180" s="199"/>
      <c r="R180" s="199">
        <v>255.55060486739805</v>
      </c>
      <c r="S180" s="200">
        <v>0.8674283847940305</v>
      </c>
    </row>
    <row r="181" spans="1:19" x14ac:dyDescent="0.25">
      <c r="A181" s="201" t="s">
        <v>230</v>
      </c>
      <c r="B181" s="202">
        <v>294.60715068492698</v>
      </c>
      <c r="C181" s="202">
        <v>294.60715068492698</v>
      </c>
      <c r="D181" s="202"/>
      <c r="E181" s="202">
        <v>153.47774931506976</v>
      </c>
      <c r="F181" s="202">
        <v>94.996006257534674</v>
      </c>
      <c r="G181" s="202"/>
      <c r="H181" s="202"/>
      <c r="I181" s="202"/>
      <c r="J181" s="202">
        <v>0.12016438356164379</v>
      </c>
      <c r="K181" s="202"/>
      <c r="L181" s="202"/>
      <c r="M181" s="202"/>
      <c r="N181" s="202"/>
      <c r="O181" s="202"/>
      <c r="P181" s="202">
        <v>6.9566849112329745</v>
      </c>
      <c r="Q181" s="202"/>
      <c r="R181" s="202">
        <v>255.55060486739904</v>
      </c>
      <c r="S181" s="203">
        <v>0.86742838479403483</v>
      </c>
    </row>
    <row r="182" spans="1:19" x14ac:dyDescent="0.25">
      <c r="A182" s="198" t="s">
        <v>87</v>
      </c>
      <c r="B182" s="199">
        <v>125.00356164383584</v>
      </c>
      <c r="C182" s="199">
        <v>125.00356164383584</v>
      </c>
      <c r="D182" s="199"/>
      <c r="E182" s="199">
        <v>137.63165205479427</v>
      </c>
      <c r="F182" s="199">
        <v>26.31413342465753</v>
      </c>
      <c r="G182" s="199"/>
      <c r="H182" s="199"/>
      <c r="I182" s="199"/>
      <c r="J182" s="199">
        <v>0.56268493150684917</v>
      </c>
      <c r="K182" s="199">
        <v>0.35068493150684926</v>
      </c>
      <c r="L182" s="199">
        <v>0.35068493150684926</v>
      </c>
      <c r="M182" s="199"/>
      <c r="N182" s="199"/>
      <c r="O182" s="199"/>
      <c r="P182" s="199"/>
      <c r="Q182" s="199"/>
      <c r="R182" s="199">
        <v>164.85915534246553</v>
      </c>
      <c r="S182" s="200">
        <v>1.3188356649563913</v>
      </c>
    </row>
    <row r="183" spans="1:19" x14ac:dyDescent="0.25">
      <c r="A183" s="201" t="s">
        <v>234</v>
      </c>
      <c r="B183" s="202">
        <v>125.00356164383579</v>
      </c>
      <c r="C183" s="202">
        <v>125.00356164383579</v>
      </c>
      <c r="D183" s="202"/>
      <c r="E183" s="202">
        <v>137.63165205479436</v>
      </c>
      <c r="F183" s="202">
        <v>26.314133424657665</v>
      </c>
      <c r="G183" s="202"/>
      <c r="H183" s="202"/>
      <c r="I183" s="202"/>
      <c r="J183" s="202">
        <v>0.56268493150684973</v>
      </c>
      <c r="K183" s="202">
        <v>0.35068493150684926</v>
      </c>
      <c r="L183" s="202">
        <v>0.35068493150684926</v>
      </c>
      <c r="M183" s="202"/>
      <c r="N183" s="202"/>
      <c r="O183" s="202"/>
      <c r="P183" s="202"/>
      <c r="Q183" s="202"/>
      <c r="R183" s="202">
        <v>164.85915534246573</v>
      </c>
      <c r="S183" s="203">
        <v>1.3188356649563937</v>
      </c>
    </row>
    <row r="184" spans="1:19" x14ac:dyDescent="0.25">
      <c r="A184" s="198" t="s">
        <v>88</v>
      </c>
      <c r="B184" s="199">
        <v>49.697260273972553</v>
      </c>
      <c r="C184" s="199">
        <v>49.697260273972553</v>
      </c>
      <c r="D184" s="199"/>
      <c r="E184" s="199">
        <v>44.020726027397281</v>
      </c>
      <c r="F184" s="199">
        <v>3.1301506849315066</v>
      </c>
      <c r="G184" s="199"/>
      <c r="H184" s="199"/>
      <c r="I184" s="199"/>
      <c r="J184" s="199">
        <v>1.3533698630136997</v>
      </c>
      <c r="K184" s="199"/>
      <c r="L184" s="199"/>
      <c r="M184" s="199">
        <v>9.4678356164383501</v>
      </c>
      <c r="N184" s="199">
        <v>9.4678356164383501</v>
      </c>
      <c r="O184" s="199"/>
      <c r="P184" s="199"/>
      <c r="Q184" s="199"/>
      <c r="R184" s="199">
        <v>57.972082191780835</v>
      </c>
      <c r="S184" s="200">
        <v>1.1665045894319042</v>
      </c>
    </row>
    <row r="185" spans="1:19" x14ac:dyDescent="0.25">
      <c r="A185" s="201" t="s">
        <v>233</v>
      </c>
      <c r="B185" s="202">
        <v>49.697260273972589</v>
      </c>
      <c r="C185" s="202">
        <v>49.697260273972589</v>
      </c>
      <c r="D185" s="202"/>
      <c r="E185" s="202">
        <v>44.020726027397316</v>
      </c>
      <c r="F185" s="202">
        <v>3.1301506849315088</v>
      </c>
      <c r="G185" s="202"/>
      <c r="H185" s="202"/>
      <c r="I185" s="202"/>
      <c r="J185" s="202">
        <v>1.3533698630136983</v>
      </c>
      <c r="K185" s="202"/>
      <c r="L185" s="202"/>
      <c r="M185" s="202">
        <v>9.4678356164383501</v>
      </c>
      <c r="N185" s="202">
        <v>9.4678356164383501</v>
      </c>
      <c r="O185" s="202"/>
      <c r="P185" s="202"/>
      <c r="Q185" s="202"/>
      <c r="R185" s="202">
        <v>57.972082191780871</v>
      </c>
      <c r="S185" s="203">
        <v>1.1665045894319042</v>
      </c>
    </row>
    <row r="186" spans="1:19" x14ac:dyDescent="0.25">
      <c r="A186" s="198" t="s">
        <v>89</v>
      </c>
      <c r="B186" s="199">
        <v>229.69917808219046</v>
      </c>
      <c r="C186" s="199">
        <v>229.68547945205347</v>
      </c>
      <c r="D186" s="199">
        <v>1.3698630136986301E-2</v>
      </c>
      <c r="E186" s="199">
        <v>114.51905205479424</v>
      </c>
      <c r="F186" s="199">
        <v>67.248356054794527</v>
      </c>
      <c r="G186" s="199"/>
      <c r="H186" s="199"/>
      <c r="I186" s="199">
        <v>1.3013698630136987E-2</v>
      </c>
      <c r="J186" s="199">
        <v>5.3041643835616483</v>
      </c>
      <c r="K186" s="199">
        <v>10.254794520547954</v>
      </c>
      <c r="L186" s="199">
        <v>10.254794520547954</v>
      </c>
      <c r="M186" s="199"/>
      <c r="N186" s="199"/>
      <c r="O186" s="199"/>
      <c r="P186" s="199"/>
      <c r="Q186" s="199"/>
      <c r="R186" s="199">
        <v>197.33938071232851</v>
      </c>
      <c r="S186" s="200">
        <v>0.85912097013127731</v>
      </c>
    </row>
    <row r="187" spans="1:19" x14ac:dyDescent="0.25">
      <c r="A187" s="201" t="s">
        <v>228</v>
      </c>
      <c r="B187" s="202">
        <v>229.6991780821885</v>
      </c>
      <c r="C187" s="202">
        <v>229.68547945205151</v>
      </c>
      <c r="D187" s="202">
        <v>1.3698630136986301E-2</v>
      </c>
      <c r="E187" s="202">
        <v>114.51905205479427</v>
      </c>
      <c r="F187" s="202">
        <v>67.248356054795465</v>
      </c>
      <c r="G187" s="202"/>
      <c r="H187" s="202"/>
      <c r="I187" s="202">
        <v>1.3013698630136987E-2</v>
      </c>
      <c r="J187" s="202">
        <v>5.3041643835616581</v>
      </c>
      <c r="K187" s="202">
        <v>10.254794520547959</v>
      </c>
      <c r="L187" s="202">
        <v>10.254794520547959</v>
      </c>
      <c r="M187" s="202"/>
      <c r="N187" s="202"/>
      <c r="O187" s="202"/>
      <c r="P187" s="202"/>
      <c r="Q187" s="202"/>
      <c r="R187" s="202">
        <v>197.3393807123295</v>
      </c>
      <c r="S187" s="203">
        <v>0.85912097013128907</v>
      </c>
    </row>
    <row r="188" spans="1:19" x14ac:dyDescent="0.25">
      <c r="A188" s="198" t="s">
        <v>90</v>
      </c>
      <c r="B188" s="199">
        <v>1779.3918630136836</v>
      </c>
      <c r="C188" s="199">
        <v>1778.0658356164233</v>
      </c>
      <c r="D188" s="199">
        <v>1.3260273972602734</v>
      </c>
      <c r="E188" s="199">
        <v>1337.9420575342426</v>
      </c>
      <c r="F188" s="199">
        <v>263.18999006301578</v>
      </c>
      <c r="G188" s="199">
        <v>66.211561643835665</v>
      </c>
      <c r="H188" s="199">
        <v>3.7128767123287671</v>
      </c>
      <c r="I188" s="199">
        <v>1.2597260273972593</v>
      </c>
      <c r="J188" s="199">
        <v>45.463775342465148</v>
      </c>
      <c r="K188" s="199">
        <v>105.10364383561613</v>
      </c>
      <c r="L188" s="199">
        <v>105.10364383561613</v>
      </c>
      <c r="M188" s="199"/>
      <c r="N188" s="199"/>
      <c r="O188" s="199"/>
      <c r="P188" s="199">
        <v>0.24808680000000002</v>
      </c>
      <c r="Q188" s="199"/>
      <c r="R188" s="199">
        <v>1823.1317179588991</v>
      </c>
      <c r="S188" s="200">
        <v>1.0245813504346002</v>
      </c>
    </row>
    <row r="189" spans="1:19" x14ac:dyDescent="0.25">
      <c r="A189" s="201" t="s">
        <v>227</v>
      </c>
      <c r="B189" s="202">
        <v>1779.3918630136693</v>
      </c>
      <c r="C189" s="202">
        <v>1778.065835616409</v>
      </c>
      <c r="D189" s="202">
        <v>1.326027397260279</v>
      </c>
      <c r="E189" s="202">
        <v>1337.942057534264</v>
      </c>
      <c r="F189" s="202">
        <v>263.18999006301453</v>
      </c>
      <c r="G189" s="202">
        <v>66.211561643835807</v>
      </c>
      <c r="H189" s="202">
        <v>3.7128767123287671</v>
      </c>
      <c r="I189" s="202">
        <v>1.2597260273972548</v>
      </c>
      <c r="J189" s="202">
        <v>45.463775342464743</v>
      </c>
      <c r="K189" s="202">
        <v>105.10364383561308</v>
      </c>
      <c r="L189" s="202">
        <v>105.10364383561308</v>
      </c>
      <c r="M189" s="202"/>
      <c r="N189" s="202"/>
      <c r="O189" s="202"/>
      <c r="P189" s="202">
        <v>0.24808680000000002</v>
      </c>
      <c r="Q189" s="202"/>
      <c r="R189" s="202">
        <v>1823.1317179589182</v>
      </c>
      <c r="S189" s="203">
        <v>1.0245813504346193</v>
      </c>
    </row>
    <row r="190" spans="1:19" x14ac:dyDescent="0.25">
      <c r="A190" s="198" t="s">
        <v>91</v>
      </c>
      <c r="B190" s="199">
        <v>301.83731506849068</v>
      </c>
      <c r="C190" s="199">
        <v>79.821150684932491</v>
      </c>
      <c r="D190" s="199">
        <v>222.01616438355819</v>
      </c>
      <c r="E190" s="199"/>
      <c r="F190" s="199">
        <v>57.902262706849356</v>
      </c>
      <c r="G190" s="199"/>
      <c r="H190" s="199"/>
      <c r="I190" s="199">
        <v>210.91535616438503</v>
      </c>
      <c r="J190" s="199"/>
      <c r="K190" s="199"/>
      <c r="L190" s="199"/>
      <c r="M190" s="199"/>
      <c r="N190" s="199"/>
      <c r="O190" s="199"/>
      <c r="P190" s="199"/>
      <c r="Q190" s="199"/>
      <c r="R190" s="199">
        <v>268.8176188712344</v>
      </c>
      <c r="S190" s="200">
        <v>0.89060432707015136</v>
      </c>
    </row>
    <row r="191" spans="1:19" x14ac:dyDescent="0.25">
      <c r="A191" s="201" t="s">
        <v>226</v>
      </c>
      <c r="B191" s="202">
        <v>301.83731506849057</v>
      </c>
      <c r="C191" s="202">
        <v>79.821150684932377</v>
      </c>
      <c r="D191" s="202">
        <v>222.01616438355819</v>
      </c>
      <c r="E191" s="202"/>
      <c r="F191" s="202">
        <v>57.902262706849804</v>
      </c>
      <c r="G191" s="202"/>
      <c r="H191" s="202"/>
      <c r="I191" s="202">
        <v>210.91535616438503</v>
      </c>
      <c r="J191" s="202"/>
      <c r="K191" s="202"/>
      <c r="L191" s="202"/>
      <c r="M191" s="202"/>
      <c r="N191" s="202"/>
      <c r="O191" s="202"/>
      <c r="P191" s="202"/>
      <c r="Q191" s="202"/>
      <c r="R191" s="202">
        <v>268.81761887123486</v>
      </c>
      <c r="S191" s="203">
        <v>0.89060432707015325</v>
      </c>
    </row>
    <row r="192" spans="1:19" x14ac:dyDescent="0.25">
      <c r="A192" s="198" t="s">
        <v>437</v>
      </c>
      <c r="B192" s="199">
        <v>1514.6936986301509</v>
      </c>
      <c r="C192" s="199">
        <v>1514.6936986301509</v>
      </c>
      <c r="D192" s="199"/>
      <c r="E192" s="199">
        <v>289.5630520547935</v>
      </c>
      <c r="F192" s="199">
        <v>829.70238427398147</v>
      </c>
      <c r="G192" s="199"/>
      <c r="H192" s="199"/>
      <c r="I192" s="199"/>
      <c r="J192" s="199">
        <v>0.14327671232876713</v>
      </c>
      <c r="K192" s="199">
        <v>1.3197260273972609</v>
      </c>
      <c r="L192" s="199">
        <v>1.3197260273972609</v>
      </c>
      <c r="M192" s="199"/>
      <c r="N192" s="199"/>
      <c r="O192" s="199"/>
      <c r="P192" s="199"/>
      <c r="Q192" s="199"/>
      <c r="R192" s="199">
        <v>1120.7284390685011</v>
      </c>
      <c r="S192" s="200">
        <v>0.73990433846926174</v>
      </c>
    </row>
    <row r="193" spans="1:19" x14ac:dyDescent="0.25">
      <c r="A193" s="201" t="s">
        <v>249</v>
      </c>
      <c r="B193" s="202">
        <v>1514.6936986301075</v>
      </c>
      <c r="C193" s="202">
        <v>1514.6936986301075</v>
      </c>
      <c r="D193" s="202"/>
      <c r="E193" s="202">
        <v>289.56305205479248</v>
      </c>
      <c r="F193" s="202">
        <v>829.70238427399897</v>
      </c>
      <c r="G193" s="202"/>
      <c r="H193" s="202"/>
      <c r="I193" s="202"/>
      <c r="J193" s="202">
        <v>0.1432767123287671</v>
      </c>
      <c r="K193" s="202">
        <v>1.3197260273972609</v>
      </c>
      <c r="L193" s="202">
        <v>1.3197260273972609</v>
      </c>
      <c r="M193" s="202"/>
      <c r="N193" s="202"/>
      <c r="O193" s="202"/>
      <c r="P193" s="202"/>
      <c r="Q193" s="202"/>
      <c r="R193" s="202">
        <v>1120.7284390685177</v>
      </c>
      <c r="S193" s="203">
        <v>0.73990433846929382</v>
      </c>
    </row>
    <row r="194" spans="1:19" x14ac:dyDescent="0.25">
      <c r="A194" s="198" t="s">
        <v>541</v>
      </c>
      <c r="B194" s="199">
        <v>38.738356164383518</v>
      </c>
      <c r="C194" s="199">
        <v>38.634246575342424</v>
      </c>
      <c r="D194" s="199">
        <v>0.10410958904109591</v>
      </c>
      <c r="E194" s="199"/>
      <c r="F194" s="199">
        <v>27.824555342465754</v>
      </c>
      <c r="G194" s="199"/>
      <c r="H194" s="199">
        <v>0.42613698630136987</v>
      </c>
      <c r="I194" s="199">
        <v>9.8904109589041098E-2</v>
      </c>
      <c r="J194" s="199">
        <v>1.3315068493150685E-2</v>
      </c>
      <c r="K194" s="199">
        <v>0.23424657534246573</v>
      </c>
      <c r="L194" s="199">
        <v>0.23424657534246573</v>
      </c>
      <c r="M194" s="199"/>
      <c r="N194" s="199"/>
      <c r="O194" s="199"/>
      <c r="P194" s="199"/>
      <c r="Q194" s="199"/>
      <c r="R194" s="199">
        <v>28.597158082191779</v>
      </c>
      <c r="S194" s="200">
        <v>0.73821299904522875</v>
      </c>
    </row>
    <row r="195" spans="1:19" x14ac:dyDescent="0.25">
      <c r="A195" s="201" t="s">
        <v>225</v>
      </c>
      <c r="B195" s="202">
        <v>38.738356164383553</v>
      </c>
      <c r="C195" s="202">
        <v>38.634246575342459</v>
      </c>
      <c r="D195" s="202">
        <v>0.10410958904109591</v>
      </c>
      <c r="E195" s="202"/>
      <c r="F195" s="202">
        <v>27.824555342465867</v>
      </c>
      <c r="G195" s="202"/>
      <c r="H195" s="202">
        <v>0.42613698630136987</v>
      </c>
      <c r="I195" s="202">
        <v>9.8904109589041098E-2</v>
      </c>
      <c r="J195" s="202">
        <v>1.3315068493150685E-2</v>
      </c>
      <c r="K195" s="202">
        <v>0.23424657534246573</v>
      </c>
      <c r="L195" s="202">
        <v>0.23424657534246573</v>
      </c>
      <c r="M195" s="202"/>
      <c r="N195" s="202"/>
      <c r="O195" s="202"/>
      <c r="P195" s="202"/>
      <c r="Q195" s="202"/>
      <c r="R195" s="202">
        <v>28.597158082191893</v>
      </c>
      <c r="S195" s="203">
        <v>0.73821299904523097</v>
      </c>
    </row>
    <row r="196" spans="1:19" x14ac:dyDescent="0.25">
      <c r="A196" s="198" t="s">
        <v>93</v>
      </c>
      <c r="B196" s="199">
        <v>56.899726027397193</v>
      </c>
      <c r="C196" s="199">
        <v>56.899726027397193</v>
      </c>
      <c r="D196" s="199"/>
      <c r="E196" s="199">
        <v>51.078339726027409</v>
      </c>
      <c r="F196" s="199">
        <v>3.0768884383561637</v>
      </c>
      <c r="G196" s="199"/>
      <c r="H196" s="199"/>
      <c r="I196" s="199"/>
      <c r="J196" s="199">
        <v>0.83628493150684968</v>
      </c>
      <c r="K196" s="199">
        <v>1.3054794520547945</v>
      </c>
      <c r="L196" s="199">
        <v>1.3054794520547945</v>
      </c>
      <c r="M196" s="199">
        <v>2.7171506849315059</v>
      </c>
      <c r="N196" s="199">
        <v>2.7171506849315059</v>
      </c>
      <c r="O196" s="199"/>
      <c r="P196" s="199"/>
      <c r="Q196" s="199"/>
      <c r="R196" s="199">
        <v>59.014143232876727</v>
      </c>
      <c r="S196" s="200">
        <v>1.0371604110090344</v>
      </c>
    </row>
    <row r="197" spans="1:19" x14ac:dyDescent="0.25">
      <c r="A197" s="201" t="s">
        <v>224</v>
      </c>
      <c r="B197" s="202">
        <v>56.899726027397101</v>
      </c>
      <c r="C197" s="202">
        <v>56.899726027397101</v>
      </c>
      <c r="D197" s="202"/>
      <c r="E197" s="202">
        <v>51.078339726027458</v>
      </c>
      <c r="F197" s="202">
        <v>3.0768884383561659</v>
      </c>
      <c r="G197" s="202"/>
      <c r="H197" s="202"/>
      <c r="I197" s="202"/>
      <c r="J197" s="202">
        <v>0.83628493150685035</v>
      </c>
      <c r="K197" s="202">
        <v>1.3054794520547941</v>
      </c>
      <c r="L197" s="202">
        <v>1.3054794520547941</v>
      </c>
      <c r="M197" s="202">
        <v>2.7171506849315059</v>
      </c>
      <c r="N197" s="202">
        <v>2.7171506849315059</v>
      </c>
      <c r="O197" s="202"/>
      <c r="P197" s="202"/>
      <c r="Q197" s="202"/>
      <c r="R197" s="202">
        <v>59.014143232876776</v>
      </c>
      <c r="S197" s="203">
        <v>1.0371604110090369</v>
      </c>
    </row>
    <row r="198" spans="1:19" x14ac:dyDescent="0.25">
      <c r="A198" s="198" t="s">
        <v>94</v>
      </c>
      <c r="B198" s="199">
        <v>3149.4787671233394</v>
      </c>
      <c r="C198" s="199">
        <v>3148.9116438356682</v>
      </c>
      <c r="D198" s="199">
        <v>0.56712328767123288</v>
      </c>
      <c r="E198" s="199">
        <v>2962.1360917807215</v>
      </c>
      <c r="F198" s="199">
        <v>361.86436060274065</v>
      </c>
      <c r="G198" s="199">
        <v>124.2590136986307</v>
      </c>
      <c r="H198" s="199">
        <v>0.24893150684931509</v>
      </c>
      <c r="I198" s="199">
        <v>0.53876712328767118</v>
      </c>
      <c r="J198" s="199">
        <v>94.354454794520692</v>
      </c>
      <c r="K198" s="199">
        <v>192.21506849315156</v>
      </c>
      <c r="L198" s="199">
        <v>184.56139193602726</v>
      </c>
      <c r="M198" s="199">
        <v>211.87941643835563</v>
      </c>
      <c r="N198" s="199">
        <v>203.16585653917943</v>
      </c>
      <c r="O198" s="199"/>
      <c r="P198" s="199">
        <v>0.41800926575342423</v>
      </c>
      <c r="Q198" s="199"/>
      <c r="R198" s="199">
        <v>3931.5468772477093</v>
      </c>
      <c r="S198" s="200">
        <v>1.2483166796640102</v>
      </c>
    </row>
    <row r="199" spans="1:19" x14ac:dyDescent="0.25">
      <c r="A199" s="201" t="s">
        <v>223</v>
      </c>
      <c r="B199" s="202">
        <v>3149.4787671233976</v>
      </c>
      <c r="C199" s="202">
        <v>3148.9116438357264</v>
      </c>
      <c r="D199" s="202">
        <v>0.56712328767123288</v>
      </c>
      <c r="E199" s="202">
        <v>2962.1360917806524</v>
      </c>
      <c r="F199" s="202">
        <v>361.86436060273962</v>
      </c>
      <c r="G199" s="202">
        <v>124.25901369863082</v>
      </c>
      <c r="H199" s="202">
        <v>0.24893150684931509</v>
      </c>
      <c r="I199" s="202">
        <v>0.53876712328767118</v>
      </c>
      <c r="J199" s="202">
        <v>94.354454794518247</v>
      </c>
      <c r="K199" s="202">
        <v>192.2150684931502</v>
      </c>
      <c r="L199" s="202">
        <v>184.5613919360259</v>
      </c>
      <c r="M199" s="202">
        <v>211.879416438357</v>
      </c>
      <c r="N199" s="202">
        <v>203.16585653917991</v>
      </c>
      <c r="O199" s="202"/>
      <c r="P199" s="202">
        <v>0.41800926575342345</v>
      </c>
      <c r="Q199" s="202"/>
      <c r="R199" s="202">
        <v>3931.546877247637</v>
      </c>
      <c r="S199" s="203">
        <v>1.2483166796639649</v>
      </c>
    </row>
    <row r="200" spans="1:19" x14ac:dyDescent="0.25">
      <c r="A200" s="198" t="s">
        <v>95</v>
      </c>
      <c r="B200" s="199">
        <v>2050.0620547945241</v>
      </c>
      <c r="C200" s="199">
        <v>2046.4763013698666</v>
      </c>
      <c r="D200" s="199">
        <v>3.585753424657534</v>
      </c>
      <c r="E200" s="199">
        <v>1677.3196123287453</v>
      </c>
      <c r="F200" s="199">
        <v>284.07834016438477</v>
      </c>
      <c r="G200" s="199">
        <v>42.689643835616444</v>
      </c>
      <c r="H200" s="199"/>
      <c r="I200" s="199">
        <v>3.4064657534246567</v>
      </c>
      <c r="J200" s="199">
        <v>52.633923287670918</v>
      </c>
      <c r="K200" s="199">
        <v>154.43920547945137</v>
      </c>
      <c r="L200" s="199">
        <v>154.43920547945137</v>
      </c>
      <c r="M200" s="199"/>
      <c r="N200" s="199"/>
      <c r="O200" s="199"/>
      <c r="P200" s="199">
        <v>0.76017092054794499</v>
      </c>
      <c r="Q200" s="199"/>
      <c r="R200" s="199">
        <v>2215.3273617698414</v>
      </c>
      <c r="S200" s="200">
        <v>1.0806147826544119</v>
      </c>
    </row>
    <row r="201" spans="1:19" x14ac:dyDescent="0.25">
      <c r="A201" s="201" t="s">
        <v>221</v>
      </c>
      <c r="B201" s="202">
        <v>2050.062054794394</v>
      </c>
      <c r="C201" s="202">
        <v>2046.4763013697366</v>
      </c>
      <c r="D201" s="202">
        <v>3.585753424657534</v>
      </c>
      <c r="E201" s="202">
        <v>1677.319612328728</v>
      </c>
      <c r="F201" s="202">
        <v>284.07834016438409</v>
      </c>
      <c r="G201" s="202">
        <v>42.689643835616444</v>
      </c>
      <c r="H201" s="202"/>
      <c r="I201" s="202">
        <v>3.4064657534246572</v>
      </c>
      <c r="J201" s="202">
        <v>52.633923287670164</v>
      </c>
      <c r="K201" s="202">
        <v>154.43920547945064</v>
      </c>
      <c r="L201" s="202">
        <v>154.43920547945064</v>
      </c>
      <c r="M201" s="202"/>
      <c r="N201" s="202"/>
      <c r="O201" s="202"/>
      <c r="P201" s="202">
        <v>0.76017092054794422</v>
      </c>
      <c r="Q201" s="202"/>
      <c r="R201" s="202">
        <v>2215.3273617698219</v>
      </c>
      <c r="S201" s="203">
        <v>1.0806147826544708</v>
      </c>
    </row>
    <row r="202" spans="1:19" x14ac:dyDescent="0.25">
      <c r="A202" s="198" t="s">
        <v>96</v>
      </c>
      <c r="B202" s="199">
        <v>4153.7794520548478</v>
      </c>
      <c r="C202" s="199">
        <v>4020.7580821918341</v>
      </c>
      <c r="D202" s="199">
        <v>133.02136986301372</v>
      </c>
      <c r="E202" s="199">
        <v>2938.3114575342547</v>
      </c>
      <c r="F202" s="199">
        <v>798.63569095891864</v>
      </c>
      <c r="G202" s="199">
        <v>92.032931506849792</v>
      </c>
      <c r="H202" s="199">
        <v>25.388904109589006</v>
      </c>
      <c r="I202" s="199">
        <v>126.37030136986314</v>
      </c>
      <c r="J202" s="199">
        <v>76.994202739725736</v>
      </c>
      <c r="K202" s="199">
        <v>170.25704109589006</v>
      </c>
      <c r="L202" s="199">
        <v>170.25704109589006</v>
      </c>
      <c r="M202" s="199">
        <v>90.697512328768795</v>
      </c>
      <c r="N202" s="199">
        <v>90.697512328768795</v>
      </c>
      <c r="O202" s="199"/>
      <c r="P202" s="199">
        <v>1.4153925945205512</v>
      </c>
      <c r="Q202" s="199">
        <v>13.959189041095875</v>
      </c>
      <c r="R202" s="199">
        <v>4334.0626232794757</v>
      </c>
      <c r="S202" s="200">
        <v>1.0434022011292483</v>
      </c>
    </row>
    <row r="203" spans="1:19" x14ac:dyDescent="0.25">
      <c r="A203" s="201" t="s">
        <v>220</v>
      </c>
      <c r="B203" s="202">
        <v>4153.7794520550196</v>
      </c>
      <c r="C203" s="202">
        <v>4020.7580821920069</v>
      </c>
      <c r="D203" s="202">
        <v>133.02136986301284</v>
      </c>
      <c r="E203" s="202">
        <v>2938.3114575341738</v>
      </c>
      <c r="F203" s="202">
        <v>798.6356909589415</v>
      </c>
      <c r="G203" s="202">
        <v>92.032931506849863</v>
      </c>
      <c r="H203" s="202">
        <v>25.388904109589006</v>
      </c>
      <c r="I203" s="202">
        <v>126.3703013698637</v>
      </c>
      <c r="J203" s="202">
        <v>76.994202739724599</v>
      </c>
      <c r="K203" s="202">
        <v>170.25704109589159</v>
      </c>
      <c r="L203" s="202">
        <v>170.25704109589159</v>
      </c>
      <c r="M203" s="202">
        <v>90.69751232876898</v>
      </c>
      <c r="N203" s="202">
        <v>90.69751232876898</v>
      </c>
      <c r="O203" s="202"/>
      <c r="P203" s="202">
        <v>1.4153925945205552</v>
      </c>
      <c r="Q203" s="202">
        <v>13.959189041095875</v>
      </c>
      <c r="R203" s="202">
        <v>4334.0626232794193</v>
      </c>
      <c r="S203" s="203">
        <v>1.0434022011291926</v>
      </c>
    </row>
    <row r="204" spans="1:19" x14ac:dyDescent="0.25">
      <c r="A204" s="198" t="s">
        <v>97</v>
      </c>
      <c r="B204" s="199">
        <v>2392.825315068495</v>
      </c>
      <c r="C204" s="199">
        <v>2392.3526027397279</v>
      </c>
      <c r="D204" s="199">
        <v>0.47271232876712349</v>
      </c>
      <c r="E204" s="199">
        <v>2008.0307589040592</v>
      </c>
      <c r="F204" s="199">
        <v>282.54195978082328</v>
      </c>
      <c r="G204" s="199">
        <v>42.423835616438318</v>
      </c>
      <c r="H204" s="199">
        <v>18.79643835616438</v>
      </c>
      <c r="I204" s="199">
        <v>0.44907671232876656</v>
      </c>
      <c r="J204" s="199">
        <v>50.145402739725363</v>
      </c>
      <c r="K204" s="199">
        <v>116.166301369862</v>
      </c>
      <c r="L204" s="199">
        <v>116.166301369862</v>
      </c>
      <c r="M204" s="199">
        <v>10.760054794520556</v>
      </c>
      <c r="N204" s="199">
        <v>10.760054794520556</v>
      </c>
      <c r="O204" s="199">
        <v>-2.031319336986301</v>
      </c>
      <c r="P204" s="199">
        <v>0.48848237260273897</v>
      </c>
      <c r="Q204" s="199">
        <v>1.9287671232876714E-2</v>
      </c>
      <c r="R204" s="199">
        <v>2527.7902789807708</v>
      </c>
      <c r="S204" s="200">
        <v>1.0564040187398358</v>
      </c>
    </row>
    <row r="205" spans="1:19" x14ac:dyDescent="0.25">
      <c r="A205" s="201" t="s">
        <v>219</v>
      </c>
      <c r="B205" s="202">
        <v>2392.8253150682667</v>
      </c>
      <c r="C205" s="202">
        <v>2392.3526027394996</v>
      </c>
      <c r="D205" s="202">
        <v>0.47271232876712349</v>
      </c>
      <c r="E205" s="202">
        <v>2008.0307589040438</v>
      </c>
      <c r="F205" s="202">
        <v>282.54195978082174</v>
      </c>
      <c r="G205" s="202">
        <v>42.423835616438325</v>
      </c>
      <c r="H205" s="202">
        <v>18.79643835616438</v>
      </c>
      <c r="I205" s="202">
        <v>0.44907671232876656</v>
      </c>
      <c r="J205" s="202">
        <v>50.145402739724986</v>
      </c>
      <c r="K205" s="202">
        <v>116.16630136986005</v>
      </c>
      <c r="L205" s="202">
        <v>116.16630136986005</v>
      </c>
      <c r="M205" s="202">
        <v>10.760054794520556</v>
      </c>
      <c r="N205" s="202">
        <v>10.760054794520556</v>
      </c>
      <c r="O205" s="202">
        <v>-2.031319336986301</v>
      </c>
      <c r="P205" s="202">
        <v>0.48848237260273863</v>
      </c>
      <c r="Q205" s="202">
        <v>1.9287671232876714E-2</v>
      </c>
      <c r="R205" s="202">
        <v>2527.7902789807517</v>
      </c>
      <c r="S205" s="203">
        <v>1.0564040187399282</v>
      </c>
    </row>
    <row r="206" spans="1:19" x14ac:dyDescent="0.25">
      <c r="A206" s="198" t="s">
        <v>98</v>
      </c>
      <c r="B206" s="199">
        <v>6511.3160273966405</v>
      </c>
      <c r="C206" s="199">
        <v>6382.1732876706128</v>
      </c>
      <c r="D206" s="199">
        <v>129.14273972602768</v>
      </c>
      <c r="E206" s="199">
        <v>4849.2124712328841</v>
      </c>
      <c r="F206" s="199">
        <v>1160.730375616426</v>
      </c>
      <c r="G206" s="199">
        <v>304.63858082191882</v>
      </c>
      <c r="H206" s="199">
        <v>45.347726027397286</v>
      </c>
      <c r="I206" s="199">
        <v>122.68560273972595</v>
      </c>
      <c r="J206" s="199">
        <v>154.16248767123386</v>
      </c>
      <c r="K206" s="199">
        <v>629.18735068493584</v>
      </c>
      <c r="L206" s="199">
        <v>629.18735068493584</v>
      </c>
      <c r="M206" s="199">
        <v>31.98575342465746</v>
      </c>
      <c r="N206" s="199">
        <v>31.98575342465746</v>
      </c>
      <c r="O206" s="199">
        <v>-0.89827573808219185</v>
      </c>
      <c r="P206" s="199">
        <v>2.9173182164383555</v>
      </c>
      <c r="Q206" s="199">
        <v>5.0726575342465754</v>
      </c>
      <c r="R206" s="199">
        <v>7305.0420482317841</v>
      </c>
      <c r="S206" s="200">
        <v>1.1218994773860647</v>
      </c>
    </row>
    <row r="207" spans="1:19" x14ac:dyDescent="0.25">
      <c r="A207" s="201" t="s">
        <v>218</v>
      </c>
      <c r="B207" s="202">
        <v>6511.3160273964859</v>
      </c>
      <c r="C207" s="202">
        <v>6382.1732876704582</v>
      </c>
      <c r="D207" s="202">
        <v>129.14273972602746</v>
      </c>
      <c r="E207" s="202">
        <v>4849.2124712330196</v>
      </c>
      <c r="F207" s="202">
        <v>1160.7303756162898</v>
      </c>
      <c r="G207" s="202">
        <v>304.63858082191911</v>
      </c>
      <c r="H207" s="202">
        <v>45.347726027397286</v>
      </c>
      <c r="I207" s="202">
        <v>122.6856027397268</v>
      </c>
      <c r="J207" s="202">
        <v>154.16248767123142</v>
      </c>
      <c r="K207" s="202">
        <v>629.18735068495857</v>
      </c>
      <c r="L207" s="202">
        <v>629.18735068495857</v>
      </c>
      <c r="M207" s="202">
        <v>31.98575342465746</v>
      </c>
      <c r="N207" s="202">
        <v>31.98575342465746</v>
      </c>
      <c r="O207" s="202">
        <v>-0.89827573808219185</v>
      </c>
      <c r="P207" s="202">
        <v>2.9173182164383729</v>
      </c>
      <c r="Q207" s="202">
        <v>5.0726575342465754</v>
      </c>
      <c r="R207" s="202">
        <v>7305.042048231805</v>
      </c>
      <c r="S207" s="203">
        <v>1.1218994773860924</v>
      </c>
    </row>
    <row r="208" spans="1:19" x14ac:dyDescent="0.25">
      <c r="A208" s="198" t="s">
        <v>99</v>
      </c>
      <c r="B208" s="199">
        <v>4828.439232876467</v>
      </c>
      <c r="C208" s="199">
        <v>4823.5875890408506</v>
      </c>
      <c r="D208" s="199">
        <v>4.8516438356164393</v>
      </c>
      <c r="E208" s="199">
        <v>4085.1326904108914</v>
      </c>
      <c r="F208" s="199">
        <v>697.64982707672129</v>
      </c>
      <c r="G208" s="199">
        <v>180.47534246575336</v>
      </c>
      <c r="H208" s="199">
        <v>22.956547945205465</v>
      </c>
      <c r="I208" s="199">
        <v>4.6090616438356138</v>
      </c>
      <c r="J208" s="199">
        <v>150.67643835616593</v>
      </c>
      <c r="K208" s="199">
        <v>351.18342465753676</v>
      </c>
      <c r="L208" s="199">
        <v>351.18342465753676</v>
      </c>
      <c r="M208" s="199">
        <v>94.366849315069516</v>
      </c>
      <c r="N208" s="199">
        <v>94.366849315069516</v>
      </c>
      <c r="O208" s="199"/>
      <c r="P208" s="199">
        <v>4.8497087095890512</v>
      </c>
      <c r="Q208" s="199"/>
      <c r="R208" s="199">
        <v>5591.8998905807712</v>
      </c>
      <c r="S208" s="200">
        <v>1.1581174828723115</v>
      </c>
    </row>
    <row r="209" spans="1:19" x14ac:dyDescent="0.25">
      <c r="A209" s="201" t="s">
        <v>217</v>
      </c>
      <c r="B209" s="202">
        <v>4828.4392328756276</v>
      </c>
      <c r="C209" s="202">
        <v>4823.5875890400112</v>
      </c>
      <c r="D209" s="202">
        <v>4.8516438356164455</v>
      </c>
      <c r="E209" s="202">
        <v>4085.1326904108259</v>
      </c>
      <c r="F209" s="202">
        <v>697.64982707676131</v>
      </c>
      <c r="G209" s="202">
        <v>180.47534246575324</v>
      </c>
      <c r="H209" s="202">
        <v>22.956547945205465</v>
      </c>
      <c r="I209" s="202">
        <v>4.6090616438356182</v>
      </c>
      <c r="J209" s="202">
        <v>150.67643835616275</v>
      </c>
      <c r="K209" s="202">
        <v>351.18342465755251</v>
      </c>
      <c r="L209" s="202">
        <v>351.18342465755251</v>
      </c>
      <c r="M209" s="202">
        <v>94.366849315069544</v>
      </c>
      <c r="N209" s="202">
        <v>94.366849315069544</v>
      </c>
      <c r="O209" s="202"/>
      <c r="P209" s="202">
        <v>4.8497087095890477</v>
      </c>
      <c r="Q209" s="202"/>
      <c r="R209" s="202">
        <v>5591.8998905807566</v>
      </c>
      <c r="S209" s="203">
        <v>1.158117482872502</v>
      </c>
    </row>
    <row r="210" spans="1:19" x14ac:dyDescent="0.25">
      <c r="A210" s="198" t="s">
        <v>100</v>
      </c>
      <c r="B210" s="199">
        <v>2153.0709589041535</v>
      </c>
      <c r="C210" s="199">
        <v>2150.5887671233318</v>
      </c>
      <c r="D210" s="199">
        <v>2.4821917808219252</v>
      </c>
      <c r="E210" s="199">
        <v>1658.3428273972463</v>
      </c>
      <c r="F210" s="199">
        <v>233.33117030137112</v>
      </c>
      <c r="G210" s="199">
        <v>143.69676712328865</v>
      </c>
      <c r="H210" s="199">
        <v>40.022701369863007</v>
      </c>
      <c r="I210" s="199">
        <v>2.3580821917808175</v>
      </c>
      <c r="J210" s="199">
        <v>26.09683561643854</v>
      </c>
      <c r="K210" s="199">
        <v>220.94221917808244</v>
      </c>
      <c r="L210" s="199">
        <v>210.65478178520689</v>
      </c>
      <c r="M210" s="199"/>
      <c r="N210" s="199"/>
      <c r="O210" s="199"/>
      <c r="P210" s="199">
        <v>0.54840239999999918</v>
      </c>
      <c r="Q210" s="199"/>
      <c r="R210" s="199">
        <v>2315.0515681851948</v>
      </c>
      <c r="S210" s="200">
        <v>1.0752323599048903</v>
      </c>
    </row>
    <row r="211" spans="1:19" x14ac:dyDescent="0.25">
      <c r="A211" s="201" t="s">
        <v>216</v>
      </c>
      <c r="B211" s="202">
        <v>2153.0709589037751</v>
      </c>
      <c r="C211" s="202">
        <v>2150.5887671229534</v>
      </c>
      <c r="D211" s="202">
        <v>2.4821917808219252</v>
      </c>
      <c r="E211" s="202">
        <v>1658.3428273972297</v>
      </c>
      <c r="F211" s="202">
        <v>233.33117030137123</v>
      </c>
      <c r="G211" s="202">
        <v>143.69676712328845</v>
      </c>
      <c r="H211" s="202">
        <v>40.022701369863007</v>
      </c>
      <c r="I211" s="202">
        <v>2.3580821917808175</v>
      </c>
      <c r="J211" s="202">
        <v>26.096835616438465</v>
      </c>
      <c r="K211" s="202">
        <v>220.94221917808304</v>
      </c>
      <c r="L211" s="202">
        <v>210.65478178520763</v>
      </c>
      <c r="M211" s="202"/>
      <c r="N211" s="202"/>
      <c r="O211" s="202"/>
      <c r="P211" s="202">
        <v>0.54840239999999918</v>
      </c>
      <c r="Q211" s="202"/>
      <c r="R211" s="202">
        <v>2315.0515681851793</v>
      </c>
      <c r="S211" s="203">
        <v>1.0752323599050706</v>
      </c>
    </row>
    <row r="212" spans="1:19" x14ac:dyDescent="0.25">
      <c r="A212" s="198" t="s">
        <v>146</v>
      </c>
      <c r="B212" s="199">
        <v>63.556164383561658</v>
      </c>
      <c r="C212" s="199"/>
      <c r="D212" s="199">
        <v>63.556164383561658</v>
      </c>
      <c r="E212" s="199"/>
      <c r="F212" s="199"/>
      <c r="G212" s="199"/>
      <c r="H212" s="199"/>
      <c r="I212" s="199">
        <v>60.378356164383618</v>
      </c>
      <c r="J212" s="199"/>
      <c r="K212" s="199"/>
      <c r="L212" s="199"/>
      <c r="M212" s="199">
        <v>7.8041095890410999</v>
      </c>
      <c r="N212" s="199">
        <v>7.8041095890410999</v>
      </c>
      <c r="O212" s="199"/>
      <c r="P212" s="199"/>
      <c r="Q212" s="199"/>
      <c r="R212" s="199">
        <v>68.182465753424722</v>
      </c>
      <c r="S212" s="200">
        <v>1.0727907578239511</v>
      </c>
    </row>
    <row r="213" spans="1:19" x14ac:dyDescent="0.25">
      <c r="A213" s="201" t="s">
        <v>215</v>
      </c>
      <c r="B213" s="202">
        <v>63.556164383561622</v>
      </c>
      <c r="C213" s="202"/>
      <c r="D213" s="202">
        <v>63.556164383561622</v>
      </c>
      <c r="E213" s="202"/>
      <c r="F213" s="202"/>
      <c r="G213" s="202"/>
      <c r="H213" s="202"/>
      <c r="I213" s="202">
        <v>60.378356164383746</v>
      </c>
      <c r="J213" s="202"/>
      <c r="K213" s="202"/>
      <c r="L213" s="202"/>
      <c r="M213" s="202">
        <v>7.8041095890410999</v>
      </c>
      <c r="N213" s="202">
        <v>7.8041095890410999</v>
      </c>
      <c r="O213" s="202"/>
      <c r="P213" s="202"/>
      <c r="Q213" s="202"/>
      <c r="R213" s="202">
        <v>68.18246575342485</v>
      </c>
      <c r="S213" s="203">
        <v>1.0727907578239537</v>
      </c>
    </row>
    <row r="214" spans="1:19" x14ac:dyDescent="0.25">
      <c r="A214" s="198" t="s">
        <v>101</v>
      </c>
      <c r="B214" s="199">
        <v>27.517808219178079</v>
      </c>
      <c r="C214" s="199">
        <v>27.517808219178079</v>
      </c>
      <c r="D214" s="199"/>
      <c r="E214" s="199">
        <v>29.444054794520572</v>
      </c>
      <c r="F214" s="199"/>
      <c r="G214" s="199"/>
      <c r="H214" s="199"/>
      <c r="I214" s="199"/>
      <c r="J214" s="199">
        <v>1.5974794520547939</v>
      </c>
      <c r="K214" s="199"/>
      <c r="L214" s="199"/>
      <c r="M214" s="199"/>
      <c r="N214" s="199"/>
      <c r="O214" s="199"/>
      <c r="P214" s="199"/>
      <c r="Q214" s="199"/>
      <c r="R214" s="199">
        <v>31.041534246575367</v>
      </c>
      <c r="S214" s="200">
        <v>1.128052568697731</v>
      </c>
    </row>
    <row r="215" spans="1:19" x14ac:dyDescent="0.25">
      <c r="A215" s="201" t="s">
        <v>213</v>
      </c>
      <c r="B215" s="202">
        <v>27.5178082191781</v>
      </c>
      <c r="C215" s="202">
        <v>27.5178082191781</v>
      </c>
      <c r="D215" s="202"/>
      <c r="E215" s="202">
        <v>29.444054794520572</v>
      </c>
      <c r="F215" s="202"/>
      <c r="G215" s="202"/>
      <c r="H215" s="202"/>
      <c r="I215" s="202"/>
      <c r="J215" s="202">
        <v>1.5974794520547917</v>
      </c>
      <c r="K215" s="202"/>
      <c r="L215" s="202"/>
      <c r="M215" s="202"/>
      <c r="N215" s="202"/>
      <c r="O215" s="202"/>
      <c r="P215" s="202"/>
      <c r="Q215" s="202"/>
      <c r="R215" s="202">
        <v>31.041534246575363</v>
      </c>
      <c r="S215" s="203">
        <v>1.1280525686977301</v>
      </c>
    </row>
    <row r="216" spans="1:19" x14ac:dyDescent="0.25">
      <c r="A216" s="198" t="s">
        <v>130</v>
      </c>
      <c r="B216" s="199">
        <v>26.200438356164405</v>
      </c>
      <c r="C216" s="199">
        <v>26.200438356164405</v>
      </c>
      <c r="D216" s="199"/>
      <c r="E216" s="199"/>
      <c r="F216" s="199">
        <v>26.072056208219212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>
        <v>26.072056208219212</v>
      </c>
      <c r="S216" s="200">
        <v>0.99510000000000054</v>
      </c>
    </row>
    <row r="217" spans="1:19" x14ac:dyDescent="0.25">
      <c r="A217" s="201" t="s">
        <v>212</v>
      </c>
      <c r="B217" s="202">
        <v>26.200438356164472</v>
      </c>
      <c r="C217" s="202">
        <v>26.200438356164472</v>
      </c>
      <c r="D217" s="202"/>
      <c r="E217" s="202"/>
      <c r="F217" s="202">
        <v>26.072056208219195</v>
      </c>
      <c r="G217" s="202"/>
      <c r="H217" s="202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>
        <v>26.072056208219195</v>
      </c>
      <c r="S217" s="203">
        <v>0.99509999999999732</v>
      </c>
    </row>
    <row r="218" spans="1:19" x14ac:dyDescent="0.25">
      <c r="A218" s="198" t="s">
        <v>102</v>
      </c>
      <c r="B218" s="199">
        <v>116.34794520547952</v>
      </c>
      <c r="C218" s="199">
        <v>116.34794520547952</v>
      </c>
      <c r="D218" s="199"/>
      <c r="E218" s="199">
        <v>112.28613698630163</v>
      </c>
      <c r="F218" s="199"/>
      <c r="G218" s="199"/>
      <c r="H218" s="199">
        <v>0.90712328767123285</v>
      </c>
      <c r="I218" s="199"/>
      <c r="J218" s="199">
        <v>3.033041095890411</v>
      </c>
      <c r="K218" s="199">
        <v>16.576712328767155</v>
      </c>
      <c r="L218" s="199">
        <v>16.576712328767155</v>
      </c>
      <c r="M218" s="199">
        <v>33.063589041095874</v>
      </c>
      <c r="N218" s="199">
        <v>33.063589041095874</v>
      </c>
      <c r="O218" s="199"/>
      <c r="P218" s="199"/>
      <c r="Q218" s="199"/>
      <c r="R218" s="199">
        <v>165.86660273972629</v>
      </c>
      <c r="S218" s="200">
        <v>1.4256083547224918</v>
      </c>
    </row>
    <row r="219" spans="1:19" x14ac:dyDescent="0.25">
      <c r="A219" s="201" t="s">
        <v>211</v>
      </c>
      <c r="B219" s="202">
        <v>116.34794520547953</v>
      </c>
      <c r="C219" s="202">
        <v>116.34794520547953</v>
      </c>
      <c r="D219" s="202"/>
      <c r="E219" s="202">
        <v>112.28613698630166</v>
      </c>
      <c r="F219" s="202"/>
      <c r="G219" s="202"/>
      <c r="H219" s="202">
        <v>0.90712328767123285</v>
      </c>
      <c r="I219" s="202"/>
      <c r="J219" s="202">
        <v>3.0330410958904102</v>
      </c>
      <c r="K219" s="202">
        <v>16.576712328767165</v>
      </c>
      <c r="L219" s="202">
        <v>16.576712328767165</v>
      </c>
      <c r="M219" s="202">
        <v>33.063589041095874</v>
      </c>
      <c r="N219" s="202">
        <v>33.063589041095874</v>
      </c>
      <c r="O219" s="202"/>
      <c r="P219" s="202"/>
      <c r="Q219" s="202"/>
      <c r="R219" s="202">
        <v>165.86660273972635</v>
      </c>
      <c r="S219" s="203">
        <v>1.4256083547224923</v>
      </c>
    </row>
    <row r="220" spans="1:19" x14ac:dyDescent="0.25">
      <c r="A220" s="198" t="s">
        <v>103</v>
      </c>
      <c r="B220" s="199">
        <v>295.53095890410668</v>
      </c>
      <c r="C220" s="199">
        <v>295.53095890410668</v>
      </c>
      <c r="D220" s="199"/>
      <c r="E220" s="199">
        <v>213.75199999999964</v>
      </c>
      <c r="F220" s="199">
        <v>108.17562279452163</v>
      </c>
      <c r="G220" s="199"/>
      <c r="H220" s="199"/>
      <c r="I220" s="199"/>
      <c r="J220" s="199">
        <v>4.3460383561643834</v>
      </c>
      <c r="K220" s="199">
        <v>2.0852054794520547</v>
      </c>
      <c r="L220" s="199">
        <v>2.0852054794520547</v>
      </c>
      <c r="M220" s="199">
        <v>54.079315068493386</v>
      </c>
      <c r="N220" s="199">
        <v>54.079315068493386</v>
      </c>
      <c r="O220" s="199"/>
      <c r="P220" s="199"/>
      <c r="Q220" s="199"/>
      <c r="R220" s="199">
        <v>382.43818169863107</v>
      </c>
      <c r="S220" s="200">
        <v>1.2940714675606084</v>
      </c>
    </row>
    <row r="221" spans="1:19" x14ac:dyDescent="0.25">
      <c r="A221" s="201" t="s">
        <v>210</v>
      </c>
      <c r="B221" s="202">
        <v>295.53095890410452</v>
      </c>
      <c r="C221" s="202">
        <v>295.53095890410452</v>
      </c>
      <c r="D221" s="202"/>
      <c r="E221" s="202">
        <v>213.75199999999964</v>
      </c>
      <c r="F221" s="202">
        <v>108.17562279452142</v>
      </c>
      <c r="G221" s="202"/>
      <c r="H221" s="202"/>
      <c r="I221" s="202"/>
      <c r="J221" s="202">
        <v>4.3460383561643878</v>
      </c>
      <c r="K221" s="202">
        <v>2.0852054794520547</v>
      </c>
      <c r="L221" s="202">
        <v>2.0852054794520547</v>
      </c>
      <c r="M221" s="202">
        <v>54.079315068493386</v>
      </c>
      <c r="N221" s="202">
        <v>54.079315068493386</v>
      </c>
      <c r="O221" s="202"/>
      <c r="P221" s="202"/>
      <c r="Q221" s="202"/>
      <c r="R221" s="202">
        <v>382.4381816986309</v>
      </c>
      <c r="S221" s="203">
        <v>1.2940714675606169</v>
      </c>
    </row>
    <row r="222" spans="1:19" x14ac:dyDescent="0.25">
      <c r="A222" s="198" t="s">
        <v>104</v>
      </c>
      <c r="B222" s="199">
        <v>293.48082191780867</v>
      </c>
      <c r="C222" s="199">
        <v>293.48082191780867</v>
      </c>
      <c r="D222" s="199"/>
      <c r="E222" s="199"/>
      <c r="F222" s="199">
        <v>212.89098821917915</v>
      </c>
      <c r="G222" s="199"/>
      <c r="H222" s="199"/>
      <c r="I222" s="199"/>
      <c r="J222" s="199">
        <v>4.4219178082191779E-2</v>
      </c>
      <c r="K222" s="199">
        <v>0.61232876712328765</v>
      </c>
      <c r="L222" s="199">
        <v>0.61232876712328765</v>
      </c>
      <c r="M222" s="199"/>
      <c r="N222" s="199"/>
      <c r="O222" s="199"/>
      <c r="P222" s="199">
        <v>1.9224491178082195</v>
      </c>
      <c r="Q222" s="199"/>
      <c r="R222" s="199">
        <v>215.46998528219285</v>
      </c>
      <c r="S222" s="200">
        <v>0.73418761701075208</v>
      </c>
    </row>
    <row r="223" spans="1:19" x14ac:dyDescent="0.25">
      <c r="A223" s="201" t="s">
        <v>209</v>
      </c>
      <c r="B223" s="202">
        <v>293.48082191779758</v>
      </c>
      <c r="C223" s="202">
        <v>293.48082191779758</v>
      </c>
      <c r="D223" s="202"/>
      <c r="E223" s="202"/>
      <c r="F223" s="202">
        <v>212.89098821917804</v>
      </c>
      <c r="G223" s="202"/>
      <c r="H223" s="202"/>
      <c r="I223" s="202"/>
      <c r="J223" s="202">
        <v>4.4219178082191779E-2</v>
      </c>
      <c r="K223" s="202">
        <v>0.61232876712328765</v>
      </c>
      <c r="L223" s="202">
        <v>0.61232876712328765</v>
      </c>
      <c r="M223" s="202"/>
      <c r="N223" s="202"/>
      <c r="O223" s="202"/>
      <c r="P223" s="202">
        <v>1.9224491178082308</v>
      </c>
      <c r="Q223" s="202"/>
      <c r="R223" s="202">
        <v>215.46998528219177</v>
      </c>
      <c r="S223" s="203">
        <v>0.73418761701077617</v>
      </c>
    </row>
    <row r="224" spans="1:19" x14ac:dyDescent="0.25">
      <c r="A224" s="198" t="s">
        <v>434</v>
      </c>
      <c r="B224" s="199">
        <v>800.26931506847973</v>
      </c>
      <c r="C224" s="199">
        <v>748.3769863013564</v>
      </c>
      <c r="D224" s="199">
        <v>51.892328767123288</v>
      </c>
      <c r="E224" s="199">
        <v>239.67696438356171</v>
      </c>
      <c r="F224" s="199">
        <v>358.78661860273866</v>
      </c>
      <c r="G224" s="199"/>
      <c r="H224" s="199"/>
      <c r="I224" s="199">
        <v>49.297712328767105</v>
      </c>
      <c r="J224" s="199">
        <v>4.9660273972602725E-2</v>
      </c>
      <c r="K224" s="199"/>
      <c r="L224" s="199"/>
      <c r="M224" s="199">
        <v>0.19499178082191784</v>
      </c>
      <c r="N224" s="199">
        <v>0.19499178082191784</v>
      </c>
      <c r="O224" s="199"/>
      <c r="P224" s="199">
        <v>4.9077185424657594</v>
      </c>
      <c r="Q224" s="199"/>
      <c r="R224" s="199">
        <v>652.91366591232782</v>
      </c>
      <c r="S224" s="200">
        <v>0.81586742565089776</v>
      </c>
    </row>
    <row r="225" spans="1:19" x14ac:dyDescent="0.25">
      <c r="A225" s="201" t="s">
        <v>208</v>
      </c>
      <c r="B225" s="202">
        <v>800.26931506850065</v>
      </c>
      <c r="C225" s="202">
        <v>748.37698630137731</v>
      </c>
      <c r="D225" s="202">
        <v>51.892328767123303</v>
      </c>
      <c r="E225" s="202">
        <v>239.67696438356128</v>
      </c>
      <c r="F225" s="202">
        <v>358.78661860273832</v>
      </c>
      <c r="G225" s="202"/>
      <c r="H225" s="202"/>
      <c r="I225" s="202">
        <v>49.297712328767282</v>
      </c>
      <c r="J225" s="202">
        <v>4.9660273972602725E-2</v>
      </c>
      <c r="K225" s="202"/>
      <c r="L225" s="202"/>
      <c r="M225" s="202">
        <v>0.19499178082191784</v>
      </c>
      <c r="N225" s="202">
        <v>0.19499178082191784</v>
      </c>
      <c r="O225" s="202"/>
      <c r="P225" s="202">
        <v>4.9077185424657559</v>
      </c>
      <c r="Q225" s="202"/>
      <c r="R225" s="202">
        <v>652.91366591232713</v>
      </c>
      <c r="S225" s="203">
        <v>0.81586742565087567</v>
      </c>
    </row>
    <row r="226" spans="1:19" x14ac:dyDescent="0.25">
      <c r="A226" s="198" t="s">
        <v>105</v>
      </c>
      <c r="B226" s="199">
        <v>483.0939178082167</v>
      </c>
      <c r="C226" s="199">
        <v>483.0939178082167</v>
      </c>
      <c r="D226" s="199"/>
      <c r="E226" s="199">
        <v>544.12216520548611</v>
      </c>
      <c r="F226" s="199">
        <v>1.8824066301369868</v>
      </c>
      <c r="G226" s="199"/>
      <c r="H226" s="199"/>
      <c r="I226" s="199"/>
      <c r="J226" s="199">
        <v>18.213304109589064</v>
      </c>
      <c r="K226" s="199">
        <v>32.902876712328727</v>
      </c>
      <c r="L226" s="199">
        <v>32.902876712328727</v>
      </c>
      <c r="M226" s="199">
        <v>25.183232876712317</v>
      </c>
      <c r="N226" s="199">
        <v>25.183232876712317</v>
      </c>
      <c r="O226" s="199"/>
      <c r="P226" s="199"/>
      <c r="Q226" s="199"/>
      <c r="R226" s="199">
        <v>622.30398553425323</v>
      </c>
      <c r="S226" s="200">
        <v>1.2881635694310303</v>
      </c>
    </row>
    <row r="227" spans="1:19" x14ac:dyDescent="0.25">
      <c r="A227" s="201" t="s">
        <v>207</v>
      </c>
      <c r="B227" s="202">
        <v>483.09391780821778</v>
      </c>
      <c r="C227" s="202">
        <v>483.09391780821778</v>
      </c>
      <c r="D227" s="202"/>
      <c r="E227" s="202">
        <v>544.12216520548714</v>
      </c>
      <c r="F227" s="202">
        <v>1.8824066301369868</v>
      </c>
      <c r="G227" s="202"/>
      <c r="H227" s="202"/>
      <c r="I227" s="202"/>
      <c r="J227" s="202">
        <v>18.213304109588986</v>
      </c>
      <c r="K227" s="202">
        <v>32.902876712328734</v>
      </c>
      <c r="L227" s="202">
        <v>32.902876712328734</v>
      </c>
      <c r="M227" s="202">
        <v>25.18323287671231</v>
      </c>
      <c r="N227" s="202">
        <v>25.18323287671231</v>
      </c>
      <c r="O227" s="202"/>
      <c r="P227" s="202"/>
      <c r="Q227" s="202"/>
      <c r="R227" s="202">
        <v>622.30398553425414</v>
      </c>
      <c r="S227" s="203">
        <v>1.2881635694310294</v>
      </c>
    </row>
    <row r="228" spans="1:19" x14ac:dyDescent="0.25">
      <c r="A228" s="198" t="s">
        <v>106</v>
      </c>
      <c r="B228" s="199">
        <v>997.18863013699774</v>
      </c>
      <c r="C228" s="199">
        <v>997.18863013699774</v>
      </c>
      <c r="D228" s="199"/>
      <c r="E228" s="199">
        <v>941.65868767121674</v>
      </c>
      <c r="F228" s="199">
        <v>15.569270136986306</v>
      </c>
      <c r="G228" s="199">
        <v>27.15884931506848</v>
      </c>
      <c r="H228" s="199">
        <v>10.215895890410964</v>
      </c>
      <c r="I228" s="199"/>
      <c r="J228" s="199">
        <v>39.250487671232648</v>
      </c>
      <c r="K228" s="199">
        <v>54.546712328767079</v>
      </c>
      <c r="L228" s="199">
        <v>54.546712328767079</v>
      </c>
      <c r="M228" s="199"/>
      <c r="N228" s="199"/>
      <c r="O228" s="199"/>
      <c r="P228" s="199"/>
      <c r="Q228" s="199"/>
      <c r="R228" s="199">
        <v>1088.3999030136822</v>
      </c>
      <c r="S228" s="200">
        <v>1.0914684244485955</v>
      </c>
    </row>
    <row r="229" spans="1:19" x14ac:dyDescent="0.25">
      <c r="A229" s="201" t="s">
        <v>206</v>
      </c>
      <c r="B229" s="202">
        <v>997.18863013703071</v>
      </c>
      <c r="C229" s="202">
        <v>997.18863013703071</v>
      </c>
      <c r="D229" s="202"/>
      <c r="E229" s="202">
        <v>941.6586876712164</v>
      </c>
      <c r="F229" s="202">
        <v>15.569270136986301</v>
      </c>
      <c r="G229" s="202">
        <v>27.15884931506848</v>
      </c>
      <c r="H229" s="202">
        <v>10.215895890410964</v>
      </c>
      <c r="I229" s="202"/>
      <c r="J229" s="202">
        <v>39.250487671231859</v>
      </c>
      <c r="K229" s="202">
        <v>54.5467123287671</v>
      </c>
      <c r="L229" s="202">
        <v>54.5467123287671</v>
      </c>
      <c r="M229" s="202"/>
      <c r="N229" s="202"/>
      <c r="O229" s="202"/>
      <c r="P229" s="202"/>
      <c r="Q229" s="202"/>
      <c r="R229" s="202">
        <v>1088.3999030136811</v>
      </c>
      <c r="S229" s="203">
        <v>1.0914684244485584</v>
      </c>
    </row>
    <row r="230" spans="1:19" x14ac:dyDescent="0.25">
      <c r="A230" s="198" t="s">
        <v>107</v>
      </c>
      <c r="B230" s="199">
        <v>1562.5253424657335</v>
      </c>
      <c r="C230" s="199">
        <v>1562.5253424657335</v>
      </c>
      <c r="D230" s="199"/>
      <c r="E230" s="199">
        <v>1397.2324821917559</v>
      </c>
      <c r="F230" s="199">
        <v>190.2744099452058</v>
      </c>
      <c r="G230" s="199">
        <v>30.858224657534223</v>
      </c>
      <c r="H230" s="199">
        <v>9.7783671232876763</v>
      </c>
      <c r="I230" s="199"/>
      <c r="J230" s="199">
        <v>39.740712328766961</v>
      </c>
      <c r="K230" s="199">
        <v>32.026876712328786</v>
      </c>
      <c r="L230" s="199">
        <v>32.026876712328786</v>
      </c>
      <c r="M230" s="199">
        <v>83.204383561644477</v>
      </c>
      <c r="N230" s="199">
        <v>83.204383561644477</v>
      </c>
      <c r="O230" s="199"/>
      <c r="P230" s="199">
        <v>0.36774798904109507</v>
      </c>
      <c r="Q230" s="199"/>
      <c r="R230" s="199">
        <v>1783.4832045095652</v>
      </c>
      <c r="S230" s="200">
        <v>1.1414107381421097</v>
      </c>
    </row>
    <row r="231" spans="1:19" x14ac:dyDescent="0.25">
      <c r="A231" s="201" t="s">
        <v>205</v>
      </c>
      <c r="B231" s="202">
        <v>1562.5253424657594</v>
      </c>
      <c r="C231" s="202">
        <v>1562.5253424657594</v>
      </c>
      <c r="D231" s="202"/>
      <c r="E231" s="202">
        <v>1397.2324821917816</v>
      </c>
      <c r="F231" s="202">
        <v>190.27440994520529</v>
      </c>
      <c r="G231" s="202">
        <v>30.858224657534148</v>
      </c>
      <c r="H231" s="202">
        <v>9.7783671232876763</v>
      </c>
      <c r="I231" s="202"/>
      <c r="J231" s="202">
        <v>39.740712328767444</v>
      </c>
      <c r="K231" s="202">
        <v>32.026876712328772</v>
      </c>
      <c r="L231" s="202">
        <v>32.026876712328772</v>
      </c>
      <c r="M231" s="202">
        <v>83.204383561644477</v>
      </c>
      <c r="N231" s="202">
        <v>83.204383561644477</v>
      </c>
      <c r="O231" s="202"/>
      <c r="P231" s="202">
        <v>0.36774798904109507</v>
      </c>
      <c r="Q231" s="202"/>
      <c r="R231" s="202">
        <v>1783.4832045095902</v>
      </c>
      <c r="S231" s="203">
        <v>1.1414107381421066</v>
      </c>
    </row>
    <row r="232" spans="1:19" x14ac:dyDescent="0.25">
      <c r="A232" s="198" t="s">
        <v>108</v>
      </c>
      <c r="B232" s="199">
        <v>2518.3841095891526</v>
      </c>
      <c r="C232" s="199">
        <v>2501.6010958905222</v>
      </c>
      <c r="D232" s="199">
        <v>16.783013698630189</v>
      </c>
      <c r="E232" s="199">
        <v>1273.2383780821929</v>
      </c>
      <c r="F232" s="199">
        <v>858.00563736986953</v>
      </c>
      <c r="G232" s="199">
        <v>103.98164383561624</v>
      </c>
      <c r="H232" s="199"/>
      <c r="I232" s="199">
        <v>15.943863013698692</v>
      </c>
      <c r="J232" s="199">
        <v>0.92837260273972655</v>
      </c>
      <c r="K232" s="199">
        <v>17.204767123287681</v>
      </c>
      <c r="L232" s="199">
        <v>17.204767123287681</v>
      </c>
      <c r="M232" s="199"/>
      <c r="N232" s="199"/>
      <c r="O232" s="199"/>
      <c r="P232" s="199">
        <v>3.3414900904109563</v>
      </c>
      <c r="Q232" s="199"/>
      <c r="R232" s="199">
        <v>2272.6441521178153</v>
      </c>
      <c r="S232" s="200">
        <v>0.9024215740022965</v>
      </c>
    </row>
    <row r="233" spans="1:19" x14ac:dyDescent="0.25">
      <c r="A233" s="201" t="s">
        <v>204</v>
      </c>
      <c r="B233" s="202">
        <v>2518.3841095892267</v>
      </c>
      <c r="C233" s="202">
        <v>2501.6010958905963</v>
      </c>
      <c r="D233" s="202">
        <v>16.783013698630196</v>
      </c>
      <c r="E233" s="202">
        <v>1273.2383780822263</v>
      </c>
      <c r="F233" s="202">
        <v>858.00563736993445</v>
      </c>
      <c r="G233" s="202">
        <v>103.98164383561806</v>
      </c>
      <c r="H233" s="202"/>
      <c r="I233" s="202">
        <v>15.943863013698698</v>
      </c>
      <c r="J233" s="202">
        <v>0.92837260273972722</v>
      </c>
      <c r="K233" s="202">
        <v>17.204767123287724</v>
      </c>
      <c r="L233" s="202">
        <v>17.204767123287724</v>
      </c>
      <c r="M233" s="202"/>
      <c r="N233" s="202"/>
      <c r="O233" s="202"/>
      <c r="P233" s="202">
        <v>3.3414900904109737</v>
      </c>
      <c r="Q233" s="202"/>
      <c r="R233" s="202">
        <v>2272.6441521179158</v>
      </c>
      <c r="S233" s="203">
        <v>0.90242157400230993</v>
      </c>
    </row>
    <row r="234" spans="1:19" x14ac:dyDescent="0.25">
      <c r="A234" s="198" t="s">
        <v>109</v>
      </c>
      <c r="B234" s="199">
        <v>9115.3435068495364</v>
      </c>
      <c r="C234" s="199">
        <v>9072.1435068495357</v>
      </c>
      <c r="D234" s="199">
        <v>43.20000000000001</v>
      </c>
      <c r="E234" s="199">
        <v>7976.9134084934722</v>
      </c>
      <c r="F234" s="199">
        <v>769.80051098630724</v>
      </c>
      <c r="G234" s="199">
        <v>424.64192054794773</v>
      </c>
      <c r="H234" s="199">
        <v>85.875884931507088</v>
      </c>
      <c r="I234" s="199">
        <v>41.040000000000035</v>
      </c>
      <c r="J234" s="199">
        <v>269.26595013699057</v>
      </c>
      <c r="K234" s="199">
        <v>848.66267397257013</v>
      </c>
      <c r="L234" s="199">
        <v>848.66267397257013</v>
      </c>
      <c r="M234" s="199">
        <v>16.615134246575341</v>
      </c>
      <c r="N234" s="199">
        <v>16.615134246575341</v>
      </c>
      <c r="O234" s="199">
        <v>-2.4726027397260299E-2</v>
      </c>
      <c r="P234" s="199">
        <v>2.1128110273972607</v>
      </c>
      <c r="Q234" s="199"/>
      <c r="R234" s="199">
        <v>10434.9035683153</v>
      </c>
      <c r="S234" s="200">
        <v>1.1447625161327359</v>
      </c>
    </row>
    <row r="235" spans="1:19" x14ac:dyDescent="0.25">
      <c r="A235" s="201" t="s">
        <v>203</v>
      </c>
      <c r="B235" s="202">
        <v>9115.3435068525087</v>
      </c>
      <c r="C235" s="202">
        <v>9072.1435068525079</v>
      </c>
      <c r="D235" s="202">
        <v>43.199999999999953</v>
      </c>
      <c r="E235" s="202">
        <v>7976.9134084939606</v>
      </c>
      <c r="F235" s="202">
        <v>769.8005109863459</v>
      </c>
      <c r="G235" s="202">
        <v>424.64192054794938</v>
      </c>
      <c r="H235" s="202">
        <v>85.875884931507088</v>
      </c>
      <c r="I235" s="202">
        <v>41.040000000000283</v>
      </c>
      <c r="J235" s="202">
        <v>269.26595013698795</v>
      </c>
      <c r="K235" s="202">
        <v>848.66267397247418</v>
      </c>
      <c r="L235" s="202">
        <v>848.66267397247418</v>
      </c>
      <c r="M235" s="202">
        <v>16.615134246575327</v>
      </c>
      <c r="N235" s="202">
        <v>16.615134246575327</v>
      </c>
      <c r="O235" s="202">
        <v>-2.4726027397260299E-2</v>
      </c>
      <c r="P235" s="202">
        <v>2.112811027397266</v>
      </c>
      <c r="Q235" s="202"/>
      <c r="R235" s="202">
        <v>10434.903568315798</v>
      </c>
      <c r="S235" s="203">
        <v>1.1447625161324204</v>
      </c>
    </row>
    <row r="236" spans="1:19" x14ac:dyDescent="0.25">
      <c r="A236" s="198" t="s">
        <v>110</v>
      </c>
      <c r="B236" s="199">
        <v>64.653698630136986</v>
      </c>
      <c r="C236" s="199">
        <v>64.653698630136986</v>
      </c>
      <c r="D236" s="199"/>
      <c r="E236" s="199">
        <v>84.470235616438345</v>
      </c>
      <c r="F236" s="199"/>
      <c r="G236" s="199"/>
      <c r="H236" s="199"/>
      <c r="I236" s="199"/>
      <c r="J236" s="199">
        <v>1.3213150684931483</v>
      </c>
      <c r="K236" s="199">
        <v>1.8630136986301373</v>
      </c>
      <c r="L236" s="199">
        <v>1.8630136986301373</v>
      </c>
      <c r="M236" s="199"/>
      <c r="N236" s="199"/>
      <c r="O236" s="199"/>
      <c r="P236" s="199"/>
      <c r="Q236" s="199"/>
      <c r="R236" s="199">
        <v>87.654564383561635</v>
      </c>
      <c r="S236" s="200">
        <v>1.3557548329138167</v>
      </c>
    </row>
    <row r="237" spans="1:19" x14ac:dyDescent="0.25">
      <c r="A237" s="201" t="s">
        <v>202</v>
      </c>
      <c r="B237" s="202">
        <v>64.653698630136873</v>
      </c>
      <c r="C237" s="202">
        <v>64.653698630136873</v>
      </c>
      <c r="D237" s="202"/>
      <c r="E237" s="202">
        <v>84.470235616438316</v>
      </c>
      <c r="F237" s="202"/>
      <c r="G237" s="202"/>
      <c r="H237" s="202"/>
      <c r="I237" s="202"/>
      <c r="J237" s="202">
        <v>1.3213150684931469</v>
      </c>
      <c r="K237" s="202">
        <v>1.8630136986301367</v>
      </c>
      <c r="L237" s="202">
        <v>1.8630136986301367</v>
      </c>
      <c r="M237" s="202"/>
      <c r="N237" s="202"/>
      <c r="O237" s="202"/>
      <c r="P237" s="202"/>
      <c r="Q237" s="202"/>
      <c r="R237" s="202">
        <v>87.654564383561606</v>
      </c>
      <c r="S237" s="203">
        <v>1.3557548329138187</v>
      </c>
    </row>
    <row r="238" spans="1:19" x14ac:dyDescent="0.25">
      <c r="A238" s="198" t="s">
        <v>111</v>
      </c>
      <c r="B238" s="199">
        <v>82.608493150685035</v>
      </c>
      <c r="C238" s="199">
        <v>82.608493150685035</v>
      </c>
      <c r="D238" s="199"/>
      <c r="E238" s="199">
        <v>92.095156164383312</v>
      </c>
      <c r="F238" s="199">
        <v>13.907607287671228</v>
      </c>
      <c r="G238" s="199"/>
      <c r="H238" s="199"/>
      <c r="I238" s="199"/>
      <c r="J238" s="199">
        <v>2.8861808219178045</v>
      </c>
      <c r="K238" s="199">
        <v>4.4397260273972607</v>
      </c>
      <c r="L238" s="199">
        <v>4.4397260273972607</v>
      </c>
      <c r="M238" s="199">
        <v>46.59871232876732</v>
      </c>
      <c r="N238" s="199">
        <v>46.59871232876732</v>
      </c>
      <c r="O238" s="199"/>
      <c r="P238" s="199"/>
      <c r="Q238" s="199"/>
      <c r="R238" s="199">
        <v>159.92738263013692</v>
      </c>
      <c r="S238" s="200">
        <v>1.9359677985944561</v>
      </c>
    </row>
    <row r="239" spans="1:19" x14ac:dyDescent="0.25">
      <c r="A239" s="201" t="s">
        <v>201</v>
      </c>
      <c r="B239" s="202">
        <v>82.608493150685106</v>
      </c>
      <c r="C239" s="202">
        <v>82.608493150685106</v>
      </c>
      <c r="D239" s="202"/>
      <c r="E239" s="202">
        <v>92.095156164383312</v>
      </c>
      <c r="F239" s="202">
        <v>13.907607287671206</v>
      </c>
      <c r="G239" s="202"/>
      <c r="H239" s="202"/>
      <c r="I239" s="202"/>
      <c r="J239" s="202">
        <v>2.8861808219178062</v>
      </c>
      <c r="K239" s="202">
        <v>4.4397260273972643</v>
      </c>
      <c r="L239" s="202">
        <v>4.4397260273972643</v>
      </c>
      <c r="M239" s="202">
        <v>46.59871232876732</v>
      </c>
      <c r="N239" s="202">
        <v>46.59871232876732</v>
      </c>
      <c r="O239" s="202"/>
      <c r="P239" s="202"/>
      <c r="Q239" s="202"/>
      <c r="R239" s="202">
        <v>159.92738263013689</v>
      </c>
      <c r="S239" s="203">
        <v>1.9359677985944541</v>
      </c>
    </row>
    <row r="240" spans="1:19" x14ac:dyDescent="0.25">
      <c r="A240" s="198" t="s">
        <v>112</v>
      </c>
      <c r="B240" s="199">
        <v>210.72054794520494</v>
      </c>
      <c r="C240" s="199">
        <v>210.72054794520494</v>
      </c>
      <c r="D240" s="199"/>
      <c r="E240" s="199">
        <v>225.22994520547866</v>
      </c>
      <c r="F240" s="199"/>
      <c r="G240" s="199"/>
      <c r="H240" s="199"/>
      <c r="I240" s="199"/>
      <c r="J240" s="199">
        <v>5.2780602739726037</v>
      </c>
      <c r="K240" s="199">
        <v>52.901917808219238</v>
      </c>
      <c r="L240" s="199">
        <v>52.901917808219238</v>
      </c>
      <c r="M240" s="199">
        <v>0.19676712328767124</v>
      </c>
      <c r="N240" s="199">
        <v>0.19676712328767124</v>
      </c>
      <c r="O240" s="199"/>
      <c r="P240" s="199"/>
      <c r="Q240" s="199"/>
      <c r="R240" s="199">
        <v>283.60669041095815</v>
      </c>
      <c r="S240" s="200">
        <v>1.3458900575975452</v>
      </c>
    </row>
    <row r="241" spans="1:19" x14ac:dyDescent="0.25">
      <c r="A241" s="201" t="s">
        <v>197</v>
      </c>
      <c r="B241" s="202">
        <v>210.72054794520105</v>
      </c>
      <c r="C241" s="202">
        <v>210.72054794520105</v>
      </c>
      <c r="D241" s="202"/>
      <c r="E241" s="202">
        <v>225.22994520547843</v>
      </c>
      <c r="F241" s="202"/>
      <c r="G241" s="202"/>
      <c r="H241" s="202"/>
      <c r="I241" s="202"/>
      <c r="J241" s="202">
        <v>5.2780602739726215</v>
      </c>
      <c r="K241" s="202">
        <v>52.901917808219117</v>
      </c>
      <c r="L241" s="202">
        <v>52.901917808219117</v>
      </c>
      <c r="M241" s="202">
        <v>0.19676712328767124</v>
      </c>
      <c r="N241" s="202">
        <v>0.19676712328767124</v>
      </c>
      <c r="O241" s="202"/>
      <c r="P241" s="202"/>
      <c r="Q241" s="202"/>
      <c r="R241" s="202">
        <v>283.60669041095787</v>
      </c>
      <c r="S241" s="203">
        <v>1.3458900575975687</v>
      </c>
    </row>
    <row r="242" spans="1:19" x14ac:dyDescent="0.25">
      <c r="A242" s="198" t="s">
        <v>113</v>
      </c>
      <c r="B242" s="199">
        <v>36.345205479452034</v>
      </c>
      <c r="C242" s="199">
        <v>36.345205479452034</v>
      </c>
      <c r="D242" s="199"/>
      <c r="E242" s="199">
        <v>35.366273972602805</v>
      </c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>
        <v>35.366273972602805</v>
      </c>
      <c r="S242" s="200">
        <v>0.97306573194633128</v>
      </c>
    </row>
    <row r="243" spans="1:19" x14ac:dyDescent="0.25">
      <c r="A243" s="201" t="s">
        <v>198</v>
      </c>
      <c r="B243" s="202">
        <v>36.345205479452048</v>
      </c>
      <c r="C243" s="202">
        <v>36.345205479452048</v>
      </c>
      <c r="D243" s="202"/>
      <c r="E243" s="202">
        <v>35.366273972602841</v>
      </c>
      <c r="F243" s="202"/>
      <c r="G243" s="202"/>
      <c r="H243" s="202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>
        <v>35.366273972602841</v>
      </c>
      <c r="S243" s="203">
        <v>0.97306573194633195</v>
      </c>
    </row>
    <row r="244" spans="1:19" x14ac:dyDescent="0.25">
      <c r="A244" s="198" t="s">
        <v>114</v>
      </c>
      <c r="B244" s="199">
        <v>1161.056712328774</v>
      </c>
      <c r="C244" s="199">
        <v>1144.7506849315137</v>
      </c>
      <c r="D244" s="199">
        <v>16.30602739726028</v>
      </c>
      <c r="E244" s="199">
        <v>684.02861095889625</v>
      </c>
      <c r="F244" s="199">
        <v>340.15913391780884</v>
      </c>
      <c r="G244" s="199">
        <v>74.620383561643877</v>
      </c>
      <c r="H244" s="199"/>
      <c r="I244" s="199">
        <v>15.49072602739726</v>
      </c>
      <c r="J244" s="199">
        <v>0.37923287671232903</v>
      </c>
      <c r="K244" s="199">
        <v>3.9465753424657559</v>
      </c>
      <c r="L244" s="199">
        <v>3.9465753424657559</v>
      </c>
      <c r="M244" s="199"/>
      <c r="N244" s="199"/>
      <c r="O244" s="199">
        <v>-1.8180501205479473</v>
      </c>
      <c r="P244" s="199">
        <v>3.1568337863013629</v>
      </c>
      <c r="Q244" s="199"/>
      <c r="R244" s="199">
        <v>1119.9634463506777</v>
      </c>
      <c r="S244" s="200">
        <v>0.96460701226585732</v>
      </c>
    </row>
    <row r="245" spans="1:19" x14ac:dyDescent="0.25">
      <c r="A245" s="201" t="s">
        <v>195</v>
      </c>
      <c r="B245" s="202">
        <v>1161.0567123288047</v>
      </c>
      <c r="C245" s="202">
        <v>1144.7506849315444</v>
      </c>
      <c r="D245" s="202">
        <v>16.306027397260259</v>
      </c>
      <c r="E245" s="202">
        <v>684.02861095885737</v>
      </c>
      <c r="F245" s="202">
        <v>340.15913391780799</v>
      </c>
      <c r="G245" s="202">
        <v>74.620383561644474</v>
      </c>
      <c r="H245" s="202"/>
      <c r="I245" s="202">
        <v>15.490726027397319</v>
      </c>
      <c r="J245" s="202">
        <v>0.37923287671232903</v>
      </c>
      <c r="K245" s="202">
        <v>3.9465753424657621</v>
      </c>
      <c r="L245" s="202">
        <v>3.9465753424657621</v>
      </c>
      <c r="M245" s="202"/>
      <c r="N245" s="202"/>
      <c r="O245" s="202">
        <v>-1.8180501205479473</v>
      </c>
      <c r="P245" s="202">
        <v>3.1568337863013678</v>
      </c>
      <c r="Q245" s="202"/>
      <c r="R245" s="202">
        <v>1119.9634463506391</v>
      </c>
      <c r="S245" s="203">
        <v>0.96460701226579859</v>
      </c>
    </row>
    <row r="246" spans="1:19" x14ac:dyDescent="0.25">
      <c r="A246" s="198" t="s">
        <v>115</v>
      </c>
      <c r="B246" s="199">
        <v>330.81506849314883</v>
      </c>
      <c r="C246" s="199">
        <v>330.81506849314883</v>
      </c>
      <c r="D246" s="199"/>
      <c r="E246" s="199">
        <v>302.93435616438347</v>
      </c>
      <c r="F246" s="199">
        <v>33.284368767123382</v>
      </c>
      <c r="G246" s="199"/>
      <c r="H246" s="199"/>
      <c r="I246" s="199"/>
      <c r="J246" s="199">
        <v>4.771232876712328</v>
      </c>
      <c r="K246" s="199">
        <v>34.795890410958918</v>
      </c>
      <c r="L246" s="199">
        <v>34.795890410958918</v>
      </c>
      <c r="M246" s="199"/>
      <c r="N246" s="199"/>
      <c r="O246" s="199"/>
      <c r="P246" s="199"/>
      <c r="Q246" s="199"/>
      <c r="R246" s="199">
        <v>375.78584821917809</v>
      </c>
      <c r="S246" s="200">
        <v>1.1359393329054497</v>
      </c>
    </row>
    <row r="247" spans="1:19" x14ac:dyDescent="0.25">
      <c r="A247" s="201" t="s">
        <v>194</v>
      </c>
      <c r="B247" s="202">
        <v>330.81506849314741</v>
      </c>
      <c r="C247" s="202">
        <v>330.81506849314741</v>
      </c>
      <c r="D247" s="202"/>
      <c r="E247" s="202">
        <v>302.93435616439001</v>
      </c>
      <c r="F247" s="202">
        <v>33.284368767123546</v>
      </c>
      <c r="G247" s="202"/>
      <c r="H247" s="202"/>
      <c r="I247" s="202"/>
      <c r="J247" s="202">
        <v>4.7712328767123591</v>
      </c>
      <c r="K247" s="202">
        <v>34.79589041095889</v>
      </c>
      <c r="L247" s="202">
        <v>34.79589041095889</v>
      </c>
      <c r="M247" s="202"/>
      <c r="N247" s="202"/>
      <c r="O247" s="202"/>
      <c r="P247" s="202"/>
      <c r="Q247" s="202"/>
      <c r="R247" s="202">
        <v>375.7858482191848</v>
      </c>
      <c r="S247" s="203">
        <v>1.1359393329054748</v>
      </c>
    </row>
    <row r="248" spans="1:19" x14ac:dyDescent="0.25">
      <c r="A248" s="198" t="s">
        <v>116</v>
      </c>
      <c r="B248" s="199">
        <v>4838.999424657195</v>
      </c>
      <c r="C248" s="199">
        <v>4838.6769589037704</v>
      </c>
      <c r="D248" s="199">
        <v>0.32246575342465739</v>
      </c>
      <c r="E248" s="199">
        <v>4088.8897216438386</v>
      </c>
      <c r="F248" s="199">
        <v>474.27460998082501</v>
      </c>
      <c r="G248" s="199">
        <v>203.90696986301305</v>
      </c>
      <c r="H248" s="199">
        <v>25.205369863013644</v>
      </c>
      <c r="I248" s="199">
        <v>0.30634246575342411</v>
      </c>
      <c r="J248" s="199">
        <v>145.84185205479429</v>
      </c>
      <c r="K248" s="199">
        <v>233.51323287671272</v>
      </c>
      <c r="L248" s="199">
        <v>233.51323287671272</v>
      </c>
      <c r="M248" s="199"/>
      <c r="N248" s="199"/>
      <c r="O248" s="199"/>
      <c r="P248" s="199">
        <v>0.248960490410958</v>
      </c>
      <c r="Q248" s="199">
        <v>0.94088767123287687</v>
      </c>
      <c r="R248" s="199">
        <v>5173.1279469095944</v>
      </c>
      <c r="S248" s="200">
        <v>1.0690490931968015</v>
      </c>
    </row>
    <row r="249" spans="1:19" x14ac:dyDescent="0.25">
      <c r="A249" s="201" t="s">
        <v>193</v>
      </c>
      <c r="B249" s="202">
        <v>4838.9994246559863</v>
      </c>
      <c r="C249" s="202">
        <v>4838.6769589025616</v>
      </c>
      <c r="D249" s="202">
        <v>0.32246575342465739</v>
      </c>
      <c r="E249" s="202">
        <v>4088.8897216438395</v>
      </c>
      <c r="F249" s="202">
        <v>474.27460998082313</v>
      </c>
      <c r="G249" s="202">
        <v>203.9069698630116</v>
      </c>
      <c r="H249" s="202">
        <v>25.205369863013644</v>
      </c>
      <c r="I249" s="202">
        <v>0.30634246575342411</v>
      </c>
      <c r="J249" s="202">
        <v>145.84185205479119</v>
      </c>
      <c r="K249" s="202">
        <v>233.513232876713</v>
      </c>
      <c r="L249" s="202">
        <v>233.513232876713</v>
      </c>
      <c r="M249" s="202"/>
      <c r="N249" s="202"/>
      <c r="O249" s="202"/>
      <c r="P249" s="202">
        <v>0.248960490410958</v>
      </c>
      <c r="Q249" s="202">
        <v>0.94088767123287687</v>
      </c>
      <c r="R249" s="202">
        <v>5173.1279469095898</v>
      </c>
      <c r="S249" s="203">
        <v>1.0690490931970626</v>
      </c>
    </row>
    <row r="250" spans="1:19" x14ac:dyDescent="0.25">
      <c r="A250" s="198" t="s">
        <v>117</v>
      </c>
      <c r="B250" s="199">
        <v>264.20578082191889</v>
      </c>
      <c r="C250" s="199">
        <v>262.73712328767232</v>
      </c>
      <c r="D250" s="199">
        <v>1.4686575342465766</v>
      </c>
      <c r="E250" s="199">
        <v>210.03954794520666</v>
      </c>
      <c r="F250" s="199">
        <v>30.004918684931528</v>
      </c>
      <c r="G250" s="199"/>
      <c r="H250" s="199">
        <v>9.1471780821917879</v>
      </c>
      <c r="I250" s="199">
        <v>1.3952246575342442</v>
      </c>
      <c r="J250" s="199">
        <v>2.2040547945205446</v>
      </c>
      <c r="K250" s="199">
        <v>0.18356164383561643</v>
      </c>
      <c r="L250" s="199">
        <v>0.18356164383561643</v>
      </c>
      <c r="M250" s="199">
        <v>16.147216438356143</v>
      </c>
      <c r="N250" s="199">
        <v>16.147216438356143</v>
      </c>
      <c r="O250" s="199"/>
      <c r="P250" s="199"/>
      <c r="Q250" s="199"/>
      <c r="R250" s="199">
        <v>269.12170224657655</v>
      </c>
      <c r="S250" s="200">
        <v>1.0186064112956374</v>
      </c>
    </row>
    <row r="251" spans="1:19" x14ac:dyDescent="0.25">
      <c r="A251" s="201" t="s">
        <v>192</v>
      </c>
      <c r="B251" s="202">
        <v>264.20578082191423</v>
      </c>
      <c r="C251" s="202">
        <v>262.73712328766766</v>
      </c>
      <c r="D251" s="202">
        <v>1.4686575342465802</v>
      </c>
      <c r="E251" s="202">
        <v>210.03954794520706</v>
      </c>
      <c r="F251" s="202">
        <v>30.004918684931745</v>
      </c>
      <c r="G251" s="202"/>
      <c r="H251" s="202">
        <v>9.1471780821917879</v>
      </c>
      <c r="I251" s="202">
        <v>1.3952246575342413</v>
      </c>
      <c r="J251" s="202">
        <v>2.2040547945205442</v>
      </c>
      <c r="K251" s="202">
        <v>0.18356164383561643</v>
      </c>
      <c r="L251" s="202">
        <v>0.18356164383561643</v>
      </c>
      <c r="M251" s="202">
        <v>16.147216438356129</v>
      </c>
      <c r="N251" s="202">
        <v>16.147216438356129</v>
      </c>
      <c r="O251" s="202"/>
      <c r="P251" s="202"/>
      <c r="Q251" s="202"/>
      <c r="R251" s="202">
        <v>269.12170224657712</v>
      </c>
      <c r="S251" s="203">
        <v>1.0186064112956574</v>
      </c>
    </row>
    <row r="252" spans="1:19" x14ac:dyDescent="0.25">
      <c r="A252" s="198" t="s">
        <v>380</v>
      </c>
      <c r="B252" s="199">
        <v>102.80863013698652</v>
      </c>
      <c r="C252" s="199">
        <v>102.80863013698652</v>
      </c>
      <c r="D252" s="199"/>
      <c r="E252" s="199">
        <v>135.40389315068447</v>
      </c>
      <c r="F252" s="199">
        <v>7.345318356164384</v>
      </c>
      <c r="G252" s="199"/>
      <c r="H252" s="199"/>
      <c r="I252" s="199"/>
      <c r="J252" s="199">
        <v>0.49906849315068474</v>
      </c>
      <c r="K252" s="199">
        <v>0.91232876712328759</v>
      </c>
      <c r="L252" s="199">
        <v>0.91232876712328759</v>
      </c>
      <c r="M252" s="199"/>
      <c r="N252" s="199"/>
      <c r="O252" s="199"/>
      <c r="P252" s="199"/>
      <c r="Q252" s="199"/>
      <c r="R252" s="199">
        <v>144.1606087671228</v>
      </c>
      <c r="S252" s="200">
        <v>1.4022228345522851</v>
      </c>
    </row>
    <row r="253" spans="1:19" x14ac:dyDescent="0.25">
      <c r="A253" s="201" t="s">
        <v>379</v>
      </c>
      <c r="B253" s="202">
        <v>102.80863013698652</v>
      </c>
      <c r="C253" s="202">
        <v>102.80863013698652</v>
      </c>
      <c r="D253" s="202"/>
      <c r="E253" s="202">
        <v>135.40389315068455</v>
      </c>
      <c r="F253" s="202">
        <v>7.3453183561643876</v>
      </c>
      <c r="G253" s="202"/>
      <c r="H253" s="202"/>
      <c r="I253" s="202"/>
      <c r="J253" s="202">
        <v>0.49906849315068508</v>
      </c>
      <c r="K253" s="202">
        <v>0.91232876712328759</v>
      </c>
      <c r="L253" s="202">
        <v>0.91232876712328759</v>
      </c>
      <c r="M253" s="202"/>
      <c r="N253" s="202"/>
      <c r="O253" s="202"/>
      <c r="P253" s="202"/>
      <c r="Q253" s="202"/>
      <c r="R253" s="202">
        <v>144.16060876712291</v>
      </c>
      <c r="S253" s="203">
        <v>1.4022228345522869</v>
      </c>
    </row>
    <row r="254" spans="1:19" x14ac:dyDescent="0.25">
      <c r="A254" s="198" t="s">
        <v>131</v>
      </c>
      <c r="B254" s="199">
        <v>19.56164383561644</v>
      </c>
      <c r="C254" s="199">
        <v>19.56164383561644</v>
      </c>
      <c r="D254" s="199"/>
      <c r="E254" s="199"/>
      <c r="F254" s="199">
        <v>14.190016438356164</v>
      </c>
      <c r="G254" s="199"/>
      <c r="H254" s="199"/>
      <c r="I254" s="199"/>
      <c r="J254" s="199">
        <v>2.3671232876712328E-2</v>
      </c>
      <c r="K254" s="199"/>
      <c r="L254" s="199"/>
      <c r="M254" s="199"/>
      <c r="N254" s="199"/>
      <c r="O254" s="199"/>
      <c r="P254" s="199"/>
      <c r="Q254" s="199"/>
      <c r="R254" s="199">
        <v>14.213687671232876</v>
      </c>
      <c r="S254" s="200">
        <v>0.72661008403361338</v>
      </c>
    </row>
    <row r="255" spans="1:19" x14ac:dyDescent="0.25">
      <c r="A255" s="201" t="s">
        <v>251</v>
      </c>
      <c r="B255" s="202">
        <v>19.561643835616451</v>
      </c>
      <c r="C255" s="202">
        <v>19.561643835616451</v>
      </c>
      <c r="D255" s="202"/>
      <c r="E255" s="202"/>
      <c r="F255" s="202">
        <v>14.190016438356146</v>
      </c>
      <c r="G255" s="202"/>
      <c r="H255" s="202"/>
      <c r="I255" s="202"/>
      <c r="J255" s="202">
        <v>2.3671232876712328E-2</v>
      </c>
      <c r="K255" s="202"/>
      <c r="L255" s="202"/>
      <c r="M255" s="202"/>
      <c r="N255" s="202"/>
      <c r="O255" s="202"/>
      <c r="P255" s="202"/>
      <c r="Q255" s="202"/>
      <c r="R255" s="202">
        <v>14.213687671232858</v>
      </c>
      <c r="S255" s="203">
        <v>0.72661008403361205</v>
      </c>
    </row>
    <row r="256" spans="1:19" x14ac:dyDescent="0.25">
      <c r="A256" s="198" t="s">
        <v>440</v>
      </c>
      <c r="B256" s="199">
        <v>1224.7075342465987</v>
      </c>
      <c r="C256" s="199">
        <v>1224.7075342465987</v>
      </c>
      <c r="D256" s="199"/>
      <c r="E256" s="199">
        <v>983.31819999999118</v>
      </c>
      <c r="F256" s="199">
        <v>360.20964600000599</v>
      </c>
      <c r="G256" s="199"/>
      <c r="H256" s="199">
        <v>15.368356164383556</v>
      </c>
      <c r="I256" s="199"/>
      <c r="J256" s="199">
        <v>5.5562712328767239</v>
      </c>
      <c r="K256" s="199">
        <v>6.7218493150684937</v>
      </c>
      <c r="L256" s="199">
        <v>6.7218493150684937</v>
      </c>
      <c r="M256" s="199"/>
      <c r="N256" s="199"/>
      <c r="O256" s="199">
        <v>-9.5912355895890027</v>
      </c>
      <c r="P256" s="199">
        <v>3.983876926027393</v>
      </c>
      <c r="Q256" s="199"/>
      <c r="R256" s="199">
        <v>1365.5669640487645</v>
      </c>
      <c r="S256" s="200">
        <v>1.1150147491244367</v>
      </c>
    </row>
    <row r="257" spans="1:19" x14ac:dyDescent="0.25">
      <c r="A257" s="201" t="s">
        <v>191</v>
      </c>
      <c r="B257" s="202">
        <v>1224.7075342466096</v>
      </c>
      <c r="C257" s="202">
        <v>1224.7075342466096</v>
      </c>
      <c r="D257" s="202"/>
      <c r="E257" s="202">
        <v>983.31819999998856</v>
      </c>
      <c r="F257" s="202">
        <v>360.20964600000201</v>
      </c>
      <c r="G257" s="202"/>
      <c r="H257" s="202">
        <v>15.368356164383556</v>
      </c>
      <c r="I257" s="202"/>
      <c r="J257" s="202">
        <v>5.5562712328767425</v>
      </c>
      <c r="K257" s="202">
        <v>6.7218493150684964</v>
      </c>
      <c r="L257" s="202">
        <v>6.7218493150684964</v>
      </c>
      <c r="M257" s="202"/>
      <c r="N257" s="202"/>
      <c r="O257" s="202">
        <v>-9.5912355895890027</v>
      </c>
      <c r="P257" s="202">
        <v>3.9838769260274014</v>
      </c>
      <c r="Q257" s="202"/>
      <c r="R257" s="202">
        <v>1365.5669640487581</v>
      </c>
      <c r="S257" s="203">
        <v>1.11501474912441</v>
      </c>
    </row>
    <row r="258" spans="1:19" x14ac:dyDescent="0.25">
      <c r="A258" s="198" t="s">
        <v>119</v>
      </c>
      <c r="B258" s="199">
        <v>2540.2841917809169</v>
      </c>
      <c r="C258" s="199">
        <v>2540.2841917809169</v>
      </c>
      <c r="D258" s="199"/>
      <c r="E258" s="199">
        <v>2078.4767523287737</v>
      </c>
      <c r="F258" s="199">
        <v>264.29480178082417</v>
      </c>
      <c r="G258" s="199">
        <v>109.51720547945249</v>
      </c>
      <c r="H258" s="199">
        <v>8.808799999999998</v>
      </c>
      <c r="I258" s="199"/>
      <c r="J258" s="199">
        <v>60.469347945204731</v>
      </c>
      <c r="K258" s="199">
        <v>166.75227397260196</v>
      </c>
      <c r="L258" s="199">
        <v>166.75227397260196</v>
      </c>
      <c r="M258" s="199"/>
      <c r="N258" s="199"/>
      <c r="O258" s="199"/>
      <c r="P258" s="199">
        <v>1.1087888054794521</v>
      </c>
      <c r="Q258" s="199">
        <v>9.3415452054794521</v>
      </c>
      <c r="R258" s="199">
        <v>2698.7695155178167</v>
      </c>
      <c r="S258" s="200">
        <v>1.0623888162787785</v>
      </c>
    </row>
    <row r="259" spans="1:19" x14ac:dyDescent="0.25">
      <c r="A259" s="201" t="s">
        <v>190</v>
      </c>
      <c r="B259" s="202">
        <v>2540.2841917810902</v>
      </c>
      <c r="C259" s="202">
        <v>2540.2841917810902</v>
      </c>
      <c r="D259" s="202"/>
      <c r="E259" s="202">
        <v>2078.4767523286946</v>
      </c>
      <c r="F259" s="202">
        <v>264.2948017808252</v>
      </c>
      <c r="G259" s="202">
        <v>109.51720547945298</v>
      </c>
      <c r="H259" s="202">
        <v>8.808799999999998</v>
      </c>
      <c r="I259" s="202"/>
      <c r="J259" s="202">
        <v>60.46934794520412</v>
      </c>
      <c r="K259" s="202">
        <v>166.75227397260289</v>
      </c>
      <c r="L259" s="202">
        <v>166.75227397260289</v>
      </c>
      <c r="M259" s="202"/>
      <c r="N259" s="202"/>
      <c r="O259" s="202"/>
      <c r="P259" s="202">
        <v>1.108788805479453</v>
      </c>
      <c r="Q259" s="202">
        <v>9.3415452054794521</v>
      </c>
      <c r="R259" s="202">
        <v>2698.7695155177385</v>
      </c>
      <c r="S259" s="203">
        <v>1.0623888162786732</v>
      </c>
    </row>
    <row r="260" spans="1:19" x14ac:dyDescent="0.25">
      <c r="A260" s="198" t="s">
        <v>120</v>
      </c>
      <c r="B260" s="199">
        <v>1022.8780821917917</v>
      </c>
      <c r="C260" s="199">
        <v>1022.4249315068602</v>
      </c>
      <c r="D260" s="199">
        <v>0.45315068493150679</v>
      </c>
      <c r="E260" s="199">
        <v>863.00773424657154</v>
      </c>
      <c r="F260" s="199">
        <v>75.758452273972708</v>
      </c>
      <c r="G260" s="199">
        <v>46.326575342465752</v>
      </c>
      <c r="H260" s="199"/>
      <c r="I260" s="199">
        <v>0.43049315068493132</v>
      </c>
      <c r="J260" s="199">
        <v>33.419736986301466</v>
      </c>
      <c r="K260" s="199">
        <v>95.531671232876377</v>
      </c>
      <c r="L260" s="199">
        <v>95.531671232876377</v>
      </c>
      <c r="M260" s="199"/>
      <c r="N260" s="199"/>
      <c r="O260" s="199"/>
      <c r="P260" s="199">
        <v>0.44830637260273964</v>
      </c>
      <c r="Q260" s="199"/>
      <c r="R260" s="199">
        <v>1114.9229696054751</v>
      </c>
      <c r="S260" s="200">
        <v>1.0899861762767</v>
      </c>
    </row>
    <row r="261" spans="1:19" x14ac:dyDescent="0.25">
      <c r="A261" s="201" t="s">
        <v>189</v>
      </c>
      <c r="B261" s="202">
        <v>1022.8780821918183</v>
      </c>
      <c r="C261" s="202">
        <v>1022.4249315068868</v>
      </c>
      <c r="D261" s="202">
        <v>0.45315068493150673</v>
      </c>
      <c r="E261" s="202">
        <v>863.00773424656381</v>
      </c>
      <c r="F261" s="202">
        <v>75.75845227397339</v>
      </c>
      <c r="G261" s="202">
        <v>46.326575342465752</v>
      </c>
      <c r="H261" s="202"/>
      <c r="I261" s="202">
        <v>0.43049315068493121</v>
      </c>
      <c r="J261" s="202">
        <v>33.419736986301345</v>
      </c>
      <c r="K261" s="202">
        <v>95.531671232875354</v>
      </c>
      <c r="L261" s="202">
        <v>95.531671232875354</v>
      </c>
      <c r="M261" s="202"/>
      <c r="N261" s="202"/>
      <c r="O261" s="202"/>
      <c r="P261" s="202">
        <v>0.44830637260273876</v>
      </c>
      <c r="Q261" s="202"/>
      <c r="R261" s="202">
        <v>1114.9229696054672</v>
      </c>
      <c r="S261" s="203">
        <v>1.0899861762766638</v>
      </c>
    </row>
    <row r="262" spans="1:19" x14ac:dyDescent="0.25">
      <c r="A262" s="198" t="s">
        <v>121</v>
      </c>
      <c r="B262" s="199">
        <v>12.150684931506849</v>
      </c>
      <c r="C262" s="199">
        <v>12.150684931506849</v>
      </c>
      <c r="D262" s="199"/>
      <c r="E262" s="199"/>
      <c r="F262" s="199">
        <v>8.8141068493150705</v>
      </c>
      <c r="G262" s="199"/>
      <c r="H262" s="199"/>
      <c r="I262" s="199"/>
      <c r="J262" s="199">
        <v>8.0547945205479456E-3</v>
      </c>
      <c r="K262" s="199"/>
      <c r="L262" s="199"/>
      <c r="M262" s="199"/>
      <c r="N262" s="199"/>
      <c r="O262" s="199"/>
      <c r="P262" s="199"/>
      <c r="Q262" s="199"/>
      <c r="R262" s="199">
        <v>8.822161643835619</v>
      </c>
      <c r="S262" s="200">
        <v>0.72606290868094725</v>
      </c>
    </row>
    <row r="263" spans="1:19" x14ac:dyDescent="0.25">
      <c r="A263" s="201" t="s">
        <v>188</v>
      </c>
      <c r="B263" s="202">
        <v>12.150684931506868</v>
      </c>
      <c r="C263" s="202">
        <v>12.150684931506868</v>
      </c>
      <c r="D263" s="202"/>
      <c r="E263" s="202"/>
      <c r="F263" s="202">
        <v>8.8141068493150687</v>
      </c>
      <c r="G263" s="202"/>
      <c r="H263" s="202"/>
      <c r="I263" s="202"/>
      <c r="J263" s="202">
        <v>8.0547945205479456E-3</v>
      </c>
      <c r="K263" s="202"/>
      <c r="L263" s="202"/>
      <c r="M263" s="202"/>
      <c r="N263" s="202"/>
      <c r="O263" s="202"/>
      <c r="P263" s="202"/>
      <c r="Q263" s="202"/>
      <c r="R263" s="202">
        <v>8.8221616438356172</v>
      </c>
      <c r="S263" s="203">
        <v>0.72606290868094592</v>
      </c>
    </row>
    <row r="264" spans="1:19" x14ac:dyDescent="0.25">
      <c r="A264" s="198" t="s">
        <v>122</v>
      </c>
      <c r="B264" s="199">
        <v>3732.2416438356645</v>
      </c>
      <c r="C264" s="199">
        <v>3732.2416438356645</v>
      </c>
      <c r="D264" s="199"/>
      <c r="E264" s="199">
        <v>3035.0835726026921</v>
      </c>
      <c r="F264" s="199">
        <v>493.5031495890438</v>
      </c>
      <c r="G264" s="199">
        <v>164.23994520547978</v>
      </c>
      <c r="H264" s="199">
        <v>94.437863013699442</v>
      </c>
      <c r="I264" s="199"/>
      <c r="J264" s="199">
        <v>85.517753424657741</v>
      </c>
      <c r="K264" s="199">
        <v>210.52624657534292</v>
      </c>
      <c r="L264" s="199">
        <v>210.52624657534292</v>
      </c>
      <c r="M264" s="199"/>
      <c r="N264" s="199"/>
      <c r="O264" s="199">
        <v>-55.612905676712309</v>
      </c>
      <c r="P264" s="199">
        <v>0.46550958904109563</v>
      </c>
      <c r="Q264" s="199"/>
      <c r="R264" s="199">
        <v>4028.1611343232448</v>
      </c>
      <c r="S264" s="200">
        <v>1.0792873341886495</v>
      </c>
    </row>
    <row r="265" spans="1:19" x14ac:dyDescent="0.25">
      <c r="A265" s="201" t="s">
        <v>184</v>
      </c>
      <c r="B265" s="202">
        <v>3732.2416438354876</v>
      </c>
      <c r="C265" s="202">
        <v>3732.2416438354876</v>
      </c>
      <c r="D265" s="202"/>
      <c r="E265" s="202">
        <v>3035.083572602497</v>
      </c>
      <c r="F265" s="202">
        <v>493.5031495890417</v>
      </c>
      <c r="G265" s="202">
        <v>164.23994520547936</v>
      </c>
      <c r="H265" s="202">
        <v>94.437863013699442</v>
      </c>
      <c r="I265" s="202"/>
      <c r="J265" s="202">
        <v>85.517753424655865</v>
      </c>
      <c r="K265" s="202">
        <v>210.52624657534304</v>
      </c>
      <c r="L265" s="202">
        <v>210.52624657534304</v>
      </c>
      <c r="M265" s="202"/>
      <c r="N265" s="202"/>
      <c r="O265" s="202">
        <v>-55.612905676712309</v>
      </c>
      <c r="P265" s="202">
        <v>0.46550958904109518</v>
      </c>
      <c r="Q265" s="202"/>
      <c r="R265" s="202">
        <v>4028.1611343230452</v>
      </c>
      <c r="S265" s="203">
        <v>1.0792873341886438</v>
      </c>
    </row>
    <row r="266" spans="1:19" x14ac:dyDescent="0.25">
      <c r="A266" s="198" t="s">
        <v>123</v>
      </c>
      <c r="B266" s="199">
        <v>196.87561643835483</v>
      </c>
      <c r="C266" s="199">
        <v>196.87561643835483</v>
      </c>
      <c r="D266" s="199"/>
      <c r="E266" s="199">
        <v>175.97279999999995</v>
      </c>
      <c r="F266" s="199">
        <v>53.646609205479564</v>
      </c>
      <c r="G266" s="199"/>
      <c r="H266" s="199">
        <v>3.6833424657534253</v>
      </c>
      <c r="I266" s="199"/>
      <c r="J266" s="199">
        <v>3.3889315068493122</v>
      </c>
      <c r="K266" s="199">
        <v>4.7235616438356205</v>
      </c>
      <c r="L266" s="199">
        <v>4.7235616438356205</v>
      </c>
      <c r="M266" s="199">
        <v>36.308136986301406</v>
      </c>
      <c r="N266" s="199">
        <v>36.308136986301406</v>
      </c>
      <c r="O266" s="199"/>
      <c r="P266" s="199"/>
      <c r="Q266" s="199"/>
      <c r="R266" s="199">
        <v>277.7233818082193</v>
      </c>
      <c r="S266" s="200">
        <v>1.4106540303592106</v>
      </c>
    </row>
    <row r="267" spans="1:19" x14ac:dyDescent="0.25">
      <c r="A267" s="201" t="s">
        <v>183</v>
      </c>
      <c r="B267" s="202">
        <v>196.87561643835284</v>
      </c>
      <c r="C267" s="202">
        <v>196.87561643835284</v>
      </c>
      <c r="D267" s="202"/>
      <c r="E267" s="202">
        <v>175.97279999999975</v>
      </c>
      <c r="F267" s="202">
        <v>53.646609205480111</v>
      </c>
      <c r="G267" s="202"/>
      <c r="H267" s="202">
        <v>3.6833424657534253</v>
      </c>
      <c r="I267" s="202"/>
      <c r="J267" s="202">
        <v>3.3889315068493135</v>
      </c>
      <c r="K267" s="202">
        <v>4.7235616438356214</v>
      </c>
      <c r="L267" s="202">
        <v>4.7235616438356214</v>
      </c>
      <c r="M267" s="202">
        <v>36.30813698630152</v>
      </c>
      <c r="N267" s="202">
        <v>36.30813698630152</v>
      </c>
      <c r="O267" s="202"/>
      <c r="P267" s="202"/>
      <c r="Q267" s="202"/>
      <c r="R267" s="202">
        <v>277.72338180821976</v>
      </c>
      <c r="S267" s="203">
        <v>1.4106540303592272</v>
      </c>
    </row>
    <row r="268" spans="1:19" x14ac:dyDescent="0.25">
      <c r="A268" s="198" t="s">
        <v>124</v>
      </c>
      <c r="B268" s="199">
        <v>1622.5258082191829</v>
      </c>
      <c r="C268" s="199">
        <v>1575.5340273972649</v>
      </c>
      <c r="D268" s="199">
        <v>46.99178082191785</v>
      </c>
      <c r="E268" s="199">
        <v>1301.5234904109443</v>
      </c>
      <c r="F268" s="199">
        <v>425.48006429589606</v>
      </c>
      <c r="G268" s="199">
        <v>19.673183561643825</v>
      </c>
      <c r="H268" s="199">
        <v>5.658339726027398</v>
      </c>
      <c r="I268" s="199">
        <v>44.642191780821982</v>
      </c>
      <c r="J268" s="199">
        <v>39.768624657534204</v>
      </c>
      <c r="K268" s="199">
        <v>127.12021369862883</v>
      </c>
      <c r="L268" s="199">
        <v>127.12021369862883</v>
      </c>
      <c r="M268" s="199">
        <v>65.412789041096588</v>
      </c>
      <c r="N268" s="199">
        <v>65.412789041096588</v>
      </c>
      <c r="O268" s="199"/>
      <c r="P268" s="199">
        <v>0.65554757260273999</v>
      </c>
      <c r="Q268" s="199">
        <v>0.88372602739726014</v>
      </c>
      <c r="R268" s="199">
        <v>2030.818170772593</v>
      </c>
      <c r="S268" s="200">
        <v>1.2516399803843745</v>
      </c>
    </row>
    <row r="269" spans="1:19" x14ac:dyDescent="0.25">
      <c r="A269" s="201" t="s">
        <v>178</v>
      </c>
      <c r="B269" s="202">
        <v>1622.5258082191469</v>
      </c>
      <c r="C269" s="202">
        <v>1575.534027397229</v>
      </c>
      <c r="D269" s="202">
        <v>46.991780821917899</v>
      </c>
      <c r="E269" s="202">
        <v>1301.5234904109479</v>
      </c>
      <c r="F269" s="202">
        <v>425.48006429589117</v>
      </c>
      <c r="G269" s="202">
        <v>19.673183561643825</v>
      </c>
      <c r="H269" s="202">
        <v>5.658339726027398</v>
      </c>
      <c r="I269" s="202">
        <v>44.642191780822408</v>
      </c>
      <c r="J269" s="202">
        <v>39.768624657533813</v>
      </c>
      <c r="K269" s="202">
        <v>127.1202136986262</v>
      </c>
      <c r="L269" s="202">
        <v>127.1202136986262</v>
      </c>
      <c r="M269" s="202">
        <v>65.412789041096573</v>
      </c>
      <c r="N269" s="202">
        <v>65.412789041096573</v>
      </c>
      <c r="O269" s="202"/>
      <c r="P269" s="202">
        <v>0.65554757260273921</v>
      </c>
      <c r="Q269" s="202">
        <v>0.88372602739726014</v>
      </c>
      <c r="R269" s="202">
        <v>2030.8181707725894</v>
      </c>
      <c r="S269" s="203">
        <v>1.2516399803843961</v>
      </c>
    </row>
    <row r="270" spans="1:19" x14ac:dyDescent="0.25">
      <c r="A270" s="198" t="s">
        <v>125</v>
      </c>
      <c r="B270" s="199">
        <v>1670.4346575342333</v>
      </c>
      <c r="C270" s="199">
        <v>1669.7716438356033</v>
      </c>
      <c r="D270" s="199">
        <v>0.66301369863013693</v>
      </c>
      <c r="E270" s="199">
        <v>1515.6781109588908</v>
      </c>
      <c r="F270" s="199">
        <v>219.34965476712193</v>
      </c>
      <c r="G270" s="199">
        <v>30.563726027397252</v>
      </c>
      <c r="H270" s="199">
        <v>0.16665753424657537</v>
      </c>
      <c r="I270" s="199">
        <v>0.62986301369863007</v>
      </c>
      <c r="J270" s="199">
        <v>47.36179726027364</v>
      </c>
      <c r="K270" s="199">
        <v>62.153150684931589</v>
      </c>
      <c r="L270" s="199">
        <v>62.153150684931589</v>
      </c>
      <c r="M270" s="199">
        <v>67.656356164383155</v>
      </c>
      <c r="N270" s="199">
        <v>67.656356164383155</v>
      </c>
      <c r="O270" s="199"/>
      <c r="P270" s="199">
        <v>1.3602614301369855</v>
      </c>
      <c r="Q270" s="199"/>
      <c r="R270" s="199">
        <v>1944.9195778410801</v>
      </c>
      <c r="S270" s="200">
        <v>1.1643194596501132</v>
      </c>
    </row>
    <row r="271" spans="1:19" x14ac:dyDescent="0.25">
      <c r="A271" s="201" t="s">
        <v>176</v>
      </c>
      <c r="B271" s="202">
        <v>1670.4346575341499</v>
      </c>
      <c r="C271" s="202">
        <v>1669.7716438355199</v>
      </c>
      <c r="D271" s="202">
        <v>0.66301369863013537</v>
      </c>
      <c r="E271" s="202">
        <v>1515.6781109588962</v>
      </c>
      <c r="F271" s="202">
        <v>219.34965476712193</v>
      </c>
      <c r="G271" s="202">
        <v>30.563726027397244</v>
      </c>
      <c r="H271" s="202">
        <v>0.16665753424657537</v>
      </c>
      <c r="I271" s="202">
        <v>0.62986301369862918</v>
      </c>
      <c r="J271" s="202">
        <v>47.361797260273093</v>
      </c>
      <c r="K271" s="202">
        <v>62.153150684931461</v>
      </c>
      <c r="L271" s="202">
        <v>62.153150684931461</v>
      </c>
      <c r="M271" s="202">
        <v>67.656356164383482</v>
      </c>
      <c r="N271" s="202">
        <v>67.656356164383482</v>
      </c>
      <c r="O271" s="202"/>
      <c r="P271" s="202">
        <v>1.3602614301369877</v>
      </c>
      <c r="Q271" s="202"/>
      <c r="R271" s="202">
        <v>1944.9195778410854</v>
      </c>
      <c r="S271" s="203">
        <v>1.1643194596501742</v>
      </c>
    </row>
    <row r="272" spans="1:19" x14ac:dyDescent="0.25">
      <c r="A272" s="204" t="s">
        <v>13</v>
      </c>
      <c r="B272" s="205">
        <v>183326.6620273978</v>
      </c>
      <c r="C272" s="205">
        <v>181630.15071232931</v>
      </c>
      <c r="D272" s="205">
        <v>1696.5113150684874</v>
      </c>
      <c r="E272" s="205">
        <v>144338.34881397276</v>
      </c>
      <c r="F272" s="205">
        <v>27586.59093229326</v>
      </c>
      <c r="G272" s="205">
        <v>8451.812093698587</v>
      </c>
      <c r="H272" s="205">
        <v>1593.3839945205516</v>
      </c>
      <c r="I272" s="205">
        <v>1611.6857493150735</v>
      </c>
      <c r="J272" s="205">
        <v>4257.947427945207</v>
      </c>
      <c r="K272" s="205">
        <v>29285.096450958867</v>
      </c>
      <c r="L272" s="205">
        <v>29267.155337008859</v>
      </c>
      <c r="M272" s="205">
        <v>4735.0850038356084</v>
      </c>
      <c r="N272" s="205">
        <v>4708.218867425061</v>
      </c>
      <c r="O272" s="205">
        <v>-295.62296927397193</v>
      </c>
      <c r="P272" s="205">
        <v>130.21461558493147</v>
      </c>
      <c r="Q272" s="205">
        <v>178.76550136986359</v>
      </c>
      <c r="R272" s="205">
        <v>221828.50036386019</v>
      </c>
      <c r="S272" s="206">
        <v>1.2100176696104801</v>
      </c>
    </row>
    <row r="273" spans="1:5" x14ac:dyDescent="0.25">
      <c r="E273" s="115"/>
    </row>
    <row r="275" spans="1:5" x14ac:dyDescent="0.25">
      <c r="A275" s="137" t="s">
        <v>475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5">
    <tabColor theme="9" tint="0.59999389629810485"/>
  </sheetPr>
  <dimension ref="A1:P26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9.5703125" defaultRowHeight="15" x14ac:dyDescent="0.25"/>
  <cols>
    <col min="1" max="1" width="46.5703125" style="137" customWidth="1"/>
    <col min="2" max="3" width="18.85546875" style="137" customWidth="1"/>
    <col min="4" max="16" width="19" style="137" customWidth="1"/>
    <col min="17" max="16384" width="19.5703125" style="137"/>
  </cols>
  <sheetData>
    <row r="1" spans="1:16" ht="84" x14ac:dyDescent="0.25">
      <c r="A1" s="197" t="s">
        <v>12</v>
      </c>
      <c r="B1" s="197" t="s">
        <v>1</v>
      </c>
      <c r="C1" s="197" t="s">
        <v>2</v>
      </c>
      <c r="D1" s="197" t="s">
        <v>3</v>
      </c>
      <c r="E1" s="197" t="s">
        <v>4</v>
      </c>
      <c r="F1" s="197" t="s">
        <v>5</v>
      </c>
      <c r="G1" s="197" t="s">
        <v>6</v>
      </c>
      <c r="H1" s="197" t="s">
        <v>7</v>
      </c>
      <c r="I1" s="197" t="s">
        <v>8</v>
      </c>
      <c r="J1" s="197" t="s">
        <v>9</v>
      </c>
      <c r="K1" s="197" t="s">
        <v>10</v>
      </c>
      <c r="L1" s="197" t="s">
        <v>354</v>
      </c>
      <c r="M1" s="197" t="s">
        <v>355</v>
      </c>
      <c r="N1" s="197" t="s">
        <v>472</v>
      </c>
      <c r="O1" s="197" t="s">
        <v>11</v>
      </c>
      <c r="P1" s="197" t="s">
        <v>376</v>
      </c>
    </row>
    <row r="2" spans="1:16" x14ac:dyDescent="0.25">
      <c r="A2" s="198" t="s">
        <v>378</v>
      </c>
      <c r="B2" s="207">
        <v>471</v>
      </c>
      <c r="C2" s="207">
        <v>1489</v>
      </c>
      <c r="D2" s="207">
        <v>5797</v>
      </c>
      <c r="E2" s="207">
        <v>7111</v>
      </c>
      <c r="F2" s="199">
        <v>19924.024428000073</v>
      </c>
      <c r="G2" s="199">
        <v>24354.02754099929</v>
      </c>
      <c r="H2" s="199">
        <v>36</v>
      </c>
      <c r="I2" s="199">
        <v>118827.7199999998</v>
      </c>
      <c r="J2" s="199">
        <v>145990.22750000039</v>
      </c>
      <c r="K2" s="199">
        <v>528.5</v>
      </c>
      <c r="L2" s="199">
        <v>44314.051968999367</v>
      </c>
      <c r="M2" s="199">
        <v>265346.44750000018</v>
      </c>
      <c r="N2" s="199">
        <v>265346.44750000018</v>
      </c>
      <c r="O2" s="199">
        <v>309660.49946899957</v>
      </c>
      <c r="P2" s="208">
        <v>2.0214429095474083E-2</v>
      </c>
    </row>
    <row r="3" spans="1:16" x14ac:dyDescent="0.25">
      <c r="A3" s="201" t="s">
        <v>377</v>
      </c>
      <c r="B3" s="209">
        <v>471</v>
      </c>
      <c r="C3" s="209">
        <v>1489</v>
      </c>
      <c r="D3" s="209">
        <v>5797</v>
      </c>
      <c r="E3" s="209">
        <v>7111</v>
      </c>
      <c r="F3" s="202">
        <v>19924.024428000073</v>
      </c>
      <c r="G3" s="202">
        <v>24354.02754099929</v>
      </c>
      <c r="H3" s="202">
        <v>36</v>
      </c>
      <c r="I3" s="202">
        <v>118827.71999999972</v>
      </c>
      <c r="J3" s="202">
        <v>145990.227499998</v>
      </c>
      <c r="K3" s="202">
        <v>528.5</v>
      </c>
      <c r="L3" s="202">
        <v>44314.051968999367</v>
      </c>
      <c r="M3" s="202">
        <v>265346.44749999774</v>
      </c>
      <c r="N3" s="202">
        <v>265346.44749999774</v>
      </c>
      <c r="O3" s="202">
        <v>309660.49946899712</v>
      </c>
      <c r="P3" s="210">
        <v>2.0214429095473923E-2</v>
      </c>
    </row>
    <row r="4" spans="1:16" x14ac:dyDescent="0.25">
      <c r="A4" s="198" t="s">
        <v>15</v>
      </c>
      <c r="B4" s="207">
        <v>124</v>
      </c>
      <c r="C4" s="207">
        <v>56</v>
      </c>
      <c r="D4" s="207">
        <v>1236</v>
      </c>
      <c r="E4" s="207">
        <v>230</v>
      </c>
      <c r="F4" s="199">
        <v>5484.2398379999995</v>
      </c>
      <c r="G4" s="199">
        <v>827.89199999999926</v>
      </c>
      <c r="H4" s="199">
        <v>324</v>
      </c>
      <c r="I4" s="199">
        <v>24367.730000000054</v>
      </c>
      <c r="J4" s="199">
        <v>5223.5950000000003</v>
      </c>
      <c r="K4" s="199">
        <v>1811</v>
      </c>
      <c r="L4" s="199">
        <v>6636.1318379999984</v>
      </c>
      <c r="M4" s="199">
        <v>31402.325000000055</v>
      </c>
      <c r="N4" s="199">
        <v>31402.325000000055</v>
      </c>
      <c r="O4" s="199">
        <v>38038.456838000056</v>
      </c>
      <c r="P4" s="208">
        <v>2.4831248737618903E-3</v>
      </c>
    </row>
    <row r="5" spans="1:16" x14ac:dyDescent="0.25">
      <c r="A5" s="201" t="s">
        <v>320</v>
      </c>
      <c r="B5" s="209">
        <v>124</v>
      </c>
      <c r="C5" s="209">
        <v>56</v>
      </c>
      <c r="D5" s="209">
        <v>1236</v>
      </c>
      <c r="E5" s="209">
        <v>230</v>
      </c>
      <c r="F5" s="202">
        <v>5484.2398379999995</v>
      </c>
      <c r="G5" s="202">
        <v>827.89199999999926</v>
      </c>
      <c r="H5" s="202">
        <v>324</v>
      </c>
      <c r="I5" s="202">
        <v>24367.730000000083</v>
      </c>
      <c r="J5" s="202">
        <v>5223.5950000000012</v>
      </c>
      <c r="K5" s="202">
        <v>1811</v>
      </c>
      <c r="L5" s="202">
        <v>6636.1318379999984</v>
      </c>
      <c r="M5" s="202">
        <v>31402.325000000084</v>
      </c>
      <c r="N5" s="202">
        <v>31402.325000000084</v>
      </c>
      <c r="O5" s="202">
        <v>38038.456838000086</v>
      </c>
      <c r="P5" s="210">
        <v>2.483124873761892E-3</v>
      </c>
    </row>
    <row r="6" spans="1:16" x14ac:dyDescent="0.25">
      <c r="A6" s="198" t="s">
        <v>16</v>
      </c>
      <c r="B6" s="207">
        <v>15</v>
      </c>
      <c r="C6" s="207"/>
      <c r="D6" s="207">
        <v>178</v>
      </c>
      <c r="E6" s="207"/>
      <c r="F6" s="199">
        <v>1069.2</v>
      </c>
      <c r="G6" s="199"/>
      <c r="H6" s="199">
        <v>2419.2000000000003</v>
      </c>
      <c r="I6" s="199">
        <v>2371.5600000000022</v>
      </c>
      <c r="J6" s="199"/>
      <c r="K6" s="199">
        <v>6139.3500000000013</v>
      </c>
      <c r="L6" s="199">
        <v>3488.4000000000005</v>
      </c>
      <c r="M6" s="199">
        <v>8510.9100000000035</v>
      </c>
      <c r="N6" s="199">
        <v>8510.9100000000035</v>
      </c>
      <c r="O6" s="199">
        <v>11999.310000000005</v>
      </c>
      <c r="P6" s="208">
        <v>7.8330688481595011E-4</v>
      </c>
    </row>
    <row r="7" spans="1:16" x14ac:dyDescent="0.25">
      <c r="A7" s="201" t="s">
        <v>319</v>
      </c>
      <c r="B7" s="209">
        <v>15</v>
      </c>
      <c r="C7" s="209"/>
      <c r="D7" s="209">
        <v>178</v>
      </c>
      <c r="E7" s="209"/>
      <c r="F7" s="202">
        <v>1069.2</v>
      </c>
      <c r="G7" s="202"/>
      <c r="H7" s="202">
        <v>2419.2000000000003</v>
      </c>
      <c r="I7" s="202">
        <v>2371.5600000000022</v>
      </c>
      <c r="J7" s="202"/>
      <c r="K7" s="202">
        <v>6139.3499999999985</v>
      </c>
      <c r="L7" s="202">
        <v>3488.4000000000005</v>
      </c>
      <c r="M7" s="202">
        <v>8510.91</v>
      </c>
      <c r="N7" s="202">
        <v>8510.91</v>
      </c>
      <c r="O7" s="202">
        <v>11999.310000000001</v>
      </c>
      <c r="P7" s="210">
        <v>7.8330688481594989E-4</v>
      </c>
    </row>
    <row r="8" spans="1:16" x14ac:dyDescent="0.25">
      <c r="A8" s="198" t="s">
        <v>489</v>
      </c>
      <c r="B8" s="207">
        <v>309</v>
      </c>
      <c r="C8" s="207">
        <v>40</v>
      </c>
      <c r="D8" s="207">
        <v>3412</v>
      </c>
      <c r="E8" s="207">
        <v>136</v>
      </c>
      <c r="F8" s="199">
        <v>21722.041782000008</v>
      </c>
      <c r="G8" s="199">
        <v>501.92999999999989</v>
      </c>
      <c r="H8" s="199">
        <v>75186.00000000016</v>
      </c>
      <c r="I8" s="199">
        <v>58287.950000000681</v>
      </c>
      <c r="J8" s="199">
        <v>2856.945000000002</v>
      </c>
      <c r="K8" s="199">
        <v>204146.74000000008</v>
      </c>
      <c r="L8" s="199">
        <v>97409.971782000168</v>
      </c>
      <c r="M8" s="199">
        <v>265291.63500000077</v>
      </c>
      <c r="N8" s="199">
        <v>265291.63500000077</v>
      </c>
      <c r="O8" s="199">
        <v>362701.60678200092</v>
      </c>
      <c r="P8" s="208">
        <v>2.3676916899900802E-2</v>
      </c>
    </row>
    <row r="9" spans="1:16" x14ac:dyDescent="0.25">
      <c r="A9" s="201" t="s">
        <v>488</v>
      </c>
      <c r="B9" s="209">
        <v>309</v>
      </c>
      <c r="C9" s="209">
        <v>40</v>
      </c>
      <c r="D9" s="209">
        <v>3412</v>
      </c>
      <c r="E9" s="209">
        <v>136</v>
      </c>
      <c r="F9" s="202">
        <v>21722.041782000008</v>
      </c>
      <c r="G9" s="202">
        <v>501.92999999999989</v>
      </c>
      <c r="H9" s="202">
        <v>75186.00000000016</v>
      </c>
      <c r="I9" s="202">
        <v>58287.950000000681</v>
      </c>
      <c r="J9" s="202">
        <v>2856.9450000000043</v>
      </c>
      <c r="K9" s="202">
        <v>204146.74000000636</v>
      </c>
      <c r="L9" s="202">
        <v>97409.971782000168</v>
      </c>
      <c r="M9" s="202">
        <v>265291.63500000705</v>
      </c>
      <c r="N9" s="202">
        <v>265291.63500000705</v>
      </c>
      <c r="O9" s="202">
        <v>362701.60678200721</v>
      </c>
      <c r="P9" s="210">
        <v>2.3676916899901212E-2</v>
      </c>
    </row>
    <row r="10" spans="1:16" x14ac:dyDescent="0.25">
      <c r="A10" s="198" t="s">
        <v>17</v>
      </c>
      <c r="B10" s="207">
        <v>222</v>
      </c>
      <c r="C10" s="207"/>
      <c r="D10" s="207">
        <v>2381</v>
      </c>
      <c r="E10" s="207"/>
      <c r="F10" s="199">
        <v>14348.877137999985</v>
      </c>
      <c r="G10" s="199"/>
      <c r="H10" s="199">
        <v>57963.600000000071</v>
      </c>
      <c r="I10" s="199">
        <v>40145.390000000472</v>
      </c>
      <c r="J10" s="199"/>
      <c r="K10" s="199">
        <v>157765.85999999937</v>
      </c>
      <c r="L10" s="199">
        <v>72312.47713800006</v>
      </c>
      <c r="M10" s="199">
        <v>197911.24999999985</v>
      </c>
      <c r="N10" s="199">
        <v>197911.24999999985</v>
      </c>
      <c r="O10" s="199">
        <v>270223.7271379999</v>
      </c>
      <c r="P10" s="208">
        <v>1.7640023126981628E-2</v>
      </c>
    </row>
    <row r="11" spans="1:16" x14ac:dyDescent="0.25">
      <c r="A11" s="201" t="s">
        <v>318</v>
      </c>
      <c r="B11" s="209">
        <v>222</v>
      </c>
      <c r="C11" s="209"/>
      <c r="D11" s="209">
        <v>2381</v>
      </c>
      <c r="E11" s="209"/>
      <c r="F11" s="202">
        <v>14348.877137999985</v>
      </c>
      <c r="G11" s="202"/>
      <c r="H11" s="202">
        <v>57963.600000000071</v>
      </c>
      <c r="I11" s="202">
        <v>40145.390000000472</v>
      </c>
      <c r="J11" s="202"/>
      <c r="K11" s="202">
        <v>157765.86000000284</v>
      </c>
      <c r="L11" s="202">
        <v>72312.47713800006</v>
      </c>
      <c r="M11" s="202">
        <v>197911.25000000332</v>
      </c>
      <c r="N11" s="202">
        <v>197911.25000000332</v>
      </c>
      <c r="O11" s="202">
        <v>270223.72713800339</v>
      </c>
      <c r="P11" s="210">
        <v>1.7640023126981857E-2</v>
      </c>
    </row>
    <row r="12" spans="1:16" x14ac:dyDescent="0.25">
      <c r="A12" s="198" t="s">
        <v>494</v>
      </c>
      <c r="B12" s="207"/>
      <c r="C12" s="207">
        <v>142</v>
      </c>
      <c r="D12" s="207"/>
      <c r="E12" s="207">
        <v>446</v>
      </c>
      <c r="F12" s="199"/>
      <c r="G12" s="199">
        <v>1816.0730729999973</v>
      </c>
      <c r="H12" s="199"/>
      <c r="I12" s="199"/>
      <c r="J12" s="199">
        <v>12294.74999999998</v>
      </c>
      <c r="K12" s="199"/>
      <c r="L12" s="199">
        <v>1816.0730729999973</v>
      </c>
      <c r="M12" s="199">
        <v>12294.74999999998</v>
      </c>
      <c r="N12" s="199">
        <v>4867.1964509999889</v>
      </c>
      <c r="O12" s="199">
        <v>6683.2695239999866</v>
      </c>
      <c r="P12" s="208">
        <v>4.3627933866445697E-4</v>
      </c>
    </row>
    <row r="13" spans="1:16" x14ac:dyDescent="0.25">
      <c r="A13" s="201" t="s">
        <v>316</v>
      </c>
      <c r="B13" s="209"/>
      <c r="C13" s="209">
        <v>142</v>
      </c>
      <c r="D13" s="209"/>
      <c r="E13" s="209">
        <v>446</v>
      </c>
      <c r="F13" s="202"/>
      <c r="G13" s="202">
        <v>1816.0730729999973</v>
      </c>
      <c r="H13" s="202"/>
      <c r="I13" s="202"/>
      <c r="J13" s="202">
        <v>12294.74999999998</v>
      </c>
      <c r="K13" s="202"/>
      <c r="L13" s="202">
        <v>1816.0730729999973</v>
      </c>
      <c r="M13" s="202">
        <v>12294.74999999998</v>
      </c>
      <c r="N13" s="202">
        <v>4867.1964509999889</v>
      </c>
      <c r="O13" s="202">
        <v>6683.2695239999866</v>
      </c>
      <c r="P13" s="210">
        <v>4.3627933866445697E-4</v>
      </c>
    </row>
    <row r="14" spans="1:16" x14ac:dyDescent="0.25">
      <c r="A14" s="198" t="s">
        <v>19</v>
      </c>
      <c r="B14" s="207">
        <v>470</v>
      </c>
      <c r="C14" s="207">
        <v>90</v>
      </c>
      <c r="D14" s="207">
        <v>5191</v>
      </c>
      <c r="E14" s="207">
        <v>564</v>
      </c>
      <c r="F14" s="199">
        <v>24592.857407999982</v>
      </c>
      <c r="G14" s="199">
        <v>1660.9321080000011</v>
      </c>
      <c r="H14" s="199">
        <v>2412</v>
      </c>
      <c r="I14" s="199">
        <v>98665.940000000366</v>
      </c>
      <c r="J14" s="199">
        <v>10335.357500000007</v>
      </c>
      <c r="K14" s="199">
        <v>5661</v>
      </c>
      <c r="L14" s="199">
        <v>28665.789515999983</v>
      </c>
      <c r="M14" s="199">
        <v>114662.29750000038</v>
      </c>
      <c r="N14" s="199">
        <v>114662.29750000038</v>
      </c>
      <c r="O14" s="199">
        <v>143328.08701600035</v>
      </c>
      <c r="P14" s="208">
        <v>9.3563611030244749E-3</v>
      </c>
    </row>
    <row r="15" spans="1:16" x14ac:dyDescent="0.25">
      <c r="A15" s="201" t="s">
        <v>315</v>
      </c>
      <c r="B15" s="209">
        <v>470</v>
      </c>
      <c r="C15" s="209">
        <v>90</v>
      </c>
      <c r="D15" s="209">
        <v>5191</v>
      </c>
      <c r="E15" s="209">
        <v>564</v>
      </c>
      <c r="F15" s="202">
        <v>24592.857407999982</v>
      </c>
      <c r="G15" s="202">
        <v>1660.9321080000011</v>
      </c>
      <c r="H15" s="202">
        <v>2412</v>
      </c>
      <c r="I15" s="202">
        <v>98665.940000000541</v>
      </c>
      <c r="J15" s="202">
        <v>10335.357499999989</v>
      </c>
      <c r="K15" s="202">
        <v>5661</v>
      </c>
      <c r="L15" s="202">
        <v>28665.789515999983</v>
      </c>
      <c r="M15" s="202">
        <v>114662.29750000052</v>
      </c>
      <c r="N15" s="202">
        <v>114662.29750000052</v>
      </c>
      <c r="O15" s="202">
        <v>143328.0870160005</v>
      </c>
      <c r="P15" s="210">
        <v>9.3563611030244853E-3</v>
      </c>
    </row>
    <row r="16" spans="1:16" x14ac:dyDescent="0.25">
      <c r="A16" s="198" t="s">
        <v>148</v>
      </c>
      <c r="B16" s="207">
        <v>685</v>
      </c>
      <c r="C16" s="207">
        <v>842</v>
      </c>
      <c r="D16" s="207">
        <v>7556</v>
      </c>
      <c r="E16" s="207">
        <v>3115</v>
      </c>
      <c r="F16" s="199">
        <v>36293.766426000147</v>
      </c>
      <c r="G16" s="199">
        <v>13448.086210000194</v>
      </c>
      <c r="H16" s="199">
        <v>3132</v>
      </c>
      <c r="I16" s="199">
        <v>144787.3500000003</v>
      </c>
      <c r="J16" s="199">
        <v>72599.409999999567</v>
      </c>
      <c r="K16" s="199">
        <v>9401.5</v>
      </c>
      <c r="L16" s="199">
        <v>52873.852636000345</v>
      </c>
      <c r="M16" s="199">
        <v>226788.25999999986</v>
      </c>
      <c r="N16" s="199">
        <v>226788.25999999986</v>
      </c>
      <c r="O16" s="199">
        <v>279662.11263600021</v>
      </c>
      <c r="P16" s="208">
        <v>1.8256154583051239E-2</v>
      </c>
    </row>
    <row r="17" spans="1:16" x14ac:dyDescent="0.25">
      <c r="A17" s="201" t="s">
        <v>174</v>
      </c>
      <c r="B17" s="209">
        <v>685</v>
      </c>
      <c r="C17" s="209">
        <v>842</v>
      </c>
      <c r="D17" s="209">
        <v>7556</v>
      </c>
      <c r="E17" s="209">
        <v>3115</v>
      </c>
      <c r="F17" s="202">
        <v>36293.766426000147</v>
      </c>
      <c r="G17" s="202">
        <v>13448.086210000194</v>
      </c>
      <c r="H17" s="202">
        <v>3132</v>
      </c>
      <c r="I17" s="202">
        <v>144787.350000001</v>
      </c>
      <c r="J17" s="202">
        <v>72599.410000000236</v>
      </c>
      <c r="K17" s="202">
        <v>9401.5</v>
      </c>
      <c r="L17" s="202">
        <v>52873.852636000345</v>
      </c>
      <c r="M17" s="202">
        <v>226788.26000000123</v>
      </c>
      <c r="N17" s="202">
        <v>226788.26000000123</v>
      </c>
      <c r="O17" s="202">
        <v>279662.11263600155</v>
      </c>
      <c r="P17" s="210">
        <v>1.825615458305133E-2</v>
      </c>
    </row>
    <row r="18" spans="1:16" x14ac:dyDescent="0.25">
      <c r="A18" s="198" t="s">
        <v>21</v>
      </c>
      <c r="B18" s="207">
        <v>1540</v>
      </c>
      <c r="C18" s="207">
        <v>860</v>
      </c>
      <c r="D18" s="207">
        <v>17072</v>
      </c>
      <c r="E18" s="207">
        <v>3075</v>
      </c>
      <c r="F18" s="199">
        <v>89653.864697999699</v>
      </c>
      <c r="G18" s="199">
        <v>11767.157705999869</v>
      </c>
      <c r="H18" s="199">
        <v>6444</v>
      </c>
      <c r="I18" s="199">
        <v>320126.60999999964</v>
      </c>
      <c r="J18" s="199">
        <v>71772.382499999629</v>
      </c>
      <c r="K18" s="199">
        <v>21241.5</v>
      </c>
      <c r="L18" s="199">
        <v>107865.02240399957</v>
      </c>
      <c r="M18" s="199">
        <v>413140.49249999924</v>
      </c>
      <c r="N18" s="199">
        <v>413140.49249999924</v>
      </c>
      <c r="O18" s="199">
        <v>521005.51490399882</v>
      </c>
      <c r="P18" s="208">
        <v>3.4010889530429765E-2</v>
      </c>
    </row>
    <row r="19" spans="1:16" x14ac:dyDescent="0.25">
      <c r="A19" s="201" t="s">
        <v>313</v>
      </c>
      <c r="B19" s="209">
        <v>1540</v>
      </c>
      <c r="C19" s="209">
        <v>860</v>
      </c>
      <c r="D19" s="209">
        <v>17072</v>
      </c>
      <c r="E19" s="209">
        <v>3075</v>
      </c>
      <c r="F19" s="202">
        <v>89653.864697999699</v>
      </c>
      <c r="G19" s="202">
        <v>11767.157705999869</v>
      </c>
      <c r="H19" s="202">
        <v>6444</v>
      </c>
      <c r="I19" s="202">
        <v>320126.6099999859</v>
      </c>
      <c r="J19" s="202">
        <v>71772.382500000196</v>
      </c>
      <c r="K19" s="202">
        <v>21241.5</v>
      </c>
      <c r="L19" s="202">
        <v>107865.02240399957</v>
      </c>
      <c r="M19" s="202">
        <v>413140.49249998608</v>
      </c>
      <c r="N19" s="202">
        <v>413140.49249998608</v>
      </c>
      <c r="O19" s="202">
        <v>521005.51490398566</v>
      </c>
      <c r="P19" s="210">
        <v>3.4010889530428905E-2</v>
      </c>
    </row>
    <row r="20" spans="1:16" x14ac:dyDescent="0.25">
      <c r="A20" s="198" t="s">
        <v>22</v>
      </c>
      <c r="B20" s="207">
        <v>856</v>
      </c>
      <c r="C20" s="207">
        <v>254</v>
      </c>
      <c r="D20" s="207">
        <v>8603</v>
      </c>
      <c r="E20" s="207">
        <v>1102</v>
      </c>
      <c r="F20" s="199">
        <v>47991.075588000363</v>
      </c>
      <c r="G20" s="199">
        <v>3727.2678170000154</v>
      </c>
      <c r="H20" s="199">
        <v>2664</v>
      </c>
      <c r="I20" s="199">
        <v>167069.10999999943</v>
      </c>
      <c r="J20" s="199">
        <v>23347.902500000026</v>
      </c>
      <c r="K20" s="199">
        <v>14189.5</v>
      </c>
      <c r="L20" s="199">
        <v>54382.343405000378</v>
      </c>
      <c r="M20" s="199">
        <v>204606.51249999946</v>
      </c>
      <c r="N20" s="199">
        <v>204606.51249999946</v>
      </c>
      <c r="O20" s="199">
        <v>258988.85590499983</v>
      </c>
      <c r="P20" s="208">
        <v>1.6906618290634404E-2</v>
      </c>
    </row>
    <row r="21" spans="1:16" x14ac:dyDescent="0.25">
      <c r="A21" s="201" t="s">
        <v>312</v>
      </c>
      <c r="B21" s="209">
        <v>856</v>
      </c>
      <c r="C21" s="209">
        <v>254</v>
      </c>
      <c r="D21" s="209">
        <v>8603</v>
      </c>
      <c r="E21" s="209">
        <v>1102</v>
      </c>
      <c r="F21" s="202">
        <v>47991.075588000363</v>
      </c>
      <c r="G21" s="202">
        <v>3727.2678170000154</v>
      </c>
      <c r="H21" s="202">
        <v>2664</v>
      </c>
      <c r="I21" s="202">
        <v>167069.11000000002</v>
      </c>
      <c r="J21" s="202">
        <v>23347.902499999938</v>
      </c>
      <c r="K21" s="202">
        <v>14189.5</v>
      </c>
      <c r="L21" s="202">
        <v>54382.343405000378</v>
      </c>
      <c r="M21" s="202">
        <v>204606.51249999995</v>
      </c>
      <c r="N21" s="202">
        <v>204606.51249999995</v>
      </c>
      <c r="O21" s="202">
        <v>258988.85590500032</v>
      </c>
      <c r="P21" s="210">
        <v>1.6906618290634435E-2</v>
      </c>
    </row>
    <row r="22" spans="1:16" x14ac:dyDescent="0.25">
      <c r="A22" s="198" t="s">
        <v>23</v>
      </c>
      <c r="B22" s="207">
        <v>690</v>
      </c>
      <c r="C22" s="207">
        <v>140</v>
      </c>
      <c r="D22" s="207">
        <v>6661</v>
      </c>
      <c r="E22" s="207">
        <v>600</v>
      </c>
      <c r="F22" s="199">
        <v>46933.557894000209</v>
      </c>
      <c r="G22" s="199">
        <v>1802.0330119999962</v>
      </c>
      <c r="H22" s="199">
        <v>3240</v>
      </c>
      <c r="I22" s="199">
        <v>151839.65999999971</v>
      </c>
      <c r="J22" s="199">
        <v>13210.469999999978</v>
      </c>
      <c r="K22" s="199">
        <v>11502</v>
      </c>
      <c r="L22" s="199">
        <v>51975.590906000201</v>
      </c>
      <c r="M22" s="199">
        <v>176552.12999999968</v>
      </c>
      <c r="N22" s="199">
        <v>176552.12999999968</v>
      </c>
      <c r="O22" s="199">
        <v>228527.72090599989</v>
      </c>
      <c r="P22" s="208">
        <v>1.4918135889227595E-2</v>
      </c>
    </row>
    <row r="23" spans="1:16" x14ac:dyDescent="0.25">
      <c r="A23" s="201" t="s">
        <v>310</v>
      </c>
      <c r="B23" s="209">
        <v>690</v>
      </c>
      <c r="C23" s="209">
        <v>140</v>
      </c>
      <c r="D23" s="209">
        <v>6661</v>
      </c>
      <c r="E23" s="209">
        <v>600</v>
      </c>
      <c r="F23" s="202">
        <v>46933.557894000209</v>
      </c>
      <c r="G23" s="202">
        <v>1802.0330119999962</v>
      </c>
      <c r="H23" s="202">
        <v>3240</v>
      </c>
      <c r="I23" s="202">
        <v>151839.66000000047</v>
      </c>
      <c r="J23" s="202">
        <v>13210.469999999976</v>
      </c>
      <c r="K23" s="202">
        <v>11502</v>
      </c>
      <c r="L23" s="202">
        <v>51975.590906000201</v>
      </c>
      <c r="M23" s="202">
        <v>176552.13000000044</v>
      </c>
      <c r="N23" s="202">
        <v>176552.13000000044</v>
      </c>
      <c r="O23" s="202">
        <v>228527.72090600064</v>
      </c>
      <c r="P23" s="210">
        <v>1.4918135889227644E-2</v>
      </c>
    </row>
    <row r="24" spans="1:16" x14ac:dyDescent="0.25">
      <c r="A24" s="198" t="s">
        <v>24</v>
      </c>
      <c r="B24" s="207"/>
      <c r="C24" s="207">
        <v>14</v>
      </c>
      <c r="D24" s="207"/>
      <c r="E24" s="207">
        <v>82</v>
      </c>
      <c r="F24" s="199"/>
      <c r="G24" s="199">
        <v>319.41000000000003</v>
      </c>
      <c r="H24" s="199"/>
      <c r="I24" s="199"/>
      <c r="J24" s="199">
        <v>1044.4200000000005</v>
      </c>
      <c r="K24" s="199"/>
      <c r="L24" s="199">
        <v>319.41000000000003</v>
      </c>
      <c r="M24" s="199">
        <v>1044.4200000000005</v>
      </c>
      <c r="N24" s="199">
        <v>1044.4200000000005</v>
      </c>
      <c r="O24" s="199">
        <v>1363.8300000000006</v>
      </c>
      <c r="P24" s="208">
        <v>8.9029904946079177E-5</v>
      </c>
    </row>
    <row r="25" spans="1:16" x14ac:dyDescent="0.25">
      <c r="A25" s="201" t="s">
        <v>309</v>
      </c>
      <c r="B25" s="209"/>
      <c r="C25" s="209">
        <v>14</v>
      </c>
      <c r="D25" s="209"/>
      <c r="E25" s="209">
        <v>82</v>
      </c>
      <c r="F25" s="202"/>
      <c r="G25" s="202">
        <v>319.41000000000003</v>
      </c>
      <c r="H25" s="202"/>
      <c r="I25" s="202"/>
      <c r="J25" s="202">
        <v>1044.4200000000005</v>
      </c>
      <c r="K25" s="202"/>
      <c r="L25" s="202">
        <v>319.41000000000003</v>
      </c>
      <c r="M25" s="202">
        <v>1044.4200000000005</v>
      </c>
      <c r="N25" s="202">
        <v>1044.4200000000005</v>
      </c>
      <c r="O25" s="202">
        <v>1363.8300000000006</v>
      </c>
      <c r="P25" s="210">
        <v>8.9029904946079177E-5</v>
      </c>
    </row>
    <row r="26" spans="1:16" x14ac:dyDescent="0.25">
      <c r="A26" s="198" t="s">
        <v>25</v>
      </c>
      <c r="B26" s="207">
        <v>19</v>
      </c>
      <c r="C26" s="207">
        <v>28</v>
      </c>
      <c r="D26" s="207">
        <v>262</v>
      </c>
      <c r="E26" s="207">
        <v>175</v>
      </c>
      <c r="F26" s="199">
        <v>1997.2799999999993</v>
      </c>
      <c r="G26" s="199">
        <v>337.66161099999994</v>
      </c>
      <c r="H26" s="199">
        <v>36</v>
      </c>
      <c r="I26" s="199">
        <v>7317.0200000000032</v>
      </c>
      <c r="J26" s="199">
        <v>3584.490000000003</v>
      </c>
      <c r="K26" s="199">
        <v>130</v>
      </c>
      <c r="L26" s="199">
        <v>2370.9416109999993</v>
      </c>
      <c r="M26" s="199">
        <v>11031.510000000006</v>
      </c>
      <c r="N26" s="199">
        <v>11031.510000000006</v>
      </c>
      <c r="O26" s="199">
        <v>13402.451611000004</v>
      </c>
      <c r="P26" s="208">
        <v>8.7490302528303045E-4</v>
      </c>
    </row>
    <row r="27" spans="1:16" x14ac:dyDescent="0.25">
      <c r="A27" s="201" t="s">
        <v>308</v>
      </c>
      <c r="B27" s="209">
        <v>19</v>
      </c>
      <c r="C27" s="209">
        <v>28</v>
      </c>
      <c r="D27" s="209">
        <v>262</v>
      </c>
      <c r="E27" s="209">
        <v>175</v>
      </c>
      <c r="F27" s="202">
        <v>1997.2799999999993</v>
      </c>
      <c r="G27" s="202">
        <v>337.66161099999994</v>
      </c>
      <c r="H27" s="202">
        <v>36</v>
      </c>
      <c r="I27" s="202">
        <v>7317.0200000000032</v>
      </c>
      <c r="J27" s="202">
        <v>3584.4900000000061</v>
      </c>
      <c r="K27" s="202">
        <v>130</v>
      </c>
      <c r="L27" s="202">
        <v>2370.9416109999993</v>
      </c>
      <c r="M27" s="202">
        <v>11031.510000000009</v>
      </c>
      <c r="N27" s="202">
        <v>11031.510000000009</v>
      </c>
      <c r="O27" s="202">
        <v>13402.451611000008</v>
      </c>
      <c r="P27" s="210">
        <v>8.7490302528303078E-4</v>
      </c>
    </row>
    <row r="28" spans="1:16" x14ac:dyDescent="0.25">
      <c r="A28" s="198" t="s">
        <v>381</v>
      </c>
      <c r="B28" s="207">
        <v>3</v>
      </c>
      <c r="C28" s="207"/>
      <c r="D28" s="207">
        <v>30</v>
      </c>
      <c r="E28" s="207"/>
      <c r="F28" s="199">
        <v>209.52</v>
      </c>
      <c r="G28" s="199"/>
      <c r="H28" s="199"/>
      <c r="I28" s="199">
        <v>503.85</v>
      </c>
      <c r="J28" s="199"/>
      <c r="K28" s="199"/>
      <c r="L28" s="199">
        <v>209.52</v>
      </c>
      <c r="M28" s="199">
        <v>503.85</v>
      </c>
      <c r="N28" s="199">
        <v>503.85</v>
      </c>
      <c r="O28" s="199">
        <v>713.37</v>
      </c>
      <c r="P28" s="208">
        <v>4.6568313713134678E-5</v>
      </c>
    </row>
    <row r="29" spans="1:16" x14ac:dyDescent="0.25">
      <c r="A29" s="201" t="s">
        <v>307</v>
      </c>
      <c r="B29" s="209">
        <v>3</v>
      </c>
      <c r="C29" s="209"/>
      <c r="D29" s="209">
        <v>30</v>
      </c>
      <c r="E29" s="209"/>
      <c r="F29" s="202">
        <v>209.52</v>
      </c>
      <c r="G29" s="202"/>
      <c r="H29" s="202"/>
      <c r="I29" s="202">
        <v>503.85</v>
      </c>
      <c r="J29" s="202"/>
      <c r="K29" s="202"/>
      <c r="L29" s="202">
        <v>209.52</v>
      </c>
      <c r="M29" s="202">
        <v>503.85</v>
      </c>
      <c r="N29" s="202">
        <v>503.85</v>
      </c>
      <c r="O29" s="202">
        <v>713.37</v>
      </c>
      <c r="P29" s="210">
        <v>4.6568313713134678E-5</v>
      </c>
    </row>
    <row r="30" spans="1:16" x14ac:dyDescent="0.25">
      <c r="A30" s="198" t="s">
        <v>128</v>
      </c>
      <c r="B30" s="207"/>
      <c r="C30" s="207">
        <v>124</v>
      </c>
      <c r="D30" s="207"/>
      <c r="E30" s="207">
        <v>520</v>
      </c>
      <c r="F30" s="199"/>
      <c r="G30" s="199">
        <v>2117.2331059999965</v>
      </c>
      <c r="H30" s="199">
        <v>36</v>
      </c>
      <c r="I30" s="199"/>
      <c r="J30" s="199">
        <v>9866.2200000000103</v>
      </c>
      <c r="K30" s="199">
        <v>100</v>
      </c>
      <c r="L30" s="199">
        <v>2153.2331059999965</v>
      </c>
      <c r="M30" s="199">
        <v>9966.2200000000103</v>
      </c>
      <c r="N30" s="199">
        <v>1782.2391901599965</v>
      </c>
      <c r="O30" s="199">
        <v>3935.4722961599928</v>
      </c>
      <c r="P30" s="208">
        <v>2.5690498408529797E-4</v>
      </c>
    </row>
    <row r="31" spans="1:16" x14ac:dyDescent="0.25">
      <c r="A31" s="201" t="s">
        <v>306</v>
      </c>
      <c r="B31" s="209"/>
      <c r="C31" s="209">
        <v>124</v>
      </c>
      <c r="D31" s="209"/>
      <c r="E31" s="209">
        <v>520</v>
      </c>
      <c r="F31" s="202"/>
      <c r="G31" s="202">
        <v>2117.2331059999965</v>
      </c>
      <c r="H31" s="202">
        <v>36</v>
      </c>
      <c r="I31" s="202"/>
      <c r="J31" s="202">
        <v>9866.2200000000103</v>
      </c>
      <c r="K31" s="202">
        <v>100</v>
      </c>
      <c r="L31" s="202">
        <v>2153.2331059999965</v>
      </c>
      <c r="M31" s="202">
        <v>9966.2200000000103</v>
      </c>
      <c r="N31" s="202">
        <v>1782.2391901599965</v>
      </c>
      <c r="O31" s="202">
        <v>3935.4722961599928</v>
      </c>
      <c r="P31" s="210">
        <v>2.5690498408529797E-4</v>
      </c>
    </row>
    <row r="32" spans="1:16" x14ac:dyDescent="0.25">
      <c r="A32" s="198" t="s">
        <v>495</v>
      </c>
      <c r="B32" s="207">
        <v>40</v>
      </c>
      <c r="C32" s="207">
        <v>12</v>
      </c>
      <c r="D32" s="207">
        <v>527</v>
      </c>
      <c r="E32" s="207">
        <v>70</v>
      </c>
      <c r="F32" s="199">
        <v>1356.4794599999991</v>
      </c>
      <c r="G32" s="199">
        <v>179.82899999999998</v>
      </c>
      <c r="H32" s="199">
        <v>72</v>
      </c>
      <c r="I32" s="199">
        <v>8771.8899999999921</v>
      </c>
      <c r="J32" s="199">
        <v>1282.5150000000001</v>
      </c>
      <c r="K32" s="199">
        <v>266</v>
      </c>
      <c r="L32" s="199">
        <v>1608.3084599999991</v>
      </c>
      <c r="M32" s="199">
        <v>10320.404999999992</v>
      </c>
      <c r="N32" s="199">
        <v>10320.404999999992</v>
      </c>
      <c r="O32" s="199">
        <v>11928.71345999999</v>
      </c>
      <c r="P32" s="208">
        <v>7.7869839017532519E-4</v>
      </c>
    </row>
    <row r="33" spans="1:16" x14ac:dyDescent="0.25">
      <c r="A33" s="201" t="s">
        <v>305</v>
      </c>
      <c r="B33" s="209">
        <v>40</v>
      </c>
      <c r="C33" s="209">
        <v>12</v>
      </c>
      <c r="D33" s="209">
        <v>527</v>
      </c>
      <c r="E33" s="209">
        <v>70</v>
      </c>
      <c r="F33" s="202">
        <v>1356.4794599999991</v>
      </c>
      <c r="G33" s="202">
        <v>179.82899999999998</v>
      </c>
      <c r="H33" s="202">
        <v>72</v>
      </c>
      <c r="I33" s="202">
        <v>8771.8899999999885</v>
      </c>
      <c r="J33" s="202">
        <v>1282.5149999999999</v>
      </c>
      <c r="K33" s="202">
        <v>266</v>
      </c>
      <c r="L33" s="202">
        <v>1608.3084599999991</v>
      </c>
      <c r="M33" s="202">
        <v>10320.404999999988</v>
      </c>
      <c r="N33" s="202">
        <v>10320.404999999988</v>
      </c>
      <c r="O33" s="202">
        <v>11928.713459999986</v>
      </c>
      <c r="P33" s="210">
        <v>7.7869839017532497E-4</v>
      </c>
    </row>
    <row r="34" spans="1:16" x14ac:dyDescent="0.25">
      <c r="A34" s="198" t="s">
        <v>27</v>
      </c>
      <c r="B34" s="207">
        <v>80</v>
      </c>
      <c r="C34" s="207">
        <v>7</v>
      </c>
      <c r="D34" s="207">
        <v>1089</v>
      </c>
      <c r="E34" s="207">
        <v>21</v>
      </c>
      <c r="F34" s="199">
        <v>5583.240864000004</v>
      </c>
      <c r="G34" s="199">
        <v>79.443000000000012</v>
      </c>
      <c r="H34" s="199">
        <v>288</v>
      </c>
      <c r="I34" s="199">
        <v>20199.200000000004</v>
      </c>
      <c r="J34" s="199">
        <v>453.96000000000004</v>
      </c>
      <c r="K34" s="199">
        <v>1128.5</v>
      </c>
      <c r="L34" s="199">
        <v>5950.6838640000042</v>
      </c>
      <c r="M34" s="199">
        <v>21781.660000000003</v>
      </c>
      <c r="N34" s="199">
        <v>21781.660000000003</v>
      </c>
      <c r="O34" s="199">
        <v>27732.343864000009</v>
      </c>
      <c r="P34" s="208">
        <v>1.8103487517827747E-3</v>
      </c>
    </row>
    <row r="35" spans="1:16" x14ac:dyDescent="0.25">
      <c r="A35" s="201" t="s">
        <v>304</v>
      </c>
      <c r="B35" s="209">
        <v>80</v>
      </c>
      <c r="C35" s="209">
        <v>7</v>
      </c>
      <c r="D35" s="209">
        <v>1089</v>
      </c>
      <c r="E35" s="209">
        <v>21</v>
      </c>
      <c r="F35" s="202">
        <v>5583.240864000004</v>
      </c>
      <c r="G35" s="202">
        <v>79.443000000000012</v>
      </c>
      <c r="H35" s="202">
        <v>288</v>
      </c>
      <c r="I35" s="202">
        <v>20199.199999999986</v>
      </c>
      <c r="J35" s="202">
        <v>453.96000000000004</v>
      </c>
      <c r="K35" s="202">
        <v>1128.5</v>
      </c>
      <c r="L35" s="202">
        <v>5950.6838640000042</v>
      </c>
      <c r="M35" s="202">
        <v>21781.659999999985</v>
      </c>
      <c r="N35" s="202">
        <v>21781.659999999985</v>
      </c>
      <c r="O35" s="202">
        <v>27732.343863999988</v>
      </c>
      <c r="P35" s="210">
        <v>1.8103487517827732E-3</v>
      </c>
    </row>
    <row r="36" spans="1:16" x14ac:dyDescent="0.25">
      <c r="A36" s="198" t="s">
        <v>143</v>
      </c>
      <c r="B36" s="207"/>
      <c r="C36" s="207">
        <v>26</v>
      </c>
      <c r="D36" s="207"/>
      <c r="E36" s="207">
        <v>79</v>
      </c>
      <c r="F36" s="199"/>
      <c r="G36" s="199">
        <v>264.654</v>
      </c>
      <c r="H36" s="199"/>
      <c r="I36" s="199"/>
      <c r="J36" s="199">
        <v>2372.7600000000007</v>
      </c>
      <c r="K36" s="199"/>
      <c r="L36" s="199">
        <v>264.654</v>
      </c>
      <c r="M36" s="199">
        <v>2372.7600000000007</v>
      </c>
      <c r="N36" s="199">
        <v>1703.5182964800006</v>
      </c>
      <c r="O36" s="199">
        <v>1968.1722964800006</v>
      </c>
      <c r="P36" s="208">
        <v>1.2848096351680247E-4</v>
      </c>
    </row>
    <row r="37" spans="1:16" x14ac:dyDescent="0.25">
      <c r="A37" s="201" t="s">
        <v>303</v>
      </c>
      <c r="B37" s="209"/>
      <c r="C37" s="209">
        <v>26</v>
      </c>
      <c r="D37" s="209"/>
      <c r="E37" s="209">
        <v>79</v>
      </c>
      <c r="F37" s="202"/>
      <c r="G37" s="202">
        <v>264.654</v>
      </c>
      <c r="H37" s="202"/>
      <c r="I37" s="202"/>
      <c r="J37" s="202">
        <v>2372.7600000000007</v>
      </c>
      <c r="K37" s="202"/>
      <c r="L37" s="202">
        <v>264.654</v>
      </c>
      <c r="M37" s="202">
        <v>2372.7600000000007</v>
      </c>
      <c r="N37" s="202">
        <v>1703.5182964800006</v>
      </c>
      <c r="O37" s="202">
        <v>1968.1722964800006</v>
      </c>
      <c r="P37" s="210">
        <v>1.2848096351680247E-4</v>
      </c>
    </row>
    <row r="38" spans="1:16" x14ac:dyDescent="0.25">
      <c r="A38" s="198" t="s">
        <v>28</v>
      </c>
      <c r="B38" s="207">
        <v>2047</v>
      </c>
      <c r="C38" s="207">
        <v>612</v>
      </c>
      <c r="D38" s="207">
        <v>21382</v>
      </c>
      <c r="E38" s="207">
        <v>2412</v>
      </c>
      <c r="F38" s="199">
        <v>128289.79474200026</v>
      </c>
      <c r="G38" s="199">
        <v>9763.9995410000811</v>
      </c>
      <c r="H38" s="199">
        <v>9972</v>
      </c>
      <c r="I38" s="199">
        <v>399805.05999999709</v>
      </c>
      <c r="J38" s="199">
        <v>57018.129999999874</v>
      </c>
      <c r="K38" s="199">
        <v>38235.300000000003</v>
      </c>
      <c r="L38" s="199">
        <v>148025.79428300034</v>
      </c>
      <c r="M38" s="199">
        <v>495058.48999999696</v>
      </c>
      <c r="N38" s="199">
        <v>495058.48999999696</v>
      </c>
      <c r="O38" s="199">
        <v>643084.28428299725</v>
      </c>
      <c r="P38" s="208">
        <v>4.1980109472612111E-2</v>
      </c>
    </row>
    <row r="39" spans="1:16" x14ac:dyDescent="0.25">
      <c r="A39" s="201" t="s">
        <v>302</v>
      </c>
      <c r="B39" s="209">
        <v>2047</v>
      </c>
      <c r="C39" s="209">
        <v>612</v>
      </c>
      <c r="D39" s="209">
        <v>21382</v>
      </c>
      <c r="E39" s="209">
        <v>2412</v>
      </c>
      <c r="F39" s="202">
        <v>128289.79474200026</v>
      </c>
      <c r="G39" s="202">
        <v>9763.9995410000811</v>
      </c>
      <c r="H39" s="202">
        <v>9972</v>
      </c>
      <c r="I39" s="202">
        <v>399805.05999998684</v>
      </c>
      <c r="J39" s="202">
        <v>57018.129999999917</v>
      </c>
      <c r="K39" s="202">
        <v>38235.300000000003</v>
      </c>
      <c r="L39" s="202">
        <v>148025.79428300034</v>
      </c>
      <c r="M39" s="202">
        <v>495058.48999998678</v>
      </c>
      <c r="N39" s="202">
        <v>495058.48999998678</v>
      </c>
      <c r="O39" s="202">
        <v>643084.28428298712</v>
      </c>
      <c r="P39" s="210">
        <v>4.1980109472611452E-2</v>
      </c>
    </row>
    <row r="40" spans="1:16" x14ac:dyDescent="0.25">
      <c r="A40" s="198" t="s">
        <v>29</v>
      </c>
      <c r="B40" s="207">
        <v>33</v>
      </c>
      <c r="C40" s="207"/>
      <c r="D40" s="207">
        <v>308</v>
      </c>
      <c r="E40" s="207"/>
      <c r="F40" s="199">
        <v>2601.7197299999998</v>
      </c>
      <c r="G40" s="199"/>
      <c r="H40" s="199"/>
      <c r="I40" s="199">
        <v>7421.4599999999982</v>
      </c>
      <c r="J40" s="199"/>
      <c r="K40" s="199">
        <v>15</v>
      </c>
      <c r="L40" s="199">
        <v>2601.7197299999998</v>
      </c>
      <c r="M40" s="199">
        <v>7436.4599999999982</v>
      </c>
      <c r="N40" s="199">
        <v>7436.4599999999982</v>
      </c>
      <c r="O40" s="199">
        <v>10038.179729999998</v>
      </c>
      <c r="P40" s="208">
        <v>6.5528562005056214E-4</v>
      </c>
    </row>
    <row r="41" spans="1:16" x14ac:dyDescent="0.25">
      <c r="A41" s="201" t="s">
        <v>299</v>
      </c>
      <c r="B41" s="209">
        <v>33</v>
      </c>
      <c r="C41" s="209"/>
      <c r="D41" s="209">
        <v>308</v>
      </c>
      <c r="E41" s="209"/>
      <c r="F41" s="202">
        <v>2601.7197299999998</v>
      </c>
      <c r="G41" s="202"/>
      <c r="H41" s="202"/>
      <c r="I41" s="202">
        <v>7421.4600000000009</v>
      </c>
      <c r="J41" s="202"/>
      <c r="K41" s="202">
        <v>15</v>
      </c>
      <c r="L41" s="202">
        <v>2601.7197299999998</v>
      </c>
      <c r="M41" s="202">
        <v>7436.4600000000009</v>
      </c>
      <c r="N41" s="202">
        <v>7436.4600000000009</v>
      </c>
      <c r="O41" s="202">
        <v>10038.17973</v>
      </c>
      <c r="P41" s="210">
        <v>6.5528562005056224E-4</v>
      </c>
    </row>
    <row r="42" spans="1:16" x14ac:dyDescent="0.25">
      <c r="A42" s="198" t="s">
        <v>30</v>
      </c>
      <c r="B42" s="207">
        <v>594</v>
      </c>
      <c r="C42" s="207">
        <v>133</v>
      </c>
      <c r="D42" s="207">
        <v>5908</v>
      </c>
      <c r="E42" s="207">
        <v>375</v>
      </c>
      <c r="F42" s="199">
        <v>28927.257840000082</v>
      </c>
      <c r="G42" s="199">
        <v>1551.1860000000029</v>
      </c>
      <c r="H42" s="199">
        <v>936</v>
      </c>
      <c r="I42" s="199">
        <v>91522.030000000173</v>
      </c>
      <c r="J42" s="199">
        <v>10543.845000000005</v>
      </c>
      <c r="K42" s="199">
        <v>4199</v>
      </c>
      <c r="L42" s="199">
        <v>31414.443840000084</v>
      </c>
      <c r="M42" s="199">
        <v>106264.87500000017</v>
      </c>
      <c r="N42" s="199">
        <v>106264.87500000017</v>
      </c>
      <c r="O42" s="199">
        <v>137679.31884000025</v>
      </c>
      <c r="P42" s="208">
        <v>8.9876133164442373E-3</v>
      </c>
    </row>
    <row r="43" spans="1:16" x14ac:dyDescent="0.25">
      <c r="A43" s="201" t="s">
        <v>301</v>
      </c>
      <c r="B43" s="209">
        <v>594</v>
      </c>
      <c r="C43" s="209">
        <v>133</v>
      </c>
      <c r="D43" s="209">
        <v>5908</v>
      </c>
      <c r="E43" s="209">
        <v>375</v>
      </c>
      <c r="F43" s="202">
        <v>28927.257840000082</v>
      </c>
      <c r="G43" s="202">
        <v>1551.1860000000029</v>
      </c>
      <c r="H43" s="202">
        <v>936</v>
      </c>
      <c r="I43" s="202">
        <v>91522.030000000697</v>
      </c>
      <c r="J43" s="202">
        <v>10543.84499999999</v>
      </c>
      <c r="K43" s="202">
        <v>4199</v>
      </c>
      <c r="L43" s="202">
        <v>31414.443840000084</v>
      </c>
      <c r="M43" s="202">
        <v>106264.87500000068</v>
      </c>
      <c r="N43" s="202">
        <v>106264.87500000068</v>
      </c>
      <c r="O43" s="202">
        <v>137679.31884000078</v>
      </c>
      <c r="P43" s="210">
        <v>8.987613316444272E-3</v>
      </c>
    </row>
    <row r="44" spans="1:16" x14ac:dyDescent="0.25">
      <c r="A44" s="198" t="s">
        <v>31</v>
      </c>
      <c r="B44" s="207">
        <v>82</v>
      </c>
      <c r="C44" s="207">
        <v>48</v>
      </c>
      <c r="D44" s="207">
        <v>984</v>
      </c>
      <c r="E44" s="207">
        <v>154</v>
      </c>
      <c r="F44" s="199">
        <v>7358.4002159999927</v>
      </c>
      <c r="G44" s="199">
        <v>749.73593100000039</v>
      </c>
      <c r="H44" s="199">
        <v>684</v>
      </c>
      <c r="I44" s="199">
        <v>20274.340000000029</v>
      </c>
      <c r="J44" s="199">
        <v>3636.62</v>
      </c>
      <c r="K44" s="199">
        <v>1840.5</v>
      </c>
      <c r="L44" s="199">
        <v>8792.1361469999938</v>
      </c>
      <c r="M44" s="199">
        <v>25751.460000000028</v>
      </c>
      <c r="N44" s="199">
        <v>25751.460000000028</v>
      </c>
      <c r="O44" s="199">
        <v>34543.596147000018</v>
      </c>
      <c r="P44" s="208">
        <v>2.254982718860237E-3</v>
      </c>
    </row>
    <row r="45" spans="1:16" x14ac:dyDescent="0.25">
      <c r="A45" s="201" t="s">
        <v>300</v>
      </c>
      <c r="B45" s="209">
        <v>82</v>
      </c>
      <c r="C45" s="209">
        <v>48</v>
      </c>
      <c r="D45" s="209">
        <v>984</v>
      </c>
      <c r="E45" s="209">
        <v>154</v>
      </c>
      <c r="F45" s="202">
        <v>7358.4002159999927</v>
      </c>
      <c r="G45" s="202">
        <v>749.73593100000039</v>
      </c>
      <c r="H45" s="202">
        <v>684</v>
      </c>
      <c r="I45" s="202">
        <v>20274.340000000007</v>
      </c>
      <c r="J45" s="202">
        <v>3636.6200000000017</v>
      </c>
      <c r="K45" s="202">
        <v>1840.5</v>
      </c>
      <c r="L45" s="202">
        <v>8792.1361469999938</v>
      </c>
      <c r="M45" s="202">
        <v>25751.46000000001</v>
      </c>
      <c r="N45" s="202">
        <v>25751.46000000001</v>
      </c>
      <c r="O45" s="202">
        <v>34543.596147000004</v>
      </c>
      <c r="P45" s="210">
        <v>2.2549827188602361E-3</v>
      </c>
    </row>
    <row r="46" spans="1:16" x14ac:dyDescent="0.25">
      <c r="A46" s="198" t="s">
        <v>32</v>
      </c>
      <c r="B46" s="207">
        <v>857</v>
      </c>
      <c r="C46" s="207">
        <v>359</v>
      </c>
      <c r="D46" s="207">
        <v>8812</v>
      </c>
      <c r="E46" s="207">
        <v>1667</v>
      </c>
      <c r="F46" s="199">
        <v>47925.909396000032</v>
      </c>
      <c r="G46" s="199">
        <v>5406.1113430000269</v>
      </c>
      <c r="H46" s="199">
        <v>4356</v>
      </c>
      <c r="I46" s="199">
        <v>174338.56000000029</v>
      </c>
      <c r="J46" s="199">
        <v>35872.589999999967</v>
      </c>
      <c r="K46" s="199">
        <v>12615</v>
      </c>
      <c r="L46" s="199">
        <v>57688.020739000058</v>
      </c>
      <c r="M46" s="199">
        <v>222826.15000000026</v>
      </c>
      <c r="N46" s="199">
        <v>222826.15000000026</v>
      </c>
      <c r="O46" s="199">
        <v>280514.17073900031</v>
      </c>
      <c r="P46" s="208">
        <v>1.8311776362832179E-2</v>
      </c>
    </row>
    <row r="47" spans="1:16" x14ac:dyDescent="0.25">
      <c r="A47" s="201" t="s">
        <v>297</v>
      </c>
      <c r="B47" s="209">
        <v>857</v>
      </c>
      <c r="C47" s="209">
        <v>359</v>
      </c>
      <c r="D47" s="209">
        <v>8812</v>
      </c>
      <c r="E47" s="209">
        <v>1667</v>
      </c>
      <c r="F47" s="202">
        <v>47925.909396000032</v>
      </c>
      <c r="G47" s="202">
        <v>5406.1113430000269</v>
      </c>
      <c r="H47" s="202">
        <v>4356</v>
      </c>
      <c r="I47" s="202">
        <v>174338.56000000067</v>
      </c>
      <c r="J47" s="202">
        <v>35872.589999999742</v>
      </c>
      <c r="K47" s="202">
        <v>12615</v>
      </c>
      <c r="L47" s="202">
        <v>57688.020739000058</v>
      </c>
      <c r="M47" s="202">
        <v>222826.1500000004</v>
      </c>
      <c r="N47" s="202">
        <v>222826.1500000004</v>
      </c>
      <c r="O47" s="202">
        <v>280514.17073900043</v>
      </c>
      <c r="P47" s="210">
        <v>1.8311776362832186E-2</v>
      </c>
    </row>
    <row r="48" spans="1:16" x14ac:dyDescent="0.25">
      <c r="A48" s="198" t="s">
        <v>33</v>
      </c>
      <c r="B48" s="207">
        <v>85</v>
      </c>
      <c r="C48" s="207">
        <v>118</v>
      </c>
      <c r="D48" s="207">
        <v>887</v>
      </c>
      <c r="E48" s="207">
        <v>521</v>
      </c>
      <c r="F48" s="199">
        <v>5269.6812959999952</v>
      </c>
      <c r="G48" s="199">
        <v>2001.7544519999974</v>
      </c>
      <c r="H48" s="199">
        <v>72</v>
      </c>
      <c r="I48" s="199">
        <v>22115.369999999992</v>
      </c>
      <c r="J48" s="199">
        <v>13094.055</v>
      </c>
      <c r="K48" s="199">
        <v>525</v>
      </c>
      <c r="L48" s="199">
        <v>7343.4357479999926</v>
      </c>
      <c r="M48" s="199">
        <v>35734.424999999988</v>
      </c>
      <c r="N48" s="199">
        <v>35734.424999999988</v>
      </c>
      <c r="O48" s="199">
        <v>43077.860747999977</v>
      </c>
      <c r="P48" s="208">
        <v>2.8120937709794265E-3</v>
      </c>
    </row>
    <row r="49" spans="1:16" x14ac:dyDescent="0.25">
      <c r="A49" s="201" t="s">
        <v>296</v>
      </c>
      <c r="B49" s="209">
        <v>85</v>
      </c>
      <c r="C49" s="209">
        <v>118</v>
      </c>
      <c r="D49" s="209">
        <v>887</v>
      </c>
      <c r="E49" s="209">
        <v>521</v>
      </c>
      <c r="F49" s="202">
        <v>5269.6812959999952</v>
      </c>
      <c r="G49" s="202">
        <v>2001.7544519999974</v>
      </c>
      <c r="H49" s="202">
        <v>72</v>
      </c>
      <c r="I49" s="202">
        <v>22115.369999999992</v>
      </c>
      <c r="J49" s="202">
        <v>13094.05499999998</v>
      </c>
      <c r="K49" s="202">
        <v>525</v>
      </c>
      <c r="L49" s="202">
        <v>7343.4357479999926</v>
      </c>
      <c r="M49" s="202">
        <v>35734.424999999974</v>
      </c>
      <c r="N49" s="202">
        <v>35734.424999999974</v>
      </c>
      <c r="O49" s="202">
        <v>43077.860747999963</v>
      </c>
      <c r="P49" s="210">
        <v>2.8120937709794256E-3</v>
      </c>
    </row>
    <row r="50" spans="1:16" x14ac:dyDescent="0.25">
      <c r="A50" s="198" t="s">
        <v>34</v>
      </c>
      <c r="B50" s="207">
        <v>20</v>
      </c>
      <c r="C50" s="207">
        <v>7</v>
      </c>
      <c r="D50" s="207">
        <v>172</v>
      </c>
      <c r="E50" s="207">
        <v>35</v>
      </c>
      <c r="F50" s="199">
        <v>1239.6599999999994</v>
      </c>
      <c r="G50" s="199">
        <v>146.01607299999998</v>
      </c>
      <c r="H50" s="199">
        <v>180</v>
      </c>
      <c r="I50" s="199">
        <v>3003.9100000000008</v>
      </c>
      <c r="J50" s="199">
        <v>638.81999999999971</v>
      </c>
      <c r="K50" s="199">
        <v>340</v>
      </c>
      <c r="L50" s="199">
        <v>1565.6760729999994</v>
      </c>
      <c r="M50" s="199">
        <v>3982.7300000000005</v>
      </c>
      <c r="N50" s="199">
        <v>3982.7300000000005</v>
      </c>
      <c r="O50" s="199">
        <v>5548.4060730000001</v>
      </c>
      <c r="P50" s="208">
        <v>3.621962160103812E-4</v>
      </c>
    </row>
    <row r="51" spans="1:16" x14ac:dyDescent="0.25">
      <c r="A51" s="201" t="s">
        <v>294</v>
      </c>
      <c r="B51" s="209">
        <v>20</v>
      </c>
      <c r="C51" s="209">
        <v>7</v>
      </c>
      <c r="D51" s="209">
        <v>172</v>
      </c>
      <c r="E51" s="209">
        <v>35</v>
      </c>
      <c r="F51" s="202">
        <v>1239.6599999999994</v>
      </c>
      <c r="G51" s="202">
        <v>146.01607299999998</v>
      </c>
      <c r="H51" s="202">
        <v>180</v>
      </c>
      <c r="I51" s="202">
        <v>3003.91</v>
      </c>
      <c r="J51" s="202">
        <v>638.81999999999971</v>
      </c>
      <c r="K51" s="202">
        <v>340</v>
      </c>
      <c r="L51" s="202">
        <v>1565.6760729999994</v>
      </c>
      <c r="M51" s="202">
        <v>3982.7299999999996</v>
      </c>
      <c r="N51" s="202">
        <v>3982.7299999999996</v>
      </c>
      <c r="O51" s="202">
        <v>5548.4060729999992</v>
      </c>
      <c r="P51" s="210">
        <v>3.6219621601038114E-4</v>
      </c>
    </row>
    <row r="52" spans="1:16" x14ac:dyDescent="0.25">
      <c r="A52" s="198" t="s">
        <v>35</v>
      </c>
      <c r="B52" s="207">
        <v>323</v>
      </c>
      <c r="C52" s="207">
        <v>584</v>
      </c>
      <c r="D52" s="207">
        <v>3391</v>
      </c>
      <c r="E52" s="207">
        <v>2537</v>
      </c>
      <c r="F52" s="199">
        <v>16697.164050000079</v>
      </c>
      <c r="G52" s="199">
        <v>10165.073646000041</v>
      </c>
      <c r="H52" s="199">
        <v>972</v>
      </c>
      <c r="I52" s="199">
        <v>67947.639999999985</v>
      </c>
      <c r="J52" s="199">
        <v>53959.100000000348</v>
      </c>
      <c r="K52" s="199">
        <v>3646.5</v>
      </c>
      <c r="L52" s="199">
        <v>27834.23769600012</v>
      </c>
      <c r="M52" s="199">
        <v>125553.24000000034</v>
      </c>
      <c r="N52" s="199">
        <v>125553.24000000034</v>
      </c>
      <c r="O52" s="199">
        <v>153387.47769600045</v>
      </c>
      <c r="P52" s="208">
        <v>1.0013031359622353E-2</v>
      </c>
    </row>
    <row r="53" spans="1:16" x14ac:dyDescent="0.25">
      <c r="A53" s="201" t="s">
        <v>293</v>
      </c>
      <c r="B53" s="209">
        <v>323</v>
      </c>
      <c r="C53" s="209">
        <v>584</v>
      </c>
      <c r="D53" s="209">
        <v>3391</v>
      </c>
      <c r="E53" s="209">
        <v>2537</v>
      </c>
      <c r="F53" s="202">
        <v>16697.164050000079</v>
      </c>
      <c r="G53" s="202">
        <v>10165.073646000041</v>
      </c>
      <c r="H53" s="202">
        <v>972</v>
      </c>
      <c r="I53" s="202">
        <v>67947.639999999941</v>
      </c>
      <c r="J53" s="202">
        <v>53959.100000000224</v>
      </c>
      <c r="K53" s="202">
        <v>3646.5</v>
      </c>
      <c r="L53" s="202">
        <v>27834.23769600012</v>
      </c>
      <c r="M53" s="202">
        <v>125553.24000000017</v>
      </c>
      <c r="N53" s="202">
        <v>125553.24000000017</v>
      </c>
      <c r="O53" s="202">
        <v>153387.47769600028</v>
      </c>
      <c r="P53" s="210">
        <v>1.0013031359622341E-2</v>
      </c>
    </row>
    <row r="54" spans="1:16" x14ac:dyDescent="0.25">
      <c r="A54" s="198" t="s">
        <v>36</v>
      </c>
      <c r="B54" s="207"/>
      <c r="C54" s="207">
        <v>75</v>
      </c>
      <c r="D54" s="207"/>
      <c r="E54" s="207">
        <v>284</v>
      </c>
      <c r="F54" s="199"/>
      <c r="G54" s="199">
        <v>1095.1199999999988</v>
      </c>
      <c r="H54" s="199"/>
      <c r="I54" s="199"/>
      <c r="J54" s="199">
        <v>5756.9850000000097</v>
      </c>
      <c r="K54" s="199"/>
      <c r="L54" s="199">
        <v>1095.1199999999988</v>
      </c>
      <c r="M54" s="199">
        <v>5756.9850000000097</v>
      </c>
      <c r="N54" s="199">
        <v>5049.716364809984</v>
      </c>
      <c r="O54" s="199">
        <v>6144.836364809983</v>
      </c>
      <c r="P54" s="208">
        <v>4.0113078423868314E-4</v>
      </c>
    </row>
    <row r="55" spans="1:16" x14ac:dyDescent="0.25">
      <c r="A55" s="201" t="s">
        <v>292</v>
      </c>
      <c r="B55" s="209"/>
      <c r="C55" s="209">
        <v>75</v>
      </c>
      <c r="D55" s="209"/>
      <c r="E55" s="209">
        <v>284</v>
      </c>
      <c r="F55" s="202"/>
      <c r="G55" s="202">
        <v>1095.1199999999988</v>
      </c>
      <c r="H55" s="202"/>
      <c r="I55" s="202"/>
      <c r="J55" s="202">
        <v>5756.9850000000097</v>
      </c>
      <c r="K55" s="202"/>
      <c r="L55" s="202">
        <v>1095.1199999999988</v>
      </c>
      <c r="M55" s="202">
        <v>5756.9850000000097</v>
      </c>
      <c r="N55" s="202">
        <v>5049.716364809984</v>
      </c>
      <c r="O55" s="202">
        <v>6144.836364809983</v>
      </c>
      <c r="P55" s="210">
        <v>4.0113078423868314E-4</v>
      </c>
    </row>
    <row r="56" spans="1:16" x14ac:dyDescent="0.25">
      <c r="A56" s="198" t="s">
        <v>37</v>
      </c>
      <c r="B56" s="207">
        <v>18</v>
      </c>
      <c r="C56" s="207"/>
      <c r="D56" s="207">
        <v>225</v>
      </c>
      <c r="E56" s="207"/>
      <c r="F56" s="199">
        <v>1497.9596220000003</v>
      </c>
      <c r="G56" s="199"/>
      <c r="H56" s="199"/>
      <c r="I56" s="199">
        <v>5053.7899999999963</v>
      </c>
      <c r="J56" s="199"/>
      <c r="K56" s="199"/>
      <c r="L56" s="199">
        <v>1497.9596220000003</v>
      </c>
      <c r="M56" s="199">
        <v>5053.7899999999963</v>
      </c>
      <c r="N56" s="199">
        <v>5053.7899999999963</v>
      </c>
      <c r="O56" s="199">
        <v>6551.7496219999966</v>
      </c>
      <c r="P56" s="208">
        <v>4.2769380793586414E-4</v>
      </c>
    </row>
    <row r="57" spans="1:16" x14ac:dyDescent="0.25">
      <c r="A57" s="201" t="s">
        <v>289</v>
      </c>
      <c r="B57" s="209">
        <v>18</v>
      </c>
      <c r="C57" s="209"/>
      <c r="D57" s="209">
        <v>225</v>
      </c>
      <c r="E57" s="209"/>
      <c r="F57" s="202">
        <v>1497.9596220000003</v>
      </c>
      <c r="G57" s="202"/>
      <c r="H57" s="202"/>
      <c r="I57" s="202">
        <v>5053.7899999999963</v>
      </c>
      <c r="J57" s="202"/>
      <c r="K57" s="202"/>
      <c r="L57" s="202">
        <v>1497.9596220000003</v>
      </c>
      <c r="M57" s="202">
        <v>5053.7899999999963</v>
      </c>
      <c r="N57" s="202">
        <v>5053.7899999999963</v>
      </c>
      <c r="O57" s="202">
        <v>6551.7496219999966</v>
      </c>
      <c r="P57" s="210">
        <v>4.2769380793586414E-4</v>
      </c>
    </row>
    <row r="58" spans="1:16" x14ac:dyDescent="0.25">
      <c r="A58" s="198" t="s">
        <v>38</v>
      </c>
      <c r="B58" s="207">
        <v>698</v>
      </c>
      <c r="C58" s="207">
        <v>225</v>
      </c>
      <c r="D58" s="207">
        <v>7650</v>
      </c>
      <c r="E58" s="207">
        <v>696</v>
      </c>
      <c r="F58" s="199">
        <v>40211.284482000374</v>
      </c>
      <c r="G58" s="199">
        <v>3237.0414750000045</v>
      </c>
      <c r="H58" s="199">
        <v>1188</v>
      </c>
      <c r="I58" s="199">
        <v>147608.49999999968</v>
      </c>
      <c r="J58" s="199">
        <v>18608.752499999984</v>
      </c>
      <c r="K58" s="199">
        <v>5102.6500000000005</v>
      </c>
      <c r="L58" s="199">
        <v>44636.325957000379</v>
      </c>
      <c r="M58" s="199">
        <v>171319.90249999965</v>
      </c>
      <c r="N58" s="199">
        <v>171319.90249999965</v>
      </c>
      <c r="O58" s="199">
        <v>215956.22845700002</v>
      </c>
      <c r="P58" s="208">
        <v>1.4097477319050367E-2</v>
      </c>
    </row>
    <row r="59" spans="1:16" x14ac:dyDescent="0.25">
      <c r="A59" s="201" t="s">
        <v>288</v>
      </c>
      <c r="B59" s="209">
        <v>698</v>
      </c>
      <c r="C59" s="209">
        <v>225</v>
      </c>
      <c r="D59" s="209">
        <v>7650</v>
      </c>
      <c r="E59" s="209">
        <v>696</v>
      </c>
      <c r="F59" s="202">
        <v>40211.284482000374</v>
      </c>
      <c r="G59" s="202">
        <v>3237.0414750000045</v>
      </c>
      <c r="H59" s="202">
        <v>1188</v>
      </c>
      <c r="I59" s="202">
        <v>147608.50000000128</v>
      </c>
      <c r="J59" s="202">
        <v>18608.75249999997</v>
      </c>
      <c r="K59" s="202">
        <v>5102.6500000000005</v>
      </c>
      <c r="L59" s="202">
        <v>44636.325957000379</v>
      </c>
      <c r="M59" s="202">
        <v>171319.90250000125</v>
      </c>
      <c r="N59" s="202">
        <v>171319.90250000125</v>
      </c>
      <c r="O59" s="202">
        <v>215956.22845700162</v>
      </c>
      <c r="P59" s="210">
        <v>1.4097477319050471E-2</v>
      </c>
    </row>
    <row r="60" spans="1:16" x14ac:dyDescent="0.25">
      <c r="A60" s="198" t="s">
        <v>39</v>
      </c>
      <c r="B60" s="207"/>
      <c r="C60" s="207">
        <v>175</v>
      </c>
      <c r="D60" s="207"/>
      <c r="E60" s="207">
        <v>618</v>
      </c>
      <c r="F60" s="199"/>
      <c r="G60" s="199">
        <v>2500.5251769999973</v>
      </c>
      <c r="H60" s="199"/>
      <c r="I60" s="199"/>
      <c r="J60" s="199">
        <v>14986.920000000015</v>
      </c>
      <c r="K60" s="199">
        <v>60</v>
      </c>
      <c r="L60" s="199">
        <v>2500.5251769999973</v>
      </c>
      <c r="M60" s="199">
        <v>15046.920000000015</v>
      </c>
      <c r="N60" s="199">
        <v>8307.3593912400156</v>
      </c>
      <c r="O60" s="199">
        <v>10807.884568240013</v>
      </c>
      <c r="P60" s="208">
        <v>7.0553143410733289E-4</v>
      </c>
    </row>
    <row r="61" spans="1:16" x14ac:dyDescent="0.25">
      <c r="A61" s="201" t="s">
        <v>287</v>
      </c>
      <c r="B61" s="209"/>
      <c r="C61" s="209">
        <v>175</v>
      </c>
      <c r="D61" s="209"/>
      <c r="E61" s="209">
        <v>618</v>
      </c>
      <c r="F61" s="202"/>
      <c r="G61" s="202">
        <v>2500.5251769999973</v>
      </c>
      <c r="H61" s="202"/>
      <c r="I61" s="202"/>
      <c r="J61" s="202">
        <v>14986.920000000015</v>
      </c>
      <c r="K61" s="202">
        <v>60</v>
      </c>
      <c r="L61" s="202">
        <v>2500.5251769999973</v>
      </c>
      <c r="M61" s="202">
        <v>15046.920000000015</v>
      </c>
      <c r="N61" s="202">
        <v>8307.3593912400156</v>
      </c>
      <c r="O61" s="202">
        <v>10807.884568240013</v>
      </c>
      <c r="P61" s="210">
        <v>7.0553143410733289E-4</v>
      </c>
    </row>
    <row r="62" spans="1:16" x14ac:dyDescent="0.25">
      <c r="A62" s="198" t="s">
        <v>441</v>
      </c>
      <c r="B62" s="207">
        <v>1750</v>
      </c>
      <c r="C62" s="207">
        <v>867</v>
      </c>
      <c r="D62" s="207">
        <v>16683</v>
      </c>
      <c r="E62" s="207">
        <v>3422</v>
      </c>
      <c r="F62" s="199">
        <v>100229.22583199822</v>
      </c>
      <c r="G62" s="199">
        <v>11909.552364999909</v>
      </c>
      <c r="H62" s="199">
        <v>3564</v>
      </c>
      <c r="I62" s="199">
        <v>342028.16000000131</v>
      </c>
      <c r="J62" s="199">
        <v>76040.672500000292</v>
      </c>
      <c r="K62" s="199">
        <v>17430.5</v>
      </c>
      <c r="L62" s="199">
        <v>115702.77819699813</v>
      </c>
      <c r="M62" s="199">
        <v>435499.33250000159</v>
      </c>
      <c r="N62" s="199">
        <v>435499.33250000159</v>
      </c>
      <c r="O62" s="199">
        <v>551202.11069699971</v>
      </c>
      <c r="P62" s="208">
        <v>3.5982102990425542E-2</v>
      </c>
    </row>
    <row r="63" spans="1:16" x14ac:dyDescent="0.25">
      <c r="A63" s="201" t="s">
        <v>286</v>
      </c>
      <c r="B63" s="209">
        <v>1750</v>
      </c>
      <c r="C63" s="209">
        <v>867</v>
      </c>
      <c r="D63" s="209">
        <v>16683</v>
      </c>
      <c r="E63" s="209">
        <v>3422</v>
      </c>
      <c r="F63" s="202">
        <v>100229.22583199822</v>
      </c>
      <c r="G63" s="202">
        <v>11909.552364999909</v>
      </c>
      <c r="H63" s="202">
        <v>3564</v>
      </c>
      <c r="I63" s="202">
        <v>342028.1599999973</v>
      </c>
      <c r="J63" s="202">
        <v>76040.672499999724</v>
      </c>
      <c r="K63" s="202">
        <v>17430.5</v>
      </c>
      <c r="L63" s="202">
        <v>115702.77819699813</v>
      </c>
      <c r="M63" s="202">
        <v>435499.33249999699</v>
      </c>
      <c r="N63" s="202">
        <v>435499.33249999699</v>
      </c>
      <c r="O63" s="202">
        <v>551202.11069699517</v>
      </c>
      <c r="P63" s="210">
        <v>3.5982102990425251E-2</v>
      </c>
    </row>
    <row r="64" spans="1:16" x14ac:dyDescent="0.25">
      <c r="A64" s="198" t="s">
        <v>40</v>
      </c>
      <c r="B64" s="207">
        <v>49</v>
      </c>
      <c r="C64" s="207">
        <v>67</v>
      </c>
      <c r="D64" s="207">
        <v>498</v>
      </c>
      <c r="E64" s="207">
        <v>365</v>
      </c>
      <c r="F64" s="199">
        <v>1955.5193520000016</v>
      </c>
      <c r="G64" s="199">
        <v>1049.490814</v>
      </c>
      <c r="H64" s="199">
        <v>216</v>
      </c>
      <c r="I64" s="199">
        <v>9050.5799999999981</v>
      </c>
      <c r="J64" s="199">
        <v>5392.4649999999956</v>
      </c>
      <c r="K64" s="199">
        <v>823.5</v>
      </c>
      <c r="L64" s="199">
        <v>3221.0101660000018</v>
      </c>
      <c r="M64" s="199">
        <v>15266.544999999995</v>
      </c>
      <c r="N64" s="199">
        <v>15266.544999999995</v>
      </c>
      <c r="O64" s="199">
        <v>18487.555165999998</v>
      </c>
      <c r="P64" s="208">
        <v>1.2068551645838367E-3</v>
      </c>
    </row>
    <row r="65" spans="1:16" x14ac:dyDescent="0.25">
      <c r="A65" s="201" t="s">
        <v>291</v>
      </c>
      <c r="B65" s="209">
        <v>49</v>
      </c>
      <c r="C65" s="209">
        <v>67</v>
      </c>
      <c r="D65" s="209">
        <v>498</v>
      </c>
      <c r="E65" s="209">
        <v>365</v>
      </c>
      <c r="F65" s="202">
        <v>1955.5193520000016</v>
      </c>
      <c r="G65" s="202">
        <v>1049.490814</v>
      </c>
      <c r="H65" s="202">
        <v>216</v>
      </c>
      <c r="I65" s="202">
        <v>9050.5800000000036</v>
      </c>
      <c r="J65" s="202">
        <v>5392.4650000000029</v>
      </c>
      <c r="K65" s="202">
        <v>823.5</v>
      </c>
      <c r="L65" s="202">
        <v>3221.0101660000018</v>
      </c>
      <c r="M65" s="202">
        <v>15266.545000000006</v>
      </c>
      <c r="N65" s="202">
        <v>15266.545000000006</v>
      </c>
      <c r="O65" s="202">
        <v>18487.555166000006</v>
      </c>
      <c r="P65" s="210">
        <v>1.2068551645838372E-3</v>
      </c>
    </row>
    <row r="66" spans="1:16" x14ac:dyDescent="0.25">
      <c r="A66" s="198" t="s">
        <v>41</v>
      </c>
      <c r="B66" s="207">
        <v>40</v>
      </c>
      <c r="C66" s="207"/>
      <c r="D66" s="207">
        <v>423</v>
      </c>
      <c r="E66" s="207"/>
      <c r="F66" s="199">
        <v>2479.3199999999997</v>
      </c>
      <c r="G66" s="199"/>
      <c r="H66" s="199">
        <v>216</v>
      </c>
      <c r="I66" s="199">
        <v>7650.5900000000011</v>
      </c>
      <c r="J66" s="199"/>
      <c r="K66" s="199">
        <v>808.5</v>
      </c>
      <c r="L66" s="199">
        <v>2695.3199999999997</v>
      </c>
      <c r="M66" s="199">
        <v>8459.09</v>
      </c>
      <c r="N66" s="199">
        <v>8459.09</v>
      </c>
      <c r="O66" s="199">
        <v>11154.41</v>
      </c>
      <c r="P66" s="208">
        <v>7.2815238118357454E-4</v>
      </c>
    </row>
    <row r="67" spans="1:16" x14ac:dyDescent="0.25">
      <c r="A67" s="201" t="s">
        <v>290</v>
      </c>
      <c r="B67" s="209">
        <v>40</v>
      </c>
      <c r="C67" s="209"/>
      <c r="D67" s="209">
        <v>423</v>
      </c>
      <c r="E67" s="209"/>
      <c r="F67" s="202">
        <v>2479.3199999999997</v>
      </c>
      <c r="G67" s="202"/>
      <c r="H67" s="202">
        <v>216</v>
      </c>
      <c r="I67" s="202">
        <v>7650.5900000000056</v>
      </c>
      <c r="J67" s="202"/>
      <c r="K67" s="202">
        <v>808.5</v>
      </c>
      <c r="L67" s="202">
        <v>2695.3199999999997</v>
      </c>
      <c r="M67" s="202">
        <v>8459.0900000000056</v>
      </c>
      <c r="N67" s="202">
        <v>8459.0900000000056</v>
      </c>
      <c r="O67" s="202">
        <v>11154.410000000005</v>
      </c>
      <c r="P67" s="210">
        <v>7.2815238118357497E-4</v>
      </c>
    </row>
    <row r="68" spans="1:16" x14ac:dyDescent="0.25">
      <c r="A68" s="198" t="s">
        <v>42</v>
      </c>
      <c r="B68" s="207">
        <v>171</v>
      </c>
      <c r="C68" s="207"/>
      <c r="D68" s="207">
        <v>1636</v>
      </c>
      <c r="E68" s="207">
        <v>15</v>
      </c>
      <c r="F68" s="199">
        <v>11956.679999999988</v>
      </c>
      <c r="G68" s="199"/>
      <c r="H68" s="199">
        <v>360</v>
      </c>
      <c r="I68" s="199">
        <v>32024.250000000018</v>
      </c>
      <c r="J68" s="199">
        <v>312.09750000000003</v>
      </c>
      <c r="K68" s="199">
        <v>841</v>
      </c>
      <c r="L68" s="199">
        <v>12316.679999999988</v>
      </c>
      <c r="M68" s="199">
        <v>33177.347500000018</v>
      </c>
      <c r="N68" s="199">
        <v>33177.347500000018</v>
      </c>
      <c r="O68" s="199">
        <v>45494.027500000004</v>
      </c>
      <c r="P68" s="208">
        <v>2.9698195111849059E-3</v>
      </c>
    </row>
    <row r="69" spans="1:16" x14ac:dyDescent="0.25">
      <c r="A69" s="201" t="s">
        <v>285</v>
      </c>
      <c r="B69" s="209">
        <v>171</v>
      </c>
      <c r="C69" s="209"/>
      <c r="D69" s="209">
        <v>1636</v>
      </c>
      <c r="E69" s="209">
        <v>15</v>
      </c>
      <c r="F69" s="202">
        <v>11956.679999999988</v>
      </c>
      <c r="G69" s="202"/>
      <c r="H69" s="202">
        <v>360</v>
      </c>
      <c r="I69" s="202">
        <v>32024.249999999967</v>
      </c>
      <c r="J69" s="202">
        <v>312.09750000000003</v>
      </c>
      <c r="K69" s="202">
        <v>841</v>
      </c>
      <c r="L69" s="202">
        <v>12316.679999999988</v>
      </c>
      <c r="M69" s="202">
        <v>33177.347499999967</v>
      </c>
      <c r="N69" s="202">
        <v>33177.347499999967</v>
      </c>
      <c r="O69" s="202">
        <v>45494.027499999953</v>
      </c>
      <c r="P69" s="210">
        <v>2.9698195111849028E-3</v>
      </c>
    </row>
    <row r="70" spans="1:16" x14ac:dyDescent="0.25">
      <c r="A70" s="198" t="s">
        <v>43</v>
      </c>
      <c r="B70" s="207">
        <v>658</v>
      </c>
      <c r="C70" s="207">
        <v>443</v>
      </c>
      <c r="D70" s="207">
        <v>6451</v>
      </c>
      <c r="E70" s="207">
        <v>1956</v>
      </c>
      <c r="F70" s="199">
        <v>40355.090388000259</v>
      </c>
      <c r="G70" s="199">
        <v>5601.4963550000166</v>
      </c>
      <c r="H70" s="199">
        <v>612</v>
      </c>
      <c r="I70" s="199">
        <v>130646.03999999966</v>
      </c>
      <c r="J70" s="199">
        <v>36665.914999999848</v>
      </c>
      <c r="K70" s="199">
        <v>2727.5</v>
      </c>
      <c r="L70" s="199">
        <v>46568.586743000276</v>
      </c>
      <c r="M70" s="199">
        <v>170039.45499999949</v>
      </c>
      <c r="N70" s="199">
        <v>170039.45499999949</v>
      </c>
      <c r="O70" s="199">
        <v>216608.04174299978</v>
      </c>
      <c r="P70" s="208">
        <v>1.4140027251883014E-2</v>
      </c>
    </row>
    <row r="71" spans="1:16" x14ac:dyDescent="0.25">
      <c r="A71" s="201" t="s">
        <v>284</v>
      </c>
      <c r="B71" s="209">
        <v>658</v>
      </c>
      <c r="C71" s="209">
        <v>443</v>
      </c>
      <c r="D71" s="209">
        <v>6451</v>
      </c>
      <c r="E71" s="209">
        <v>1956</v>
      </c>
      <c r="F71" s="202">
        <v>40355.090388000259</v>
      </c>
      <c r="G71" s="202">
        <v>5601.4963550000166</v>
      </c>
      <c r="H71" s="202">
        <v>612</v>
      </c>
      <c r="I71" s="202">
        <v>130646.04000000075</v>
      </c>
      <c r="J71" s="202">
        <v>36665.914999999608</v>
      </c>
      <c r="K71" s="202">
        <v>2727.5</v>
      </c>
      <c r="L71" s="202">
        <v>46568.586743000276</v>
      </c>
      <c r="M71" s="202">
        <v>170039.45500000037</v>
      </c>
      <c r="N71" s="202">
        <v>170039.45500000037</v>
      </c>
      <c r="O71" s="202">
        <v>216608.04174300065</v>
      </c>
      <c r="P71" s="210">
        <v>1.4140027251883071E-2</v>
      </c>
    </row>
    <row r="72" spans="1:16" x14ac:dyDescent="0.25">
      <c r="A72" s="198" t="s">
        <v>149</v>
      </c>
      <c r="B72" s="207">
        <v>26</v>
      </c>
      <c r="C72" s="207">
        <v>21</v>
      </c>
      <c r="D72" s="207">
        <v>240</v>
      </c>
      <c r="E72" s="207">
        <v>124</v>
      </c>
      <c r="F72" s="199">
        <v>1082.5195679999995</v>
      </c>
      <c r="G72" s="199">
        <v>410.6701010000001</v>
      </c>
      <c r="H72" s="199"/>
      <c r="I72" s="199">
        <v>4621.5099999999984</v>
      </c>
      <c r="J72" s="199">
        <v>1874.8599999999997</v>
      </c>
      <c r="K72" s="199"/>
      <c r="L72" s="199">
        <v>1493.1896689999996</v>
      </c>
      <c r="M72" s="199">
        <v>6496.3699999999981</v>
      </c>
      <c r="N72" s="199">
        <v>6496.3699999999981</v>
      </c>
      <c r="O72" s="199">
        <v>7989.5596689999975</v>
      </c>
      <c r="P72" s="208">
        <v>5.215530805834284E-4</v>
      </c>
    </row>
    <row r="73" spans="1:16" x14ac:dyDescent="0.25">
      <c r="A73" s="201" t="s">
        <v>283</v>
      </c>
      <c r="B73" s="209">
        <v>26</v>
      </c>
      <c r="C73" s="209">
        <v>21</v>
      </c>
      <c r="D73" s="209">
        <v>240</v>
      </c>
      <c r="E73" s="209">
        <v>124</v>
      </c>
      <c r="F73" s="202">
        <v>1082.5195679999995</v>
      </c>
      <c r="G73" s="202">
        <v>410.6701010000001</v>
      </c>
      <c r="H73" s="202"/>
      <c r="I73" s="202">
        <v>4621.5099999999975</v>
      </c>
      <c r="J73" s="202">
        <v>1874.8599999999994</v>
      </c>
      <c r="K73" s="202"/>
      <c r="L73" s="202">
        <v>1493.1896689999996</v>
      </c>
      <c r="M73" s="202">
        <v>6496.3699999999972</v>
      </c>
      <c r="N73" s="202">
        <v>6496.3699999999972</v>
      </c>
      <c r="O73" s="202">
        <v>7989.5596689999966</v>
      </c>
      <c r="P73" s="210">
        <v>5.215530805834284E-4</v>
      </c>
    </row>
    <row r="74" spans="1:16" x14ac:dyDescent="0.25">
      <c r="A74" s="198" t="s">
        <v>496</v>
      </c>
      <c r="B74" s="207">
        <v>35</v>
      </c>
      <c r="C74" s="207">
        <v>1</v>
      </c>
      <c r="D74" s="207">
        <v>379</v>
      </c>
      <c r="E74" s="207">
        <v>2</v>
      </c>
      <c r="F74" s="199">
        <v>1501.5602700000002</v>
      </c>
      <c r="G74" s="199">
        <v>9.1259999999999994</v>
      </c>
      <c r="H74" s="199">
        <v>108</v>
      </c>
      <c r="I74" s="199">
        <v>7227.6700000000037</v>
      </c>
      <c r="J74" s="199">
        <v>30.420000000000005</v>
      </c>
      <c r="K74" s="199">
        <v>640</v>
      </c>
      <c r="L74" s="199">
        <v>1618.6862700000001</v>
      </c>
      <c r="M74" s="199">
        <v>7898.0900000000038</v>
      </c>
      <c r="N74" s="199">
        <v>7898.0900000000038</v>
      </c>
      <c r="O74" s="199">
        <v>9516.7762700000039</v>
      </c>
      <c r="P74" s="208">
        <v>6.2124875293196507E-4</v>
      </c>
    </row>
    <row r="75" spans="1:16" x14ac:dyDescent="0.25">
      <c r="A75" s="201" t="s">
        <v>282</v>
      </c>
      <c r="B75" s="209">
        <v>35</v>
      </c>
      <c r="C75" s="209">
        <v>1</v>
      </c>
      <c r="D75" s="209">
        <v>379</v>
      </c>
      <c r="E75" s="209">
        <v>2</v>
      </c>
      <c r="F75" s="202">
        <v>1501.5602700000002</v>
      </c>
      <c r="G75" s="202">
        <v>9.1259999999999994</v>
      </c>
      <c r="H75" s="202">
        <v>108</v>
      </c>
      <c r="I75" s="202">
        <v>7227.6700000000064</v>
      </c>
      <c r="J75" s="202">
        <v>30.420000000000005</v>
      </c>
      <c r="K75" s="202">
        <v>640</v>
      </c>
      <c r="L75" s="202">
        <v>1618.6862700000001</v>
      </c>
      <c r="M75" s="202">
        <v>7898.0900000000065</v>
      </c>
      <c r="N75" s="202">
        <v>7898.0900000000065</v>
      </c>
      <c r="O75" s="202">
        <v>9516.7762700000058</v>
      </c>
      <c r="P75" s="210">
        <v>6.2124875293196517E-4</v>
      </c>
    </row>
    <row r="76" spans="1:16" x14ac:dyDescent="0.25">
      <c r="A76" s="198" t="s">
        <v>46</v>
      </c>
      <c r="B76" s="207"/>
      <c r="C76" s="207">
        <v>12</v>
      </c>
      <c r="D76" s="207"/>
      <c r="E76" s="207">
        <v>47</v>
      </c>
      <c r="F76" s="199"/>
      <c r="G76" s="199">
        <v>136.18800000000002</v>
      </c>
      <c r="H76" s="199"/>
      <c r="I76" s="199"/>
      <c r="J76" s="199">
        <v>1084.4599999999998</v>
      </c>
      <c r="K76" s="199"/>
      <c r="L76" s="199">
        <v>136.18800000000002</v>
      </c>
      <c r="M76" s="199">
        <v>1084.4599999999998</v>
      </c>
      <c r="N76" s="199">
        <v>1084.4599999999998</v>
      </c>
      <c r="O76" s="199">
        <v>1220.6479999999999</v>
      </c>
      <c r="P76" s="208">
        <v>7.968308030518583E-5</v>
      </c>
    </row>
    <row r="77" spans="1:16" x14ac:dyDescent="0.25">
      <c r="A77" s="201" t="s">
        <v>281</v>
      </c>
      <c r="B77" s="209"/>
      <c r="C77" s="209">
        <v>12</v>
      </c>
      <c r="D77" s="209"/>
      <c r="E77" s="209">
        <v>47</v>
      </c>
      <c r="F77" s="202"/>
      <c r="G77" s="202">
        <v>136.18800000000002</v>
      </c>
      <c r="H77" s="202"/>
      <c r="I77" s="202"/>
      <c r="J77" s="202">
        <v>1084.4599999999998</v>
      </c>
      <c r="K77" s="202"/>
      <c r="L77" s="202">
        <v>136.18800000000002</v>
      </c>
      <c r="M77" s="202">
        <v>1084.4599999999998</v>
      </c>
      <c r="N77" s="202">
        <v>1084.4599999999998</v>
      </c>
      <c r="O77" s="202">
        <v>1220.6479999999999</v>
      </c>
      <c r="P77" s="210">
        <v>7.968308030518583E-5</v>
      </c>
    </row>
    <row r="78" spans="1:16" ht="24" x14ac:dyDescent="0.25">
      <c r="A78" s="198" t="s">
        <v>497</v>
      </c>
      <c r="B78" s="207"/>
      <c r="C78" s="207">
        <v>5</v>
      </c>
      <c r="D78" s="207"/>
      <c r="E78" s="207">
        <v>37</v>
      </c>
      <c r="F78" s="199"/>
      <c r="G78" s="199">
        <v>73.007999999999996</v>
      </c>
      <c r="H78" s="199"/>
      <c r="I78" s="199"/>
      <c r="J78" s="199">
        <v>562.76999999999987</v>
      </c>
      <c r="K78" s="199"/>
      <c r="L78" s="199">
        <v>73.007999999999996</v>
      </c>
      <c r="M78" s="199">
        <v>562.76999999999987</v>
      </c>
      <c r="N78" s="199">
        <v>562.76999999999987</v>
      </c>
      <c r="O78" s="199">
        <v>635.77799999999991</v>
      </c>
      <c r="P78" s="208">
        <v>4.1503160149584836E-5</v>
      </c>
    </row>
    <row r="79" spans="1:16" x14ac:dyDescent="0.25">
      <c r="A79" s="201" t="s">
        <v>280</v>
      </c>
      <c r="B79" s="209"/>
      <c r="C79" s="209">
        <v>5</v>
      </c>
      <c r="D79" s="209"/>
      <c r="E79" s="209">
        <v>37</v>
      </c>
      <c r="F79" s="202"/>
      <c r="G79" s="202">
        <v>73.007999999999996</v>
      </c>
      <c r="H79" s="202"/>
      <c r="I79" s="202"/>
      <c r="J79" s="202">
        <v>562.76999999999964</v>
      </c>
      <c r="K79" s="202"/>
      <c r="L79" s="202">
        <v>73.007999999999996</v>
      </c>
      <c r="M79" s="202">
        <v>562.76999999999964</v>
      </c>
      <c r="N79" s="202">
        <v>562.76999999999964</v>
      </c>
      <c r="O79" s="202">
        <v>635.77799999999968</v>
      </c>
      <c r="P79" s="210">
        <v>4.1503160149584822E-5</v>
      </c>
    </row>
    <row r="80" spans="1:16" x14ac:dyDescent="0.25">
      <c r="A80" s="198" t="s">
        <v>48</v>
      </c>
      <c r="B80" s="207">
        <v>22</v>
      </c>
      <c r="C80" s="207"/>
      <c r="D80" s="207">
        <v>127</v>
      </c>
      <c r="E80" s="207"/>
      <c r="F80" s="199">
        <v>712.62016200000005</v>
      </c>
      <c r="G80" s="199"/>
      <c r="H80" s="199"/>
      <c r="I80" s="199">
        <v>3757.5100000000011</v>
      </c>
      <c r="J80" s="199"/>
      <c r="K80" s="199"/>
      <c r="L80" s="199">
        <v>712.62016200000005</v>
      </c>
      <c r="M80" s="199">
        <v>3757.5100000000011</v>
      </c>
      <c r="N80" s="199">
        <v>3757.5100000000011</v>
      </c>
      <c r="O80" s="199">
        <v>4470.1301620000013</v>
      </c>
      <c r="P80" s="208">
        <v>2.918070899008391E-4</v>
      </c>
    </row>
    <row r="81" spans="1:16" x14ac:dyDescent="0.25">
      <c r="A81" s="201" t="s">
        <v>278</v>
      </c>
      <c r="B81" s="209">
        <v>22</v>
      </c>
      <c r="C81" s="209"/>
      <c r="D81" s="209">
        <v>127</v>
      </c>
      <c r="E81" s="209"/>
      <c r="F81" s="202">
        <v>712.62016200000005</v>
      </c>
      <c r="G81" s="202"/>
      <c r="H81" s="202"/>
      <c r="I81" s="202">
        <v>3757.5100000000016</v>
      </c>
      <c r="J81" s="202"/>
      <c r="K81" s="202"/>
      <c r="L81" s="202">
        <v>712.62016200000005</v>
      </c>
      <c r="M81" s="202">
        <v>3757.5100000000016</v>
      </c>
      <c r="N81" s="202">
        <v>3757.5100000000016</v>
      </c>
      <c r="O81" s="202">
        <v>4470.1301620000013</v>
      </c>
      <c r="P81" s="210">
        <v>2.918070899008391E-4</v>
      </c>
    </row>
    <row r="82" spans="1:16" x14ac:dyDescent="0.25">
      <c r="A82" s="198" t="s">
        <v>49</v>
      </c>
      <c r="B82" s="207">
        <v>541</v>
      </c>
      <c r="C82" s="207">
        <v>239</v>
      </c>
      <c r="D82" s="207">
        <v>5229</v>
      </c>
      <c r="E82" s="207">
        <v>1043</v>
      </c>
      <c r="F82" s="199">
        <v>32050.079892000205</v>
      </c>
      <c r="G82" s="199">
        <v>3941.143024999998</v>
      </c>
      <c r="H82" s="199">
        <v>972</v>
      </c>
      <c r="I82" s="199">
        <v>106849.96999999965</v>
      </c>
      <c r="J82" s="199">
        <v>23856.592500000024</v>
      </c>
      <c r="K82" s="199">
        <v>5367</v>
      </c>
      <c r="L82" s="199">
        <v>36963.222917000203</v>
      </c>
      <c r="M82" s="199">
        <v>136073.56249999968</v>
      </c>
      <c r="N82" s="199">
        <v>136073.56249999968</v>
      </c>
      <c r="O82" s="199">
        <v>173036.78541699989</v>
      </c>
      <c r="P82" s="208">
        <v>1.129572494948094E-2</v>
      </c>
    </row>
    <row r="83" spans="1:16" x14ac:dyDescent="0.25">
      <c r="A83" s="201" t="s">
        <v>277</v>
      </c>
      <c r="B83" s="209">
        <v>541</v>
      </c>
      <c r="C83" s="209">
        <v>239</v>
      </c>
      <c r="D83" s="209">
        <v>5229</v>
      </c>
      <c r="E83" s="209">
        <v>1043</v>
      </c>
      <c r="F83" s="202">
        <v>32050.079892000205</v>
      </c>
      <c r="G83" s="202">
        <v>3941.143024999998</v>
      </c>
      <c r="H83" s="202">
        <v>972</v>
      </c>
      <c r="I83" s="202">
        <v>106849.96999999996</v>
      </c>
      <c r="J83" s="202">
        <v>23856.592499999992</v>
      </c>
      <c r="K83" s="202">
        <v>5367</v>
      </c>
      <c r="L83" s="202">
        <v>36963.222917000203</v>
      </c>
      <c r="M83" s="202">
        <v>136073.56249999994</v>
      </c>
      <c r="N83" s="202">
        <v>136073.56249999994</v>
      </c>
      <c r="O83" s="202">
        <v>173036.78541700015</v>
      </c>
      <c r="P83" s="210">
        <v>1.1295724949480957E-2</v>
      </c>
    </row>
    <row r="84" spans="1:16" ht="24" x14ac:dyDescent="0.25">
      <c r="A84" s="198" t="s">
        <v>435</v>
      </c>
      <c r="B84" s="207">
        <v>14</v>
      </c>
      <c r="C84" s="207"/>
      <c r="D84" s="207">
        <v>185</v>
      </c>
      <c r="E84" s="207"/>
      <c r="F84" s="199">
        <v>840.95978399999967</v>
      </c>
      <c r="G84" s="199"/>
      <c r="H84" s="199"/>
      <c r="I84" s="199">
        <v>3664.5400000000004</v>
      </c>
      <c r="J84" s="199"/>
      <c r="K84" s="199"/>
      <c r="L84" s="199">
        <v>840.95978399999967</v>
      </c>
      <c r="M84" s="199">
        <v>3664.5400000000004</v>
      </c>
      <c r="N84" s="199">
        <v>3664.5400000000004</v>
      </c>
      <c r="O84" s="199">
        <v>4505.4997839999996</v>
      </c>
      <c r="P84" s="208">
        <v>2.941159950317122E-4</v>
      </c>
    </row>
    <row r="85" spans="1:16" x14ac:dyDescent="0.25">
      <c r="A85" s="201" t="s">
        <v>267</v>
      </c>
      <c r="B85" s="209">
        <v>14</v>
      </c>
      <c r="C85" s="209"/>
      <c r="D85" s="209">
        <v>185</v>
      </c>
      <c r="E85" s="209"/>
      <c r="F85" s="202">
        <v>840.95978399999967</v>
      </c>
      <c r="G85" s="202"/>
      <c r="H85" s="202"/>
      <c r="I85" s="202">
        <v>3664.5400000000013</v>
      </c>
      <c r="J85" s="202"/>
      <c r="K85" s="202"/>
      <c r="L85" s="202">
        <v>840.95978399999967</v>
      </c>
      <c r="M85" s="202">
        <v>3664.5400000000013</v>
      </c>
      <c r="N85" s="202">
        <v>3664.5400000000013</v>
      </c>
      <c r="O85" s="202">
        <v>4505.4997840000015</v>
      </c>
      <c r="P85" s="210">
        <v>2.9411599503171231E-4</v>
      </c>
    </row>
    <row r="86" spans="1:16" x14ac:dyDescent="0.25">
      <c r="A86" s="198" t="s">
        <v>51</v>
      </c>
      <c r="B86" s="207">
        <v>799</v>
      </c>
      <c r="C86" s="207">
        <v>271</v>
      </c>
      <c r="D86" s="207">
        <v>7793</v>
      </c>
      <c r="E86" s="207">
        <v>1029</v>
      </c>
      <c r="F86" s="199">
        <v>49740.655626000029</v>
      </c>
      <c r="G86" s="199">
        <v>3437.6909059999903</v>
      </c>
      <c r="H86" s="199">
        <v>2052</v>
      </c>
      <c r="I86" s="199">
        <v>164235.80999999962</v>
      </c>
      <c r="J86" s="199">
        <v>24561.192499999983</v>
      </c>
      <c r="K86" s="199">
        <v>11386.75</v>
      </c>
      <c r="L86" s="199">
        <v>55230.346532000018</v>
      </c>
      <c r="M86" s="199">
        <v>200183.75249999959</v>
      </c>
      <c r="N86" s="199">
        <v>200183.75249999959</v>
      </c>
      <c r="O86" s="199">
        <v>255414.09903199962</v>
      </c>
      <c r="P86" s="208">
        <v>1.6673260566718261E-2</v>
      </c>
    </row>
    <row r="87" spans="1:16" x14ac:dyDescent="0.25">
      <c r="A87" s="201" t="s">
        <v>266</v>
      </c>
      <c r="B87" s="209">
        <v>799</v>
      </c>
      <c r="C87" s="209">
        <v>271</v>
      </c>
      <c r="D87" s="209">
        <v>7793</v>
      </c>
      <c r="E87" s="209">
        <v>1029</v>
      </c>
      <c r="F87" s="202">
        <v>49740.655626000029</v>
      </c>
      <c r="G87" s="202">
        <v>3437.6909059999903</v>
      </c>
      <c r="H87" s="202">
        <v>2052</v>
      </c>
      <c r="I87" s="202">
        <v>164235.81000000049</v>
      </c>
      <c r="J87" s="202">
        <v>24561.192499999881</v>
      </c>
      <c r="K87" s="202">
        <v>11386.75</v>
      </c>
      <c r="L87" s="202">
        <v>55230.346532000018</v>
      </c>
      <c r="M87" s="202">
        <v>200183.75250000038</v>
      </c>
      <c r="N87" s="202">
        <v>200183.75250000038</v>
      </c>
      <c r="O87" s="202">
        <v>255414.09903200041</v>
      </c>
      <c r="P87" s="210">
        <v>1.6673260566718313E-2</v>
      </c>
    </row>
    <row r="88" spans="1:16" x14ac:dyDescent="0.25">
      <c r="A88" s="198" t="s">
        <v>52</v>
      </c>
      <c r="B88" s="207">
        <v>1650</v>
      </c>
      <c r="C88" s="207">
        <v>575</v>
      </c>
      <c r="D88" s="207">
        <v>18025</v>
      </c>
      <c r="E88" s="207">
        <v>2434</v>
      </c>
      <c r="F88" s="199">
        <v>92168.815625999807</v>
      </c>
      <c r="G88" s="199">
        <v>9517.601031999975</v>
      </c>
      <c r="H88" s="199">
        <v>3960</v>
      </c>
      <c r="I88" s="199">
        <v>344762.81500000088</v>
      </c>
      <c r="J88" s="199">
        <v>55098.874999999978</v>
      </c>
      <c r="K88" s="199">
        <v>17475</v>
      </c>
      <c r="L88" s="199">
        <v>105646.41665799978</v>
      </c>
      <c r="M88" s="199">
        <v>417336.69000000088</v>
      </c>
      <c r="N88" s="199">
        <v>417336.69000000088</v>
      </c>
      <c r="O88" s="199">
        <v>522983.10665800067</v>
      </c>
      <c r="P88" s="208">
        <v>3.4139985389797088E-2</v>
      </c>
    </row>
    <row r="89" spans="1:16" x14ac:dyDescent="0.25">
      <c r="A89" s="201" t="s">
        <v>260</v>
      </c>
      <c r="B89" s="209">
        <v>1650</v>
      </c>
      <c r="C89" s="209">
        <v>575</v>
      </c>
      <c r="D89" s="209">
        <v>18025</v>
      </c>
      <c r="E89" s="209">
        <v>2434</v>
      </c>
      <c r="F89" s="202">
        <v>92168.815625999807</v>
      </c>
      <c r="G89" s="202">
        <v>9517.601031999975</v>
      </c>
      <c r="H89" s="202">
        <v>3960</v>
      </c>
      <c r="I89" s="202">
        <v>344762.81499999511</v>
      </c>
      <c r="J89" s="202">
        <v>55098.874999999789</v>
      </c>
      <c r="K89" s="202">
        <v>17475</v>
      </c>
      <c r="L89" s="202">
        <v>105646.41665799978</v>
      </c>
      <c r="M89" s="202">
        <v>417336.68999999488</v>
      </c>
      <c r="N89" s="202">
        <v>417336.68999999488</v>
      </c>
      <c r="O89" s="202">
        <v>522983.10665799468</v>
      </c>
      <c r="P89" s="210">
        <v>3.41399853897967E-2</v>
      </c>
    </row>
    <row r="90" spans="1:16" x14ac:dyDescent="0.25">
      <c r="A90" s="198" t="s">
        <v>53</v>
      </c>
      <c r="B90" s="207"/>
      <c r="C90" s="207">
        <v>166</v>
      </c>
      <c r="D90" s="207"/>
      <c r="E90" s="207">
        <v>519</v>
      </c>
      <c r="F90" s="199"/>
      <c r="G90" s="199">
        <v>1952.9654579999933</v>
      </c>
      <c r="H90" s="199"/>
      <c r="I90" s="199"/>
      <c r="J90" s="199">
        <v>13470.990000000002</v>
      </c>
      <c r="K90" s="199"/>
      <c r="L90" s="199">
        <v>1952.9654579999933</v>
      </c>
      <c r="M90" s="199">
        <v>13470.990000000002</v>
      </c>
      <c r="N90" s="199">
        <v>13470.990000000002</v>
      </c>
      <c r="O90" s="199">
        <v>15423.955457999995</v>
      </c>
      <c r="P90" s="208">
        <v>1.0068654365414295E-3</v>
      </c>
    </row>
    <row r="91" spans="1:16" x14ac:dyDescent="0.25">
      <c r="A91" s="201" t="s">
        <v>276</v>
      </c>
      <c r="B91" s="209"/>
      <c r="C91" s="209">
        <v>166</v>
      </c>
      <c r="D91" s="209"/>
      <c r="E91" s="209">
        <v>519</v>
      </c>
      <c r="F91" s="202"/>
      <c r="G91" s="202">
        <v>1952.9654579999933</v>
      </c>
      <c r="H91" s="202"/>
      <c r="I91" s="202"/>
      <c r="J91" s="202">
        <v>13470.989999999965</v>
      </c>
      <c r="K91" s="202"/>
      <c r="L91" s="202">
        <v>1952.9654579999933</v>
      </c>
      <c r="M91" s="202">
        <v>13470.989999999965</v>
      </c>
      <c r="N91" s="202">
        <v>13470.989999999965</v>
      </c>
      <c r="O91" s="202">
        <v>15423.955457999959</v>
      </c>
      <c r="P91" s="210">
        <v>1.0068654365414272E-3</v>
      </c>
    </row>
    <row r="92" spans="1:16" x14ac:dyDescent="0.25">
      <c r="A92" s="198" t="s">
        <v>54</v>
      </c>
      <c r="B92" s="207">
        <v>142</v>
      </c>
      <c r="C92" s="207"/>
      <c r="D92" s="207">
        <v>1589</v>
      </c>
      <c r="E92" s="207"/>
      <c r="F92" s="199">
        <v>9008.0992440000027</v>
      </c>
      <c r="G92" s="199"/>
      <c r="H92" s="199">
        <v>33726.240000000063</v>
      </c>
      <c r="I92" s="199">
        <v>28084.430000000022</v>
      </c>
      <c r="J92" s="199"/>
      <c r="K92" s="199">
        <v>94997.450000000317</v>
      </c>
      <c r="L92" s="199">
        <v>42734.339244000068</v>
      </c>
      <c r="M92" s="199">
        <v>123081.88000000034</v>
      </c>
      <c r="N92" s="199">
        <v>123081.88000000034</v>
      </c>
      <c r="O92" s="199">
        <v>165816.21924400041</v>
      </c>
      <c r="P92" s="208">
        <v>1.0824371247011412E-2</v>
      </c>
    </row>
    <row r="93" spans="1:16" x14ac:dyDescent="0.25">
      <c r="A93" s="201" t="s">
        <v>275</v>
      </c>
      <c r="B93" s="209">
        <v>142</v>
      </c>
      <c r="C93" s="209"/>
      <c r="D93" s="209">
        <v>1589</v>
      </c>
      <c r="E93" s="209"/>
      <c r="F93" s="202">
        <v>9008.0992440000027</v>
      </c>
      <c r="G93" s="202"/>
      <c r="H93" s="202">
        <v>33726.240000000063</v>
      </c>
      <c r="I93" s="202">
        <v>28084.430000000022</v>
      </c>
      <c r="J93" s="202"/>
      <c r="K93" s="202">
        <v>94997.449999999866</v>
      </c>
      <c r="L93" s="202">
        <v>42734.339244000068</v>
      </c>
      <c r="M93" s="202">
        <v>123081.87999999989</v>
      </c>
      <c r="N93" s="202">
        <v>123081.87999999989</v>
      </c>
      <c r="O93" s="202">
        <v>165816.21924399995</v>
      </c>
      <c r="P93" s="210">
        <v>1.0824371247011381E-2</v>
      </c>
    </row>
    <row r="94" spans="1:16" x14ac:dyDescent="0.25">
      <c r="A94" s="198" t="s">
        <v>55</v>
      </c>
      <c r="B94" s="207">
        <v>487</v>
      </c>
      <c r="C94" s="207">
        <v>298</v>
      </c>
      <c r="D94" s="207">
        <v>4573</v>
      </c>
      <c r="E94" s="207">
        <v>1114</v>
      </c>
      <c r="F94" s="199">
        <v>20445.652331999849</v>
      </c>
      <c r="G94" s="199">
        <v>3617.8756260000168</v>
      </c>
      <c r="H94" s="199">
        <v>1944</v>
      </c>
      <c r="I94" s="199">
        <v>91212.610000000044</v>
      </c>
      <c r="J94" s="199">
        <v>23671.374999999975</v>
      </c>
      <c r="K94" s="199">
        <v>6336.5</v>
      </c>
      <c r="L94" s="199">
        <v>26007.527957999864</v>
      </c>
      <c r="M94" s="199">
        <v>121220.48500000002</v>
      </c>
      <c r="N94" s="199">
        <v>121220.48500000002</v>
      </c>
      <c r="O94" s="199">
        <v>147228.01295799989</v>
      </c>
      <c r="P94" s="208">
        <v>9.6109456450223542E-3</v>
      </c>
    </row>
    <row r="95" spans="1:16" x14ac:dyDescent="0.25">
      <c r="A95" s="201" t="s">
        <v>274</v>
      </c>
      <c r="B95" s="209">
        <v>487</v>
      </c>
      <c r="C95" s="209">
        <v>298</v>
      </c>
      <c r="D95" s="209">
        <v>4573</v>
      </c>
      <c r="E95" s="209">
        <v>1114</v>
      </c>
      <c r="F95" s="202">
        <v>20445.652331999849</v>
      </c>
      <c r="G95" s="202">
        <v>3617.8756260000168</v>
      </c>
      <c r="H95" s="202">
        <v>1944</v>
      </c>
      <c r="I95" s="202">
        <v>91212.610000000321</v>
      </c>
      <c r="J95" s="202">
        <v>23671.374999999975</v>
      </c>
      <c r="K95" s="202">
        <v>6336.5</v>
      </c>
      <c r="L95" s="202">
        <v>26007.527957999864</v>
      </c>
      <c r="M95" s="202">
        <v>121220.48500000029</v>
      </c>
      <c r="N95" s="202">
        <v>121220.48500000029</v>
      </c>
      <c r="O95" s="202">
        <v>147228.01295800015</v>
      </c>
      <c r="P95" s="210">
        <v>9.6109456450223715E-3</v>
      </c>
    </row>
    <row r="96" spans="1:16" x14ac:dyDescent="0.25">
      <c r="A96" s="198" t="s">
        <v>438</v>
      </c>
      <c r="B96" s="207"/>
      <c r="C96" s="207">
        <v>9</v>
      </c>
      <c r="D96" s="207"/>
      <c r="E96" s="207">
        <v>18</v>
      </c>
      <c r="F96" s="199"/>
      <c r="G96" s="199">
        <v>136.88989199999997</v>
      </c>
      <c r="H96" s="199"/>
      <c r="I96" s="199"/>
      <c r="J96" s="199">
        <v>684.44999999999993</v>
      </c>
      <c r="K96" s="199"/>
      <c r="L96" s="199">
        <v>136.88989199999997</v>
      </c>
      <c r="M96" s="199">
        <v>684.44999999999993</v>
      </c>
      <c r="N96" s="199">
        <v>304.19969579999997</v>
      </c>
      <c r="O96" s="199">
        <v>441.08958779999995</v>
      </c>
      <c r="P96" s="208">
        <v>2.8794031568845986E-5</v>
      </c>
    </row>
    <row r="97" spans="1:16" x14ac:dyDescent="0.25">
      <c r="A97" s="201" t="s">
        <v>196</v>
      </c>
      <c r="B97" s="209"/>
      <c r="C97" s="209">
        <v>9</v>
      </c>
      <c r="D97" s="209"/>
      <c r="E97" s="209">
        <v>18</v>
      </c>
      <c r="F97" s="202"/>
      <c r="G97" s="202">
        <v>136.88989199999997</v>
      </c>
      <c r="H97" s="202"/>
      <c r="I97" s="202"/>
      <c r="J97" s="202">
        <v>684.44999999999993</v>
      </c>
      <c r="K97" s="202"/>
      <c r="L97" s="202">
        <v>136.88989199999997</v>
      </c>
      <c r="M97" s="202">
        <v>684.44999999999993</v>
      </c>
      <c r="N97" s="202">
        <v>304.19969579999997</v>
      </c>
      <c r="O97" s="202">
        <v>441.08958779999995</v>
      </c>
      <c r="P97" s="210">
        <v>2.8794031568845986E-5</v>
      </c>
    </row>
    <row r="98" spans="1:16" ht="24" x14ac:dyDescent="0.25">
      <c r="A98" s="198" t="s">
        <v>56</v>
      </c>
      <c r="B98" s="207"/>
      <c r="C98" s="207">
        <v>12</v>
      </c>
      <c r="D98" s="207"/>
      <c r="E98" s="207">
        <v>74</v>
      </c>
      <c r="F98" s="199"/>
      <c r="G98" s="199">
        <v>327.83410800000007</v>
      </c>
      <c r="H98" s="199"/>
      <c r="I98" s="199"/>
      <c r="J98" s="199">
        <v>1212.835</v>
      </c>
      <c r="K98" s="199">
        <v>15</v>
      </c>
      <c r="L98" s="199">
        <v>327.83410800000007</v>
      </c>
      <c r="M98" s="199">
        <v>1227.835</v>
      </c>
      <c r="N98" s="199">
        <v>1227.835</v>
      </c>
      <c r="O98" s="199">
        <v>1555.6691080000001</v>
      </c>
      <c r="P98" s="208">
        <v>1.0155303286538037E-4</v>
      </c>
    </row>
    <row r="99" spans="1:16" x14ac:dyDescent="0.25">
      <c r="A99" s="201" t="s">
        <v>273</v>
      </c>
      <c r="B99" s="209"/>
      <c r="C99" s="209">
        <v>12</v>
      </c>
      <c r="D99" s="209"/>
      <c r="E99" s="209">
        <v>74</v>
      </c>
      <c r="F99" s="202"/>
      <c r="G99" s="202">
        <v>327.83410800000007</v>
      </c>
      <c r="H99" s="202"/>
      <c r="I99" s="202"/>
      <c r="J99" s="202">
        <v>1212.835</v>
      </c>
      <c r="K99" s="202">
        <v>15</v>
      </c>
      <c r="L99" s="202">
        <v>327.83410800000007</v>
      </c>
      <c r="M99" s="202">
        <v>1227.835</v>
      </c>
      <c r="N99" s="202">
        <v>1227.835</v>
      </c>
      <c r="O99" s="202">
        <v>1555.6691080000001</v>
      </c>
      <c r="P99" s="210">
        <v>1.0155303286538037E-4</v>
      </c>
    </row>
    <row r="100" spans="1:16" x14ac:dyDescent="0.25">
      <c r="A100" s="198" t="s">
        <v>492</v>
      </c>
      <c r="B100" s="207">
        <v>83</v>
      </c>
      <c r="C100" s="207">
        <v>53</v>
      </c>
      <c r="D100" s="207">
        <v>832</v>
      </c>
      <c r="E100" s="207">
        <v>164</v>
      </c>
      <c r="F100" s="199">
        <v>7463.5199459999922</v>
      </c>
      <c r="G100" s="199">
        <v>1003.8601400000009</v>
      </c>
      <c r="H100" s="199"/>
      <c r="I100" s="199">
        <v>19820.23000000004</v>
      </c>
      <c r="J100" s="199">
        <v>4197.7650000000021</v>
      </c>
      <c r="K100" s="199">
        <v>70</v>
      </c>
      <c r="L100" s="199">
        <v>8467.3800859999938</v>
      </c>
      <c r="M100" s="199">
        <v>24087.995000000043</v>
      </c>
      <c r="N100" s="199">
        <v>24087.995000000043</v>
      </c>
      <c r="O100" s="199">
        <v>32555.375086000036</v>
      </c>
      <c r="P100" s="208">
        <v>2.1251929854824545E-3</v>
      </c>
    </row>
    <row r="101" spans="1:16" x14ac:dyDescent="0.25">
      <c r="A101" s="201" t="s">
        <v>490</v>
      </c>
      <c r="B101" s="209">
        <v>83</v>
      </c>
      <c r="C101" s="209">
        <v>53</v>
      </c>
      <c r="D101" s="209">
        <v>832</v>
      </c>
      <c r="E101" s="209">
        <v>164</v>
      </c>
      <c r="F101" s="202">
        <v>7463.5199459999922</v>
      </c>
      <c r="G101" s="202">
        <v>1003.8601400000009</v>
      </c>
      <c r="H101" s="202"/>
      <c r="I101" s="202">
        <v>19820.230000000014</v>
      </c>
      <c r="J101" s="202">
        <v>4197.7650000000067</v>
      </c>
      <c r="K101" s="202">
        <v>70</v>
      </c>
      <c r="L101" s="202">
        <v>8467.3800859999938</v>
      </c>
      <c r="M101" s="202">
        <v>24087.995000000021</v>
      </c>
      <c r="N101" s="202">
        <v>24087.995000000021</v>
      </c>
      <c r="O101" s="202">
        <v>32555.375086000015</v>
      </c>
      <c r="P101" s="210">
        <v>2.1251929854824532E-3</v>
      </c>
    </row>
    <row r="102" spans="1:16" x14ac:dyDescent="0.25">
      <c r="A102" s="198" t="s">
        <v>129</v>
      </c>
      <c r="B102" s="207"/>
      <c r="C102" s="207">
        <v>12</v>
      </c>
      <c r="D102" s="207"/>
      <c r="E102" s="207">
        <v>29</v>
      </c>
      <c r="F102" s="199"/>
      <c r="G102" s="199">
        <v>109.51200000000001</v>
      </c>
      <c r="H102" s="199"/>
      <c r="I102" s="199"/>
      <c r="J102" s="199">
        <v>790.92</v>
      </c>
      <c r="K102" s="199"/>
      <c r="L102" s="199">
        <v>109.51200000000001</v>
      </c>
      <c r="M102" s="199">
        <v>790.92</v>
      </c>
      <c r="N102" s="199">
        <v>790.92</v>
      </c>
      <c r="O102" s="199">
        <v>900.43200000000002</v>
      </c>
      <c r="P102" s="208">
        <v>5.8779595235775668E-5</v>
      </c>
    </row>
    <row r="103" spans="1:16" x14ac:dyDescent="0.25">
      <c r="A103" s="201" t="s">
        <v>272</v>
      </c>
      <c r="B103" s="209"/>
      <c r="C103" s="209">
        <v>12</v>
      </c>
      <c r="D103" s="209"/>
      <c r="E103" s="209">
        <v>29</v>
      </c>
      <c r="F103" s="202"/>
      <c r="G103" s="202">
        <v>109.51200000000001</v>
      </c>
      <c r="H103" s="202"/>
      <c r="I103" s="202"/>
      <c r="J103" s="202">
        <v>790.92</v>
      </c>
      <c r="K103" s="202"/>
      <c r="L103" s="202">
        <v>109.51200000000001</v>
      </c>
      <c r="M103" s="202">
        <v>790.92</v>
      </c>
      <c r="N103" s="202">
        <v>790.92</v>
      </c>
      <c r="O103" s="202">
        <v>900.43200000000002</v>
      </c>
      <c r="P103" s="210">
        <v>5.8779595235775668E-5</v>
      </c>
    </row>
    <row r="104" spans="1:16" x14ac:dyDescent="0.25">
      <c r="A104" s="198" t="s">
        <v>57</v>
      </c>
      <c r="B104" s="207">
        <v>41</v>
      </c>
      <c r="C104" s="207"/>
      <c r="D104" s="207">
        <v>419</v>
      </c>
      <c r="E104" s="207"/>
      <c r="F104" s="199">
        <v>1553.9408640000006</v>
      </c>
      <c r="G104" s="199"/>
      <c r="H104" s="199">
        <v>36</v>
      </c>
      <c r="I104" s="199">
        <v>7984.6600000000017</v>
      </c>
      <c r="J104" s="199"/>
      <c r="K104" s="199">
        <v>139.5</v>
      </c>
      <c r="L104" s="199">
        <v>1589.9408640000006</v>
      </c>
      <c r="M104" s="199">
        <v>8124.1600000000017</v>
      </c>
      <c r="N104" s="199">
        <v>8124.1600000000017</v>
      </c>
      <c r="O104" s="199">
        <v>9714.1008640000018</v>
      </c>
      <c r="P104" s="208">
        <v>6.3412996968723761E-4</v>
      </c>
    </row>
    <row r="105" spans="1:16" x14ac:dyDescent="0.25">
      <c r="A105" s="201" t="s">
        <v>271</v>
      </c>
      <c r="B105" s="209">
        <v>41</v>
      </c>
      <c r="C105" s="209"/>
      <c r="D105" s="209">
        <v>419</v>
      </c>
      <c r="E105" s="209"/>
      <c r="F105" s="202">
        <v>1553.9408640000006</v>
      </c>
      <c r="G105" s="202"/>
      <c r="H105" s="202">
        <v>36</v>
      </c>
      <c r="I105" s="202">
        <v>7984.6599999999971</v>
      </c>
      <c r="J105" s="202"/>
      <c r="K105" s="202">
        <v>139.5</v>
      </c>
      <c r="L105" s="202">
        <v>1589.9408640000006</v>
      </c>
      <c r="M105" s="202">
        <v>8124.1599999999971</v>
      </c>
      <c r="N105" s="202">
        <v>8124.1599999999971</v>
      </c>
      <c r="O105" s="202">
        <v>9714.1008639999982</v>
      </c>
      <c r="P105" s="210">
        <v>6.3412996968723739E-4</v>
      </c>
    </row>
    <row r="106" spans="1:16" x14ac:dyDescent="0.25">
      <c r="A106" s="198" t="s">
        <v>58</v>
      </c>
      <c r="B106" s="207">
        <v>502</v>
      </c>
      <c r="C106" s="207">
        <v>128</v>
      </c>
      <c r="D106" s="207">
        <v>5981</v>
      </c>
      <c r="E106" s="207">
        <v>607</v>
      </c>
      <c r="F106" s="199">
        <v>31695.837785999956</v>
      </c>
      <c r="G106" s="199">
        <v>1694.9790000000021</v>
      </c>
      <c r="H106" s="199">
        <v>2376</v>
      </c>
      <c r="I106" s="199">
        <v>115215.63</v>
      </c>
      <c r="J106" s="199">
        <v>11775.237499999997</v>
      </c>
      <c r="K106" s="199">
        <v>12810.75</v>
      </c>
      <c r="L106" s="199">
        <v>35766.816785999959</v>
      </c>
      <c r="M106" s="199">
        <v>139801.61749999999</v>
      </c>
      <c r="N106" s="199">
        <v>139801.61749999999</v>
      </c>
      <c r="O106" s="199">
        <v>175568.43428599995</v>
      </c>
      <c r="P106" s="208">
        <v>1.1460989284598898E-2</v>
      </c>
    </row>
    <row r="107" spans="1:16" x14ac:dyDescent="0.25">
      <c r="A107" s="201" t="s">
        <v>270</v>
      </c>
      <c r="B107" s="209">
        <v>502</v>
      </c>
      <c r="C107" s="209">
        <v>128</v>
      </c>
      <c r="D107" s="209">
        <v>5981</v>
      </c>
      <c r="E107" s="209">
        <v>607</v>
      </c>
      <c r="F107" s="202">
        <v>31695.837785999956</v>
      </c>
      <c r="G107" s="202">
        <v>1694.9790000000021</v>
      </c>
      <c r="H107" s="202">
        <v>2376</v>
      </c>
      <c r="I107" s="202">
        <v>115215.63000000078</v>
      </c>
      <c r="J107" s="202">
        <v>11775.237500000007</v>
      </c>
      <c r="K107" s="202">
        <v>12810.75</v>
      </c>
      <c r="L107" s="202">
        <v>35766.816785999959</v>
      </c>
      <c r="M107" s="202">
        <v>139801.61750000078</v>
      </c>
      <c r="N107" s="202">
        <v>139801.61750000078</v>
      </c>
      <c r="O107" s="202">
        <v>175568.43428600073</v>
      </c>
      <c r="P107" s="210">
        <v>1.146098928459895E-2</v>
      </c>
    </row>
    <row r="108" spans="1:16" x14ac:dyDescent="0.25">
      <c r="A108" s="198" t="s">
        <v>59</v>
      </c>
      <c r="B108" s="207">
        <v>1330</v>
      </c>
      <c r="C108" s="207">
        <v>840</v>
      </c>
      <c r="D108" s="207">
        <v>14088</v>
      </c>
      <c r="E108" s="207">
        <v>2870</v>
      </c>
      <c r="F108" s="199">
        <v>74807.647451999685</v>
      </c>
      <c r="G108" s="199">
        <v>10718.496949999952</v>
      </c>
      <c r="H108" s="199">
        <v>8349.1199999999972</v>
      </c>
      <c r="I108" s="199">
        <v>276612.7499999982</v>
      </c>
      <c r="J108" s="199">
        <v>74602.027499999647</v>
      </c>
      <c r="K108" s="199">
        <v>20044.369999999992</v>
      </c>
      <c r="L108" s="199">
        <v>93875.264401999637</v>
      </c>
      <c r="M108" s="199">
        <v>371259.14749999787</v>
      </c>
      <c r="N108" s="199">
        <v>371259.14749999787</v>
      </c>
      <c r="O108" s="199">
        <v>465134.41190199752</v>
      </c>
      <c r="P108" s="208">
        <v>3.0363661511174603E-2</v>
      </c>
    </row>
    <row r="109" spans="1:16" x14ac:dyDescent="0.25">
      <c r="A109" s="201" t="s">
        <v>269</v>
      </c>
      <c r="B109" s="209">
        <v>1330</v>
      </c>
      <c r="C109" s="209">
        <v>840</v>
      </c>
      <c r="D109" s="209">
        <v>14088</v>
      </c>
      <c r="E109" s="209">
        <v>2870</v>
      </c>
      <c r="F109" s="202">
        <v>74807.647451999685</v>
      </c>
      <c r="G109" s="202">
        <v>10718.496949999952</v>
      </c>
      <c r="H109" s="202">
        <v>8349.1199999999972</v>
      </c>
      <c r="I109" s="202">
        <v>276612.74999999366</v>
      </c>
      <c r="J109" s="202">
        <v>74602.027500000084</v>
      </c>
      <c r="K109" s="202">
        <v>20044.369999999995</v>
      </c>
      <c r="L109" s="202">
        <v>93875.264401999637</v>
      </c>
      <c r="M109" s="202">
        <v>371259.14749999373</v>
      </c>
      <c r="N109" s="202">
        <v>371259.14749999373</v>
      </c>
      <c r="O109" s="202">
        <v>465134.41190199339</v>
      </c>
      <c r="P109" s="210">
        <v>3.0363661511174332E-2</v>
      </c>
    </row>
    <row r="110" spans="1:16" x14ac:dyDescent="0.25">
      <c r="A110" s="198" t="s">
        <v>470</v>
      </c>
      <c r="B110" s="207">
        <v>270</v>
      </c>
      <c r="C110" s="207">
        <v>59</v>
      </c>
      <c r="D110" s="207">
        <v>3006</v>
      </c>
      <c r="E110" s="207">
        <v>250</v>
      </c>
      <c r="F110" s="199">
        <v>17625.777570000057</v>
      </c>
      <c r="G110" s="199">
        <v>910.72800800000027</v>
      </c>
      <c r="H110" s="199">
        <v>1260</v>
      </c>
      <c r="I110" s="199">
        <v>56431.970000000088</v>
      </c>
      <c r="J110" s="199">
        <v>4528.7774999999956</v>
      </c>
      <c r="K110" s="199">
        <v>4124</v>
      </c>
      <c r="L110" s="199">
        <v>19796.505578000058</v>
      </c>
      <c r="M110" s="199">
        <v>65084.747500000085</v>
      </c>
      <c r="N110" s="199">
        <v>65084.747500000085</v>
      </c>
      <c r="O110" s="199">
        <v>84881.25307800014</v>
      </c>
      <c r="P110" s="208">
        <v>5.540991100971851E-3</v>
      </c>
    </row>
    <row r="111" spans="1:16" x14ac:dyDescent="0.25">
      <c r="A111" s="201" t="s">
        <v>229</v>
      </c>
      <c r="B111" s="209">
        <v>270</v>
      </c>
      <c r="C111" s="209">
        <v>59</v>
      </c>
      <c r="D111" s="209">
        <v>3006</v>
      </c>
      <c r="E111" s="209">
        <v>250</v>
      </c>
      <c r="F111" s="202">
        <v>17625.777570000057</v>
      </c>
      <c r="G111" s="202">
        <v>910.72800800000027</v>
      </c>
      <c r="H111" s="202">
        <v>1260</v>
      </c>
      <c r="I111" s="202">
        <v>56431.970000000212</v>
      </c>
      <c r="J111" s="202">
        <v>4528.7774999999992</v>
      </c>
      <c r="K111" s="202">
        <v>4124</v>
      </c>
      <c r="L111" s="202">
        <v>19796.505578000058</v>
      </c>
      <c r="M111" s="202">
        <v>65084.747500000209</v>
      </c>
      <c r="N111" s="202">
        <v>65084.747500000209</v>
      </c>
      <c r="O111" s="202">
        <v>84881.253078000271</v>
      </c>
      <c r="P111" s="210">
        <v>5.5409911009718588E-3</v>
      </c>
    </row>
    <row r="112" spans="1:16" x14ac:dyDescent="0.25">
      <c r="A112" s="198" t="s">
        <v>439</v>
      </c>
      <c r="B112" s="207">
        <v>2044</v>
      </c>
      <c r="C112" s="207">
        <v>556</v>
      </c>
      <c r="D112" s="207">
        <v>20264</v>
      </c>
      <c r="E112" s="207">
        <v>2270</v>
      </c>
      <c r="F112" s="199">
        <v>128714.20147800354</v>
      </c>
      <c r="G112" s="199">
        <v>7386.794325000008</v>
      </c>
      <c r="H112" s="199">
        <v>7092</v>
      </c>
      <c r="I112" s="199">
        <v>407941.69000000024</v>
      </c>
      <c r="J112" s="199">
        <v>52520.194999999971</v>
      </c>
      <c r="K112" s="199">
        <v>24920.5</v>
      </c>
      <c r="L112" s="199">
        <v>143192.99580300355</v>
      </c>
      <c r="M112" s="199">
        <v>485382.38500000018</v>
      </c>
      <c r="N112" s="199">
        <v>485382.38500000018</v>
      </c>
      <c r="O112" s="199">
        <v>628575.38080300367</v>
      </c>
      <c r="P112" s="208">
        <v>4.1032978013635799E-2</v>
      </c>
    </row>
    <row r="113" spans="1:16" x14ac:dyDescent="0.25">
      <c r="A113" s="201" t="s">
        <v>243</v>
      </c>
      <c r="B113" s="209">
        <v>2044</v>
      </c>
      <c r="C113" s="209">
        <v>556</v>
      </c>
      <c r="D113" s="209">
        <v>20264</v>
      </c>
      <c r="E113" s="209">
        <v>2270</v>
      </c>
      <c r="F113" s="202">
        <v>128714.20147800354</v>
      </c>
      <c r="G113" s="202">
        <v>7386.794325000008</v>
      </c>
      <c r="H113" s="202">
        <v>7092</v>
      </c>
      <c r="I113" s="202">
        <v>407941.68999999383</v>
      </c>
      <c r="J113" s="202">
        <v>52520.195000000109</v>
      </c>
      <c r="K113" s="202">
        <v>24920.5</v>
      </c>
      <c r="L113" s="202">
        <v>143192.99580300355</v>
      </c>
      <c r="M113" s="202">
        <v>485382.38499999396</v>
      </c>
      <c r="N113" s="202">
        <v>485382.38499999396</v>
      </c>
      <c r="O113" s="202">
        <v>628575.3808029975</v>
      </c>
      <c r="P113" s="210">
        <v>4.1032978013635396E-2</v>
      </c>
    </row>
    <row r="114" spans="1:16" x14ac:dyDescent="0.25">
      <c r="A114" s="198" t="s">
        <v>60</v>
      </c>
      <c r="B114" s="207">
        <v>542</v>
      </c>
      <c r="C114" s="207">
        <v>281</v>
      </c>
      <c r="D114" s="207">
        <v>5655</v>
      </c>
      <c r="E114" s="207">
        <v>960</v>
      </c>
      <c r="F114" s="199">
        <v>32294.700539999809</v>
      </c>
      <c r="G114" s="199">
        <v>3633.3162630000161</v>
      </c>
      <c r="H114" s="199">
        <v>1728</v>
      </c>
      <c r="I114" s="199">
        <v>110257.75999999981</v>
      </c>
      <c r="J114" s="199">
        <v>23480.665000000005</v>
      </c>
      <c r="K114" s="199">
        <v>5795</v>
      </c>
      <c r="L114" s="199">
        <v>37656.016802999824</v>
      </c>
      <c r="M114" s="199">
        <v>139533.42499999981</v>
      </c>
      <c r="N114" s="199">
        <v>139533.42499999981</v>
      </c>
      <c r="O114" s="199">
        <v>177189.44180299965</v>
      </c>
      <c r="P114" s="208">
        <v>1.1566807564850368E-2</v>
      </c>
    </row>
    <row r="115" spans="1:16" x14ac:dyDescent="0.25">
      <c r="A115" s="201" t="s">
        <v>268</v>
      </c>
      <c r="B115" s="209">
        <v>542</v>
      </c>
      <c r="C115" s="209">
        <v>281</v>
      </c>
      <c r="D115" s="209">
        <v>5655</v>
      </c>
      <c r="E115" s="209">
        <v>960</v>
      </c>
      <c r="F115" s="202">
        <v>32294.700539999809</v>
      </c>
      <c r="G115" s="202">
        <v>3633.3162630000161</v>
      </c>
      <c r="H115" s="202">
        <v>1728</v>
      </c>
      <c r="I115" s="202">
        <v>110257.76000000085</v>
      </c>
      <c r="J115" s="202">
        <v>23480.664999999914</v>
      </c>
      <c r="K115" s="202">
        <v>5795</v>
      </c>
      <c r="L115" s="202">
        <v>37656.016802999824</v>
      </c>
      <c r="M115" s="202">
        <v>139533.42500000077</v>
      </c>
      <c r="N115" s="202">
        <v>139533.42500000077</v>
      </c>
      <c r="O115" s="202">
        <v>177189.44180300061</v>
      </c>
      <c r="P115" s="210">
        <v>1.1566807564850432E-2</v>
      </c>
    </row>
    <row r="116" spans="1:16" x14ac:dyDescent="0.25">
      <c r="A116" s="198" t="s">
        <v>474</v>
      </c>
      <c r="B116" s="207">
        <v>549</v>
      </c>
      <c r="C116" s="207">
        <v>323</v>
      </c>
      <c r="D116" s="207">
        <v>5951</v>
      </c>
      <c r="E116" s="207">
        <v>1350</v>
      </c>
      <c r="F116" s="199">
        <v>31151.519082000275</v>
      </c>
      <c r="G116" s="199">
        <v>4491.6307100000213</v>
      </c>
      <c r="H116" s="199">
        <v>684</v>
      </c>
      <c r="I116" s="199">
        <v>115778.63500000008</v>
      </c>
      <c r="J116" s="199">
        <v>27600.007499999938</v>
      </c>
      <c r="K116" s="199">
        <v>5253</v>
      </c>
      <c r="L116" s="199">
        <v>36327.149792000295</v>
      </c>
      <c r="M116" s="199">
        <v>148631.64250000002</v>
      </c>
      <c r="N116" s="199">
        <v>148631.64250000002</v>
      </c>
      <c r="O116" s="199">
        <v>184958.79229200032</v>
      </c>
      <c r="P116" s="208">
        <v>1.2073985538299041E-2</v>
      </c>
    </row>
    <row r="117" spans="1:16" x14ac:dyDescent="0.25">
      <c r="A117" s="201" t="s">
        <v>473</v>
      </c>
      <c r="B117" s="209">
        <v>549</v>
      </c>
      <c r="C117" s="209">
        <v>323</v>
      </c>
      <c r="D117" s="209">
        <v>5951</v>
      </c>
      <c r="E117" s="209">
        <v>1350</v>
      </c>
      <c r="F117" s="202">
        <v>31151.519082000275</v>
      </c>
      <c r="G117" s="202">
        <v>4491.6307100000213</v>
      </c>
      <c r="H117" s="202">
        <v>684</v>
      </c>
      <c r="I117" s="202">
        <v>115778.63500000119</v>
      </c>
      <c r="J117" s="202">
        <v>27600.0074999998</v>
      </c>
      <c r="K117" s="202">
        <v>5253</v>
      </c>
      <c r="L117" s="202">
        <v>36327.149792000295</v>
      </c>
      <c r="M117" s="202">
        <v>148631.64250000098</v>
      </c>
      <c r="N117" s="202">
        <v>148631.64250000098</v>
      </c>
      <c r="O117" s="202">
        <v>184958.79229200128</v>
      </c>
      <c r="P117" s="210">
        <v>1.2073985538299104E-2</v>
      </c>
    </row>
    <row r="118" spans="1:16" x14ac:dyDescent="0.25">
      <c r="A118" s="198" t="s">
        <v>61</v>
      </c>
      <c r="B118" s="207">
        <v>2</v>
      </c>
      <c r="C118" s="207">
        <v>46</v>
      </c>
      <c r="D118" s="207">
        <v>57</v>
      </c>
      <c r="E118" s="207">
        <v>215</v>
      </c>
      <c r="F118" s="199">
        <v>34.92</v>
      </c>
      <c r="G118" s="199">
        <v>651.69020399999988</v>
      </c>
      <c r="H118" s="199"/>
      <c r="I118" s="199">
        <v>1131.47</v>
      </c>
      <c r="J118" s="199">
        <v>4596.5399999999981</v>
      </c>
      <c r="K118" s="199"/>
      <c r="L118" s="199">
        <v>686.61020399999984</v>
      </c>
      <c r="M118" s="199">
        <v>5728.0099999999984</v>
      </c>
      <c r="N118" s="199">
        <v>5728.0099999999984</v>
      </c>
      <c r="O118" s="199">
        <v>6414.620203999998</v>
      </c>
      <c r="P118" s="208">
        <v>4.1874209177633468E-4</v>
      </c>
    </row>
    <row r="119" spans="1:16" x14ac:dyDescent="0.25">
      <c r="A119" s="201" t="s">
        <v>264</v>
      </c>
      <c r="B119" s="209">
        <v>2</v>
      </c>
      <c r="C119" s="209">
        <v>46</v>
      </c>
      <c r="D119" s="209">
        <v>57</v>
      </c>
      <c r="E119" s="209">
        <v>215</v>
      </c>
      <c r="F119" s="202">
        <v>34.92</v>
      </c>
      <c r="G119" s="202">
        <v>651.69020399999988</v>
      </c>
      <c r="H119" s="202"/>
      <c r="I119" s="202">
        <v>1131.47</v>
      </c>
      <c r="J119" s="202">
        <v>4596.54</v>
      </c>
      <c r="K119" s="202"/>
      <c r="L119" s="202">
        <v>686.61020399999984</v>
      </c>
      <c r="M119" s="202">
        <v>5728.01</v>
      </c>
      <c r="N119" s="202">
        <v>5728.01</v>
      </c>
      <c r="O119" s="202">
        <v>6414.6202039999998</v>
      </c>
      <c r="P119" s="210">
        <v>4.1874209177633479E-4</v>
      </c>
    </row>
    <row r="120" spans="1:16" x14ac:dyDescent="0.25">
      <c r="A120" s="198" t="s">
        <v>498</v>
      </c>
      <c r="B120" s="207">
        <v>29</v>
      </c>
      <c r="C120" s="207"/>
      <c r="D120" s="207">
        <v>252</v>
      </c>
      <c r="E120" s="207"/>
      <c r="F120" s="199">
        <v>2575.439946</v>
      </c>
      <c r="G120" s="199"/>
      <c r="H120" s="199">
        <v>36</v>
      </c>
      <c r="I120" s="199">
        <v>6457.9599999999991</v>
      </c>
      <c r="J120" s="199"/>
      <c r="K120" s="199">
        <v>120</v>
      </c>
      <c r="L120" s="199">
        <v>2611.439946</v>
      </c>
      <c r="M120" s="199">
        <v>6577.9599999999991</v>
      </c>
      <c r="N120" s="199">
        <v>6577.9599999999991</v>
      </c>
      <c r="O120" s="199">
        <v>9189.3999459999995</v>
      </c>
      <c r="P120" s="208">
        <v>5.9987784672861329E-4</v>
      </c>
    </row>
    <row r="121" spans="1:16" x14ac:dyDescent="0.25">
      <c r="A121" s="201" t="s">
        <v>263</v>
      </c>
      <c r="B121" s="209">
        <v>29</v>
      </c>
      <c r="C121" s="209"/>
      <c r="D121" s="209">
        <v>252</v>
      </c>
      <c r="E121" s="209"/>
      <c r="F121" s="202">
        <v>2575.439946</v>
      </c>
      <c r="G121" s="202"/>
      <c r="H121" s="202">
        <v>36</v>
      </c>
      <c r="I121" s="202">
        <v>6457.9600000000019</v>
      </c>
      <c r="J121" s="202"/>
      <c r="K121" s="202">
        <v>120</v>
      </c>
      <c r="L121" s="202">
        <v>2611.439946</v>
      </c>
      <c r="M121" s="202">
        <v>6577.9600000000019</v>
      </c>
      <c r="N121" s="202">
        <v>6577.9600000000019</v>
      </c>
      <c r="O121" s="202">
        <v>9189.3999460000014</v>
      </c>
      <c r="P121" s="210">
        <v>5.998778467286134E-4</v>
      </c>
    </row>
    <row r="122" spans="1:16" x14ac:dyDescent="0.25">
      <c r="A122" s="198" t="s">
        <v>357</v>
      </c>
      <c r="B122" s="207">
        <v>32</v>
      </c>
      <c r="C122" s="207">
        <v>6</v>
      </c>
      <c r="D122" s="207">
        <v>271</v>
      </c>
      <c r="E122" s="207">
        <v>39</v>
      </c>
      <c r="F122" s="199">
        <v>1920.599999999999</v>
      </c>
      <c r="G122" s="199">
        <v>82.133999999999986</v>
      </c>
      <c r="H122" s="199">
        <v>108</v>
      </c>
      <c r="I122" s="199">
        <v>5209.3399999999992</v>
      </c>
      <c r="J122" s="199">
        <v>585.58500000000026</v>
      </c>
      <c r="K122" s="199">
        <v>404.5</v>
      </c>
      <c r="L122" s="199">
        <v>2110.733999999999</v>
      </c>
      <c r="M122" s="199">
        <v>6199.4249999999993</v>
      </c>
      <c r="N122" s="199">
        <v>6199.4249999999993</v>
      </c>
      <c r="O122" s="199">
        <v>8310.1589999999978</v>
      </c>
      <c r="P122" s="208">
        <v>5.4248158924265037E-4</v>
      </c>
    </row>
    <row r="123" spans="1:16" x14ac:dyDescent="0.25">
      <c r="A123" s="201" t="s">
        <v>262</v>
      </c>
      <c r="B123" s="209">
        <v>32</v>
      </c>
      <c r="C123" s="209">
        <v>6</v>
      </c>
      <c r="D123" s="209">
        <v>271</v>
      </c>
      <c r="E123" s="209">
        <v>39</v>
      </c>
      <c r="F123" s="202">
        <v>1920.599999999999</v>
      </c>
      <c r="G123" s="202">
        <v>82.133999999999986</v>
      </c>
      <c r="H123" s="202">
        <v>108</v>
      </c>
      <c r="I123" s="202">
        <v>5209.3400000000056</v>
      </c>
      <c r="J123" s="202">
        <v>585.58500000000026</v>
      </c>
      <c r="K123" s="202">
        <v>404.5</v>
      </c>
      <c r="L123" s="202">
        <v>2110.733999999999</v>
      </c>
      <c r="M123" s="202">
        <v>6199.4250000000056</v>
      </c>
      <c r="N123" s="202">
        <v>6199.4250000000056</v>
      </c>
      <c r="O123" s="202">
        <v>8310.1590000000051</v>
      </c>
      <c r="P123" s="210">
        <v>5.4248158924265081E-4</v>
      </c>
    </row>
    <row r="124" spans="1:16" x14ac:dyDescent="0.25">
      <c r="A124" s="198" t="s">
        <v>64</v>
      </c>
      <c r="B124" s="207">
        <v>26</v>
      </c>
      <c r="C124" s="207">
        <v>74</v>
      </c>
      <c r="D124" s="207">
        <v>291</v>
      </c>
      <c r="E124" s="207">
        <v>201</v>
      </c>
      <c r="F124" s="199">
        <v>1708.2000000000007</v>
      </c>
      <c r="G124" s="199">
        <v>1140.7495159999989</v>
      </c>
      <c r="H124" s="199"/>
      <c r="I124" s="199">
        <v>7695.86</v>
      </c>
      <c r="J124" s="199">
        <v>4778.4749999999995</v>
      </c>
      <c r="K124" s="199">
        <v>7.5</v>
      </c>
      <c r="L124" s="199">
        <v>2848.9495159999997</v>
      </c>
      <c r="M124" s="199">
        <v>12481.834999999999</v>
      </c>
      <c r="N124" s="199">
        <v>12481.834999999999</v>
      </c>
      <c r="O124" s="199">
        <v>15330.784516</v>
      </c>
      <c r="P124" s="208">
        <v>1.000783300124137E-3</v>
      </c>
    </row>
    <row r="125" spans="1:16" x14ac:dyDescent="0.25">
      <c r="A125" s="201" t="s">
        <v>261</v>
      </c>
      <c r="B125" s="209">
        <v>26</v>
      </c>
      <c r="C125" s="209">
        <v>74</v>
      </c>
      <c r="D125" s="209">
        <v>291</v>
      </c>
      <c r="E125" s="209">
        <v>201</v>
      </c>
      <c r="F125" s="202">
        <v>1708.2000000000007</v>
      </c>
      <c r="G125" s="202">
        <v>1140.7495159999989</v>
      </c>
      <c r="H125" s="202"/>
      <c r="I125" s="202">
        <v>7695.86</v>
      </c>
      <c r="J125" s="202">
        <v>4778.4750000000031</v>
      </c>
      <c r="K125" s="202">
        <v>7.5</v>
      </c>
      <c r="L125" s="202">
        <v>2848.9495159999997</v>
      </c>
      <c r="M125" s="202">
        <v>12481.835000000003</v>
      </c>
      <c r="N125" s="202">
        <v>12481.835000000003</v>
      </c>
      <c r="O125" s="202">
        <v>15330.784516000003</v>
      </c>
      <c r="P125" s="210">
        <v>1.0007833001241372E-3</v>
      </c>
    </row>
    <row r="126" spans="1:16" x14ac:dyDescent="0.25">
      <c r="A126" s="198" t="s">
        <v>144</v>
      </c>
      <c r="B126" s="207"/>
      <c r="C126" s="207">
        <v>13</v>
      </c>
      <c r="D126" s="207"/>
      <c r="E126" s="207">
        <v>65</v>
      </c>
      <c r="F126" s="199"/>
      <c r="G126" s="199">
        <v>425.64606500000002</v>
      </c>
      <c r="H126" s="199"/>
      <c r="I126" s="199"/>
      <c r="J126" s="199">
        <v>1370.1350000000002</v>
      </c>
      <c r="K126" s="199"/>
      <c r="L126" s="199">
        <v>425.64606500000002</v>
      </c>
      <c r="M126" s="199">
        <v>1370.1350000000002</v>
      </c>
      <c r="N126" s="199">
        <v>1370.1350000000002</v>
      </c>
      <c r="O126" s="199">
        <v>1795.7810650000001</v>
      </c>
      <c r="P126" s="208">
        <v>1.1722737989406214E-4</v>
      </c>
    </row>
    <row r="127" spans="1:16" x14ac:dyDescent="0.25">
      <c r="A127" s="201" t="s">
        <v>259</v>
      </c>
      <c r="B127" s="209"/>
      <c r="C127" s="209">
        <v>13</v>
      </c>
      <c r="D127" s="209"/>
      <c r="E127" s="209">
        <v>65</v>
      </c>
      <c r="F127" s="202"/>
      <c r="G127" s="202">
        <v>425.64606500000002</v>
      </c>
      <c r="H127" s="202"/>
      <c r="I127" s="202"/>
      <c r="J127" s="202">
        <v>1370.1350000000002</v>
      </c>
      <c r="K127" s="202"/>
      <c r="L127" s="202">
        <v>425.64606500000002</v>
      </c>
      <c r="M127" s="202">
        <v>1370.1350000000002</v>
      </c>
      <c r="N127" s="202">
        <v>1370.1350000000002</v>
      </c>
      <c r="O127" s="202">
        <v>1795.7810650000001</v>
      </c>
      <c r="P127" s="210">
        <v>1.1722737989406214E-4</v>
      </c>
    </row>
    <row r="128" spans="1:16" x14ac:dyDescent="0.25">
      <c r="A128" s="198" t="s">
        <v>65</v>
      </c>
      <c r="B128" s="207"/>
      <c r="C128" s="207">
        <v>30</v>
      </c>
      <c r="D128" s="207"/>
      <c r="E128" s="207">
        <v>195</v>
      </c>
      <c r="F128" s="199"/>
      <c r="G128" s="199">
        <v>602.3159999999998</v>
      </c>
      <c r="H128" s="199">
        <v>36</v>
      </c>
      <c r="I128" s="199"/>
      <c r="J128" s="199">
        <v>2735.2650000000026</v>
      </c>
      <c r="K128" s="199">
        <v>65</v>
      </c>
      <c r="L128" s="199">
        <v>638.3159999999998</v>
      </c>
      <c r="M128" s="199">
        <v>2800.2650000000026</v>
      </c>
      <c r="N128" s="199">
        <v>2491.42937368</v>
      </c>
      <c r="O128" s="199">
        <v>3129.7453736799998</v>
      </c>
      <c r="P128" s="208">
        <v>2.0430767260154221E-4</v>
      </c>
    </row>
    <row r="129" spans="1:16" x14ac:dyDescent="0.25">
      <c r="A129" s="201" t="s">
        <v>298</v>
      </c>
      <c r="B129" s="209"/>
      <c r="C129" s="209">
        <v>30</v>
      </c>
      <c r="D129" s="209"/>
      <c r="E129" s="209">
        <v>195</v>
      </c>
      <c r="F129" s="202"/>
      <c r="G129" s="202">
        <v>602.3159999999998</v>
      </c>
      <c r="H129" s="202">
        <v>36</v>
      </c>
      <c r="I129" s="202"/>
      <c r="J129" s="202">
        <v>2735.2650000000026</v>
      </c>
      <c r="K129" s="202">
        <v>65</v>
      </c>
      <c r="L129" s="202">
        <v>638.3159999999998</v>
      </c>
      <c r="M129" s="202">
        <v>2800.2650000000026</v>
      </c>
      <c r="N129" s="202">
        <v>2491.42937368</v>
      </c>
      <c r="O129" s="202">
        <v>3129.7453736799998</v>
      </c>
      <c r="P129" s="210">
        <v>2.0430767260154221E-4</v>
      </c>
    </row>
    <row r="130" spans="1:16" x14ac:dyDescent="0.25">
      <c r="A130" s="198" t="s">
        <v>66</v>
      </c>
      <c r="B130" s="207"/>
      <c r="C130" s="207">
        <v>15</v>
      </c>
      <c r="D130" s="207"/>
      <c r="E130" s="207">
        <v>98</v>
      </c>
      <c r="F130" s="199"/>
      <c r="G130" s="199">
        <v>246.4020000000001</v>
      </c>
      <c r="H130" s="199"/>
      <c r="I130" s="199"/>
      <c r="J130" s="199">
        <v>1394.25</v>
      </c>
      <c r="K130" s="199"/>
      <c r="L130" s="199">
        <v>246.4020000000001</v>
      </c>
      <c r="M130" s="199">
        <v>1394.25</v>
      </c>
      <c r="N130" s="199">
        <v>1394.25</v>
      </c>
      <c r="O130" s="199">
        <v>1640.652</v>
      </c>
      <c r="P130" s="208">
        <v>1.0710065888680746E-4</v>
      </c>
    </row>
    <row r="131" spans="1:16" x14ac:dyDescent="0.25">
      <c r="A131" s="201" t="s">
        <v>258</v>
      </c>
      <c r="B131" s="209"/>
      <c r="C131" s="209">
        <v>15</v>
      </c>
      <c r="D131" s="209"/>
      <c r="E131" s="209">
        <v>98</v>
      </c>
      <c r="F131" s="202"/>
      <c r="G131" s="202">
        <v>246.4020000000001</v>
      </c>
      <c r="H131" s="202"/>
      <c r="I131" s="202"/>
      <c r="J131" s="202">
        <v>1394.25</v>
      </c>
      <c r="K131" s="202"/>
      <c r="L131" s="202">
        <v>246.4020000000001</v>
      </c>
      <c r="M131" s="202">
        <v>1394.25</v>
      </c>
      <c r="N131" s="202">
        <v>1394.25</v>
      </c>
      <c r="O131" s="202">
        <v>1640.652</v>
      </c>
      <c r="P131" s="210">
        <v>1.0710065888680746E-4</v>
      </c>
    </row>
    <row r="132" spans="1:16" x14ac:dyDescent="0.25">
      <c r="A132" s="198" t="s">
        <v>67</v>
      </c>
      <c r="B132" s="207">
        <v>17</v>
      </c>
      <c r="C132" s="207"/>
      <c r="D132" s="207">
        <v>207</v>
      </c>
      <c r="E132" s="207"/>
      <c r="F132" s="199">
        <v>1156.3198380000001</v>
      </c>
      <c r="G132" s="199"/>
      <c r="H132" s="199"/>
      <c r="I132" s="199">
        <v>4685.319999999997</v>
      </c>
      <c r="J132" s="199"/>
      <c r="K132" s="199"/>
      <c r="L132" s="199">
        <v>1156.3198380000001</v>
      </c>
      <c r="M132" s="199">
        <v>4685.319999999997</v>
      </c>
      <c r="N132" s="199">
        <v>4685.319999999997</v>
      </c>
      <c r="O132" s="199">
        <v>5841.6398379999973</v>
      </c>
      <c r="P132" s="208">
        <v>3.8133831893004909E-4</v>
      </c>
    </row>
    <row r="133" spans="1:16" x14ac:dyDescent="0.25">
      <c r="A133" s="201" t="s">
        <v>257</v>
      </c>
      <c r="B133" s="209">
        <v>17</v>
      </c>
      <c r="C133" s="209"/>
      <c r="D133" s="209">
        <v>207</v>
      </c>
      <c r="E133" s="209"/>
      <c r="F133" s="202">
        <v>1156.3198380000001</v>
      </c>
      <c r="G133" s="202"/>
      <c r="H133" s="202"/>
      <c r="I133" s="202">
        <v>4685.319999999997</v>
      </c>
      <c r="J133" s="202"/>
      <c r="K133" s="202"/>
      <c r="L133" s="202">
        <v>1156.3198380000001</v>
      </c>
      <c r="M133" s="202">
        <v>4685.319999999997</v>
      </c>
      <c r="N133" s="202">
        <v>4685.319999999997</v>
      </c>
      <c r="O133" s="202">
        <v>5841.6398379999973</v>
      </c>
      <c r="P133" s="210">
        <v>3.8133831893004909E-4</v>
      </c>
    </row>
    <row r="134" spans="1:16" x14ac:dyDescent="0.25">
      <c r="A134" s="198" t="s">
        <v>469</v>
      </c>
      <c r="B134" s="207">
        <v>155</v>
      </c>
      <c r="C134" s="207">
        <v>30</v>
      </c>
      <c r="D134" s="207">
        <v>1637</v>
      </c>
      <c r="E134" s="207">
        <v>150</v>
      </c>
      <c r="F134" s="199">
        <v>10110.958163999987</v>
      </c>
      <c r="G134" s="199">
        <v>821.34000000000026</v>
      </c>
      <c r="H134" s="199">
        <v>38165.760000000068</v>
      </c>
      <c r="I134" s="199">
        <v>28407.579999999976</v>
      </c>
      <c r="J134" s="199">
        <v>2322.0600000000022</v>
      </c>
      <c r="K134" s="199">
        <v>101626.83000000015</v>
      </c>
      <c r="L134" s="199">
        <v>49098.058164000053</v>
      </c>
      <c r="M134" s="199">
        <v>132356.47000000012</v>
      </c>
      <c r="N134" s="199">
        <v>132356.47000000012</v>
      </c>
      <c r="O134" s="199">
        <v>181454.52816400016</v>
      </c>
      <c r="P134" s="208">
        <v>1.1845229533355751E-2</v>
      </c>
    </row>
    <row r="135" spans="1:16" x14ac:dyDescent="0.25">
      <c r="A135" s="201" t="s">
        <v>295</v>
      </c>
      <c r="B135" s="209">
        <v>155</v>
      </c>
      <c r="C135" s="209">
        <v>30</v>
      </c>
      <c r="D135" s="209">
        <v>1637</v>
      </c>
      <c r="E135" s="209">
        <v>150</v>
      </c>
      <c r="F135" s="202">
        <v>10110.958163999987</v>
      </c>
      <c r="G135" s="202">
        <v>821.34000000000026</v>
      </c>
      <c r="H135" s="202">
        <v>38165.760000000068</v>
      </c>
      <c r="I135" s="202">
        <v>28407.579999999976</v>
      </c>
      <c r="J135" s="202">
        <v>2322.0600000000022</v>
      </c>
      <c r="K135" s="202">
        <v>101626.82999999925</v>
      </c>
      <c r="L135" s="202">
        <v>49098.058164000053</v>
      </c>
      <c r="M135" s="202">
        <v>132356.46999999922</v>
      </c>
      <c r="N135" s="202">
        <v>132356.46999999922</v>
      </c>
      <c r="O135" s="202">
        <v>181454.52816399926</v>
      </c>
      <c r="P135" s="210">
        <v>1.1845229533355692E-2</v>
      </c>
    </row>
    <row r="136" spans="1:16" x14ac:dyDescent="0.25">
      <c r="A136" s="198" t="s">
        <v>68</v>
      </c>
      <c r="B136" s="207">
        <v>307</v>
      </c>
      <c r="C136" s="207">
        <v>176</v>
      </c>
      <c r="D136" s="207">
        <v>2972</v>
      </c>
      <c r="E136" s="207">
        <v>758</v>
      </c>
      <c r="F136" s="199">
        <v>18418.85906399992</v>
      </c>
      <c r="G136" s="199">
        <v>2336.0220129999998</v>
      </c>
      <c r="H136" s="199">
        <v>648</v>
      </c>
      <c r="I136" s="199">
        <v>57691.649999999994</v>
      </c>
      <c r="J136" s="199">
        <v>18057.389999999978</v>
      </c>
      <c r="K136" s="199">
        <v>2299</v>
      </c>
      <c r="L136" s="199">
        <v>21402.881076999918</v>
      </c>
      <c r="M136" s="199">
        <v>78048.039999999979</v>
      </c>
      <c r="N136" s="199">
        <v>78048.039999999979</v>
      </c>
      <c r="O136" s="199">
        <v>99450.92107699989</v>
      </c>
      <c r="P136" s="208">
        <v>6.4920892268723503E-3</v>
      </c>
    </row>
    <row r="137" spans="1:16" x14ac:dyDescent="0.25">
      <c r="A137" s="201" t="s">
        <v>256</v>
      </c>
      <c r="B137" s="209">
        <v>307</v>
      </c>
      <c r="C137" s="209">
        <v>176</v>
      </c>
      <c r="D137" s="209">
        <v>2972</v>
      </c>
      <c r="E137" s="209">
        <v>758</v>
      </c>
      <c r="F137" s="202">
        <v>18418.85906399992</v>
      </c>
      <c r="G137" s="202">
        <v>2336.0220129999998</v>
      </c>
      <c r="H137" s="202">
        <v>648</v>
      </c>
      <c r="I137" s="202">
        <v>57691.650000000009</v>
      </c>
      <c r="J137" s="202">
        <v>18057.389999999927</v>
      </c>
      <c r="K137" s="202">
        <v>2299</v>
      </c>
      <c r="L137" s="202">
        <v>21402.881076999918</v>
      </c>
      <c r="M137" s="202">
        <v>78048.039999999935</v>
      </c>
      <c r="N137" s="202">
        <v>78048.039999999935</v>
      </c>
      <c r="O137" s="202">
        <v>99450.921076999861</v>
      </c>
      <c r="P137" s="210">
        <v>6.4920892268723485E-3</v>
      </c>
    </row>
    <row r="138" spans="1:16" x14ac:dyDescent="0.25">
      <c r="A138" s="198" t="s">
        <v>69</v>
      </c>
      <c r="B138" s="207">
        <v>444</v>
      </c>
      <c r="C138" s="207">
        <v>364</v>
      </c>
      <c r="D138" s="207">
        <v>4388</v>
      </c>
      <c r="E138" s="207">
        <v>1181</v>
      </c>
      <c r="F138" s="199">
        <v>28154.163780000003</v>
      </c>
      <c r="G138" s="199">
        <v>4267.2247010000365</v>
      </c>
      <c r="H138" s="199">
        <v>1872</v>
      </c>
      <c r="I138" s="199">
        <v>86973.659999999902</v>
      </c>
      <c r="J138" s="199">
        <v>32960.329999999987</v>
      </c>
      <c r="K138" s="199">
        <v>8300</v>
      </c>
      <c r="L138" s="199">
        <v>34293.388481000038</v>
      </c>
      <c r="M138" s="199">
        <v>128233.98999999989</v>
      </c>
      <c r="N138" s="199">
        <v>128233.98999999989</v>
      </c>
      <c r="O138" s="199">
        <v>162527.37848099993</v>
      </c>
      <c r="P138" s="208">
        <v>1.0609677934419137E-2</v>
      </c>
    </row>
    <row r="139" spans="1:16" x14ac:dyDescent="0.25">
      <c r="A139" s="201" t="s">
        <v>254</v>
      </c>
      <c r="B139" s="209">
        <v>444</v>
      </c>
      <c r="C139" s="209">
        <v>364</v>
      </c>
      <c r="D139" s="209">
        <v>4388</v>
      </c>
      <c r="E139" s="209">
        <v>1181</v>
      </c>
      <c r="F139" s="202">
        <v>28154.163780000003</v>
      </c>
      <c r="G139" s="202">
        <v>4267.2247010000365</v>
      </c>
      <c r="H139" s="202">
        <v>1872</v>
      </c>
      <c r="I139" s="202">
        <v>86973.660000000193</v>
      </c>
      <c r="J139" s="202">
        <v>32960.329999999791</v>
      </c>
      <c r="K139" s="202">
        <v>8300</v>
      </c>
      <c r="L139" s="202">
        <v>34293.388481000038</v>
      </c>
      <c r="M139" s="202">
        <v>128233.98999999999</v>
      </c>
      <c r="N139" s="202">
        <v>128233.98999999999</v>
      </c>
      <c r="O139" s="202">
        <v>162527.37848100002</v>
      </c>
      <c r="P139" s="210">
        <v>1.0609677934419142E-2</v>
      </c>
    </row>
    <row r="140" spans="1:16" x14ac:dyDescent="0.25">
      <c r="A140" s="198" t="s">
        <v>70</v>
      </c>
      <c r="B140" s="207">
        <v>582</v>
      </c>
      <c r="C140" s="207">
        <v>306</v>
      </c>
      <c r="D140" s="207">
        <v>6445</v>
      </c>
      <c r="E140" s="207">
        <v>1337</v>
      </c>
      <c r="F140" s="199">
        <v>36498.414492000062</v>
      </c>
      <c r="G140" s="199">
        <v>5038.1408910000127</v>
      </c>
      <c r="H140" s="199">
        <v>3492</v>
      </c>
      <c r="I140" s="199">
        <v>121519.39999999988</v>
      </c>
      <c r="J140" s="199">
        <v>28989.512499999888</v>
      </c>
      <c r="K140" s="199">
        <v>11453.5</v>
      </c>
      <c r="L140" s="199">
        <v>45028.555383000072</v>
      </c>
      <c r="M140" s="199">
        <v>161962.41249999977</v>
      </c>
      <c r="N140" s="199">
        <v>161962.41249999977</v>
      </c>
      <c r="O140" s="199">
        <v>206990.96788299986</v>
      </c>
      <c r="P140" s="208">
        <v>1.3512231139746447E-2</v>
      </c>
    </row>
    <row r="141" spans="1:16" x14ac:dyDescent="0.25">
      <c r="A141" s="201" t="s">
        <v>253</v>
      </c>
      <c r="B141" s="209">
        <v>582</v>
      </c>
      <c r="C141" s="209">
        <v>306</v>
      </c>
      <c r="D141" s="209">
        <v>6445</v>
      </c>
      <c r="E141" s="209">
        <v>1337</v>
      </c>
      <c r="F141" s="202">
        <v>36498.414492000062</v>
      </c>
      <c r="G141" s="202">
        <v>5038.1408910000127</v>
      </c>
      <c r="H141" s="202">
        <v>3492</v>
      </c>
      <c r="I141" s="202">
        <v>121519.40000000045</v>
      </c>
      <c r="J141" s="202">
        <v>28989.512499999822</v>
      </c>
      <c r="K141" s="202">
        <v>11453.5</v>
      </c>
      <c r="L141" s="202">
        <v>45028.555383000072</v>
      </c>
      <c r="M141" s="202">
        <v>161962.41250000027</v>
      </c>
      <c r="N141" s="202">
        <v>161962.41250000027</v>
      </c>
      <c r="O141" s="202">
        <v>206990.96788300032</v>
      </c>
      <c r="P141" s="210">
        <v>1.3512231139746476E-2</v>
      </c>
    </row>
    <row r="142" spans="1:16" x14ac:dyDescent="0.25">
      <c r="A142" s="198" t="s">
        <v>71</v>
      </c>
      <c r="B142" s="207">
        <v>1166</v>
      </c>
      <c r="C142" s="207">
        <v>799</v>
      </c>
      <c r="D142" s="207">
        <v>12114</v>
      </c>
      <c r="E142" s="207">
        <v>2931</v>
      </c>
      <c r="F142" s="199">
        <v>72451.967472001241</v>
      </c>
      <c r="G142" s="199">
        <v>9835.6170449999281</v>
      </c>
      <c r="H142" s="199">
        <v>5220</v>
      </c>
      <c r="I142" s="199">
        <v>221785.70999999868</v>
      </c>
      <c r="J142" s="199">
        <v>69540.509999999762</v>
      </c>
      <c r="K142" s="199">
        <v>17254.5</v>
      </c>
      <c r="L142" s="199">
        <v>87507.584517001174</v>
      </c>
      <c r="M142" s="199">
        <v>308580.71999999846</v>
      </c>
      <c r="N142" s="199">
        <v>308580.71999999846</v>
      </c>
      <c r="O142" s="199">
        <v>396088.30451699963</v>
      </c>
      <c r="P142" s="208">
        <v>2.5856378068675804E-2</v>
      </c>
    </row>
    <row r="143" spans="1:16" x14ac:dyDescent="0.25">
      <c r="A143" s="201" t="s">
        <v>252</v>
      </c>
      <c r="B143" s="209">
        <v>1166</v>
      </c>
      <c r="C143" s="209">
        <v>799</v>
      </c>
      <c r="D143" s="209">
        <v>12114</v>
      </c>
      <c r="E143" s="209">
        <v>2931</v>
      </c>
      <c r="F143" s="202">
        <v>72451.967472001241</v>
      </c>
      <c r="G143" s="202">
        <v>9835.6170449999281</v>
      </c>
      <c r="H143" s="202">
        <v>5220</v>
      </c>
      <c r="I143" s="202">
        <v>221785.70999999781</v>
      </c>
      <c r="J143" s="202">
        <v>69540.509999999616</v>
      </c>
      <c r="K143" s="202">
        <v>17254.5</v>
      </c>
      <c r="L143" s="202">
        <v>87507.584517001174</v>
      </c>
      <c r="M143" s="202">
        <v>308580.71999999741</v>
      </c>
      <c r="N143" s="202">
        <v>308580.71999999741</v>
      </c>
      <c r="O143" s="202">
        <v>396088.30451699859</v>
      </c>
      <c r="P143" s="210">
        <v>2.5856378068675735E-2</v>
      </c>
    </row>
    <row r="144" spans="1:16" x14ac:dyDescent="0.25">
      <c r="A144" s="198" t="s">
        <v>499</v>
      </c>
      <c r="B144" s="207">
        <v>90</v>
      </c>
      <c r="C144" s="207">
        <v>25</v>
      </c>
      <c r="D144" s="207">
        <v>791</v>
      </c>
      <c r="E144" s="207">
        <v>95</v>
      </c>
      <c r="F144" s="199">
        <v>5777.9989200000045</v>
      </c>
      <c r="G144" s="199">
        <v>291.79821899999996</v>
      </c>
      <c r="H144" s="199">
        <v>288</v>
      </c>
      <c r="I144" s="199">
        <v>16958.099999999999</v>
      </c>
      <c r="J144" s="199">
        <v>1900.7950000000003</v>
      </c>
      <c r="K144" s="199">
        <v>774</v>
      </c>
      <c r="L144" s="199">
        <v>6357.7971390000048</v>
      </c>
      <c r="M144" s="199">
        <v>19632.895</v>
      </c>
      <c r="N144" s="199">
        <v>19632.895</v>
      </c>
      <c r="O144" s="199">
        <v>25990.692139000006</v>
      </c>
      <c r="P144" s="208">
        <v>1.696654898790888E-3</v>
      </c>
    </row>
    <row r="145" spans="1:16" x14ac:dyDescent="0.25">
      <c r="A145" s="201" t="s">
        <v>250</v>
      </c>
      <c r="B145" s="209">
        <v>90</v>
      </c>
      <c r="C145" s="209">
        <v>25</v>
      </c>
      <c r="D145" s="209">
        <v>791</v>
      </c>
      <c r="E145" s="209">
        <v>95</v>
      </c>
      <c r="F145" s="202">
        <v>5777.9989200000045</v>
      </c>
      <c r="G145" s="202">
        <v>291.79821899999996</v>
      </c>
      <c r="H145" s="202">
        <v>288</v>
      </c>
      <c r="I145" s="202">
        <v>16958.099999999966</v>
      </c>
      <c r="J145" s="202">
        <v>1900.7950000000003</v>
      </c>
      <c r="K145" s="202">
        <v>774</v>
      </c>
      <c r="L145" s="202">
        <v>6357.7971390000048</v>
      </c>
      <c r="M145" s="202">
        <v>19632.894999999968</v>
      </c>
      <c r="N145" s="202">
        <v>19632.894999999968</v>
      </c>
      <c r="O145" s="202">
        <v>25990.692138999973</v>
      </c>
      <c r="P145" s="210">
        <v>1.6966548987908858E-3</v>
      </c>
    </row>
    <row r="146" spans="1:16" x14ac:dyDescent="0.25">
      <c r="A146" s="198" t="s">
        <v>73</v>
      </c>
      <c r="B146" s="207"/>
      <c r="C146" s="207">
        <v>102</v>
      </c>
      <c r="D146" s="207"/>
      <c r="E146" s="207">
        <v>302</v>
      </c>
      <c r="F146" s="199"/>
      <c r="G146" s="199">
        <v>1012.9853580000008</v>
      </c>
      <c r="H146" s="199"/>
      <c r="I146" s="199"/>
      <c r="J146" s="199">
        <v>8626.6050000000105</v>
      </c>
      <c r="K146" s="199"/>
      <c r="L146" s="199">
        <v>1012.9853580000008</v>
      </c>
      <c r="M146" s="199">
        <v>8626.6050000000105</v>
      </c>
      <c r="N146" s="199">
        <v>4867.1995538400088</v>
      </c>
      <c r="O146" s="199">
        <v>5880.1849118400096</v>
      </c>
      <c r="P146" s="208">
        <v>3.8385451542089904E-4</v>
      </c>
    </row>
    <row r="147" spans="1:16" x14ac:dyDescent="0.25">
      <c r="A147" s="201" t="s">
        <v>246</v>
      </c>
      <c r="B147" s="209"/>
      <c r="C147" s="209">
        <v>102</v>
      </c>
      <c r="D147" s="209"/>
      <c r="E147" s="209">
        <v>302</v>
      </c>
      <c r="F147" s="202"/>
      <c r="G147" s="202">
        <v>1012.9853580000008</v>
      </c>
      <c r="H147" s="202"/>
      <c r="I147" s="202"/>
      <c r="J147" s="202">
        <v>8626.6050000000105</v>
      </c>
      <c r="K147" s="202"/>
      <c r="L147" s="202">
        <v>1012.9853580000008</v>
      </c>
      <c r="M147" s="202">
        <v>8626.6050000000105</v>
      </c>
      <c r="N147" s="202">
        <v>4867.1995538400088</v>
      </c>
      <c r="O147" s="202">
        <v>5880.1849118400096</v>
      </c>
      <c r="P147" s="210">
        <v>3.8385451542089904E-4</v>
      </c>
    </row>
    <row r="148" spans="1:16" x14ac:dyDescent="0.25">
      <c r="A148" s="198" t="s">
        <v>74</v>
      </c>
      <c r="B148" s="207">
        <v>28</v>
      </c>
      <c r="C148" s="207">
        <v>46</v>
      </c>
      <c r="D148" s="207">
        <v>341</v>
      </c>
      <c r="E148" s="207">
        <v>227</v>
      </c>
      <c r="F148" s="199">
        <v>1588.859999999999</v>
      </c>
      <c r="G148" s="199">
        <v>666.19849599999986</v>
      </c>
      <c r="H148" s="199">
        <v>252</v>
      </c>
      <c r="I148" s="199">
        <v>6857.8099999999986</v>
      </c>
      <c r="J148" s="199">
        <v>4132.0500000000029</v>
      </c>
      <c r="K148" s="199">
        <v>1000</v>
      </c>
      <c r="L148" s="199">
        <v>2507.0584959999987</v>
      </c>
      <c r="M148" s="199">
        <v>11989.86</v>
      </c>
      <c r="N148" s="199">
        <v>11989.86</v>
      </c>
      <c r="O148" s="199">
        <v>14496.918495999998</v>
      </c>
      <c r="P148" s="208">
        <v>9.4634908728355904E-4</v>
      </c>
    </row>
    <row r="149" spans="1:16" x14ac:dyDescent="0.25">
      <c r="A149" s="201" t="s">
        <v>248</v>
      </c>
      <c r="B149" s="209">
        <v>28</v>
      </c>
      <c r="C149" s="209">
        <v>46</v>
      </c>
      <c r="D149" s="209">
        <v>341</v>
      </c>
      <c r="E149" s="209">
        <v>227</v>
      </c>
      <c r="F149" s="202">
        <v>1588.859999999999</v>
      </c>
      <c r="G149" s="202">
        <v>666.19849599999986</v>
      </c>
      <c r="H149" s="202">
        <v>252</v>
      </c>
      <c r="I149" s="202">
        <v>6857.8099999999986</v>
      </c>
      <c r="J149" s="202">
        <v>4132.0500000000038</v>
      </c>
      <c r="K149" s="202">
        <v>1000</v>
      </c>
      <c r="L149" s="202">
        <v>2507.0584959999987</v>
      </c>
      <c r="M149" s="202">
        <v>11989.860000000002</v>
      </c>
      <c r="N149" s="202">
        <v>11989.860000000002</v>
      </c>
      <c r="O149" s="202">
        <v>14496.918496000002</v>
      </c>
      <c r="P149" s="210">
        <v>9.4634908728355926E-4</v>
      </c>
    </row>
    <row r="150" spans="1:16" x14ac:dyDescent="0.25">
      <c r="A150" s="198" t="s">
        <v>442</v>
      </c>
      <c r="B150" s="207">
        <v>270</v>
      </c>
      <c r="C150" s="207">
        <v>146</v>
      </c>
      <c r="D150" s="207">
        <v>2845</v>
      </c>
      <c r="E150" s="207">
        <v>424</v>
      </c>
      <c r="F150" s="199">
        <v>13183.557947999956</v>
      </c>
      <c r="G150" s="199">
        <v>2290.6248539999951</v>
      </c>
      <c r="H150" s="199">
        <v>936</v>
      </c>
      <c r="I150" s="199">
        <v>39075.659999999923</v>
      </c>
      <c r="J150" s="199">
        <v>11377.08</v>
      </c>
      <c r="K150" s="199">
        <v>3225</v>
      </c>
      <c r="L150" s="199">
        <v>16410.182801999952</v>
      </c>
      <c r="M150" s="199">
        <v>53677.739999999925</v>
      </c>
      <c r="N150" s="199">
        <v>53677.739999999925</v>
      </c>
      <c r="O150" s="199">
        <v>70087.92280199987</v>
      </c>
      <c r="P150" s="208">
        <v>4.5752924520872694E-3</v>
      </c>
    </row>
    <row r="151" spans="1:16" x14ac:dyDescent="0.25">
      <c r="A151" s="201" t="s">
        <v>279</v>
      </c>
      <c r="B151" s="209">
        <v>270</v>
      </c>
      <c r="C151" s="209">
        <v>146</v>
      </c>
      <c r="D151" s="209">
        <v>2845</v>
      </c>
      <c r="E151" s="209">
        <v>424</v>
      </c>
      <c r="F151" s="202">
        <v>13183.557947999956</v>
      </c>
      <c r="G151" s="202">
        <v>2290.6248539999951</v>
      </c>
      <c r="H151" s="202">
        <v>936</v>
      </c>
      <c r="I151" s="202">
        <v>39075.659999999938</v>
      </c>
      <c r="J151" s="202">
        <v>11377.079999999991</v>
      </c>
      <c r="K151" s="202">
        <v>3225</v>
      </c>
      <c r="L151" s="202">
        <v>16410.182801999952</v>
      </c>
      <c r="M151" s="202">
        <v>53677.739999999932</v>
      </c>
      <c r="N151" s="202">
        <v>53677.739999999932</v>
      </c>
      <c r="O151" s="202">
        <v>70087.922801999885</v>
      </c>
      <c r="P151" s="210">
        <v>4.5752924520872703E-3</v>
      </c>
    </row>
    <row r="152" spans="1:16" x14ac:dyDescent="0.25">
      <c r="A152" s="198" t="s">
        <v>145</v>
      </c>
      <c r="B152" s="207"/>
      <c r="C152" s="207">
        <v>2</v>
      </c>
      <c r="D152" s="207"/>
      <c r="E152" s="207">
        <v>11</v>
      </c>
      <c r="F152" s="199"/>
      <c r="G152" s="199">
        <v>45.63</v>
      </c>
      <c r="H152" s="199"/>
      <c r="I152" s="199"/>
      <c r="J152" s="199">
        <v>152.1</v>
      </c>
      <c r="K152" s="199"/>
      <c r="L152" s="199">
        <v>45.63</v>
      </c>
      <c r="M152" s="199">
        <v>152.1</v>
      </c>
      <c r="N152" s="199"/>
      <c r="O152" s="199">
        <v>45.63</v>
      </c>
      <c r="P152" s="208">
        <v>2.9786957045156589E-6</v>
      </c>
    </row>
    <row r="153" spans="1:16" x14ac:dyDescent="0.25">
      <c r="A153" s="201" t="s">
        <v>247</v>
      </c>
      <c r="B153" s="209"/>
      <c r="C153" s="209">
        <v>2</v>
      </c>
      <c r="D153" s="209"/>
      <c r="E153" s="209">
        <v>11</v>
      </c>
      <c r="F153" s="202"/>
      <c r="G153" s="202">
        <v>45.63</v>
      </c>
      <c r="H153" s="202"/>
      <c r="I153" s="202"/>
      <c r="J153" s="202">
        <v>152.1</v>
      </c>
      <c r="K153" s="202"/>
      <c r="L153" s="202">
        <v>45.63</v>
      </c>
      <c r="M153" s="202">
        <v>152.1</v>
      </c>
      <c r="N153" s="202"/>
      <c r="O153" s="202">
        <v>45.63</v>
      </c>
      <c r="P153" s="210">
        <v>2.9786957045156589E-6</v>
      </c>
    </row>
    <row r="154" spans="1:16" x14ac:dyDescent="0.25">
      <c r="A154" s="198" t="s">
        <v>75</v>
      </c>
      <c r="B154" s="207">
        <v>346</v>
      </c>
      <c r="C154" s="207">
        <v>72</v>
      </c>
      <c r="D154" s="207">
        <v>3341</v>
      </c>
      <c r="E154" s="207">
        <v>303</v>
      </c>
      <c r="F154" s="199">
        <v>23285.161457999962</v>
      </c>
      <c r="G154" s="199">
        <v>1186.3805080000011</v>
      </c>
      <c r="H154" s="199">
        <v>1604.8799999999999</v>
      </c>
      <c r="I154" s="199">
        <v>67034.250000000058</v>
      </c>
      <c r="J154" s="199">
        <v>9482.4599999999973</v>
      </c>
      <c r="K154" s="199">
        <v>11866.359999999986</v>
      </c>
      <c r="L154" s="199">
        <v>26076.421965999965</v>
      </c>
      <c r="M154" s="199">
        <v>88383.070000000036</v>
      </c>
      <c r="N154" s="199">
        <v>88383.070000000036</v>
      </c>
      <c r="O154" s="199">
        <v>114459.491966</v>
      </c>
      <c r="P154" s="208">
        <v>7.4718386381803364E-3</v>
      </c>
    </row>
    <row r="155" spans="1:16" x14ac:dyDescent="0.25">
      <c r="A155" s="201" t="s">
        <v>245</v>
      </c>
      <c r="B155" s="209">
        <v>346</v>
      </c>
      <c r="C155" s="209">
        <v>72</v>
      </c>
      <c r="D155" s="209">
        <v>3341</v>
      </c>
      <c r="E155" s="209">
        <v>303</v>
      </c>
      <c r="F155" s="202">
        <v>23285.161457999962</v>
      </c>
      <c r="G155" s="202">
        <v>1186.3805080000011</v>
      </c>
      <c r="H155" s="202">
        <v>1604.8799999999999</v>
      </c>
      <c r="I155" s="202">
        <v>67034.250000000087</v>
      </c>
      <c r="J155" s="202">
        <v>9482.4599999999973</v>
      </c>
      <c r="K155" s="202">
        <v>11866.359999999993</v>
      </c>
      <c r="L155" s="202">
        <v>26076.421965999965</v>
      </c>
      <c r="M155" s="202">
        <v>88383.070000000065</v>
      </c>
      <c r="N155" s="202">
        <v>88383.070000000065</v>
      </c>
      <c r="O155" s="202">
        <v>114459.49196600003</v>
      </c>
      <c r="P155" s="210">
        <v>7.4718386381803382E-3</v>
      </c>
    </row>
    <row r="156" spans="1:16" x14ac:dyDescent="0.25">
      <c r="A156" s="198" t="s">
        <v>76</v>
      </c>
      <c r="B156" s="207">
        <v>12</v>
      </c>
      <c r="C156" s="207"/>
      <c r="D156" s="207">
        <v>203</v>
      </c>
      <c r="E156" s="207"/>
      <c r="F156" s="199">
        <v>1182.5998380000001</v>
      </c>
      <c r="G156" s="199"/>
      <c r="H156" s="199"/>
      <c r="I156" s="199">
        <v>4785.7599999999984</v>
      </c>
      <c r="J156" s="199"/>
      <c r="K156" s="199"/>
      <c r="L156" s="199">
        <v>1182.5998380000001</v>
      </c>
      <c r="M156" s="199">
        <v>4785.7599999999984</v>
      </c>
      <c r="N156" s="199">
        <v>4785.7599999999984</v>
      </c>
      <c r="O156" s="199">
        <v>5968.3598379999985</v>
      </c>
      <c r="P156" s="208">
        <v>3.8961051528499602E-4</v>
      </c>
    </row>
    <row r="157" spans="1:16" x14ac:dyDescent="0.25">
      <c r="A157" s="201" t="s">
        <v>244</v>
      </c>
      <c r="B157" s="209">
        <v>12</v>
      </c>
      <c r="C157" s="209"/>
      <c r="D157" s="209">
        <v>203</v>
      </c>
      <c r="E157" s="209"/>
      <c r="F157" s="202">
        <v>1182.5998380000001</v>
      </c>
      <c r="G157" s="202"/>
      <c r="H157" s="202"/>
      <c r="I157" s="202">
        <v>4785.7599999999984</v>
      </c>
      <c r="J157" s="202"/>
      <c r="K157" s="202"/>
      <c r="L157" s="202">
        <v>1182.5998380000001</v>
      </c>
      <c r="M157" s="202">
        <v>4785.7599999999984</v>
      </c>
      <c r="N157" s="202">
        <v>4785.7599999999984</v>
      </c>
      <c r="O157" s="202">
        <v>5968.3598379999985</v>
      </c>
      <c r="P157" s="210">
        <v>3.8961051528499602E-4</v>
      </c>
    </row>
    <row r="158" spans="1:16" x14ac:dyDescent="0.25">
      <c r="A158" s="198" t="s">
        <v>77</v>
      </c>
      <c r="B158" s="207">
        <v>11</v>
      </c>
      <c r="C158" s="207"/>
      <c r="D158" s="207">
        <v>144</v>
      </c>
      <c r="E158" s="207"/>
      <c r="F158" s="199">
        <v>789.6598919999999</v>
      </c>
      <c r="G158" s="199"/>
      <c r="H158" s="199">
        <v>36</v>
      </c>
      <c r="I158" s="199">
        <v>2167.1099999999992</v>
      </c>
      <c r="J158" s="199"/>
      <c r="K158" s="199">
        <v>33</v>
      </c>
      <c r="L158" s="199">
        <v>825.6598919999999</v>
      </c>
      <c r="M158" s="199">
        <v>2200.1099999999992</v>
      </c>
      <c r="N158" s="199">
        <v>2200.1099999999992</v>
      </c>
      <c r="O158" s="199">
        <v>3025.7698919999993</v>
      </c>
      <c r="P158" s="208">
        <v>1.9752022310219605E-4</v>
      </c>
    </row>
    <row r="159" spans="1:16" x14ac:dyDescent="0.25">
      <c r="A159" s="201" t="s">
        <v>240</v>
      </c>
      <c r="B159" s="209">
        <v>11</v>
      </c>
      <c r="C159" s="209"/>
      <c r="D159" s="209">
        <v>144</v>
      </c>
      <c r="E159" s="209"/>
      <c r="F159" s="202">
        <v>789.6598919999999</v>
      </c>
      <c r="G159" s="202"/>
      <c r="H159" s="202">
        <v>36</v>
      </c>
      <c r="I159" s="202">
        <v>2167.1099999999997</v>
      </c>
      <c r="J159" s="202"/>
      <c r="K159" s="202">
        <v>33</v>
      </c>
      <c r="L159" s="202">
        <v>825.6598919999999</v>
      </c>
      <c r="M159" s="202">
        <v>2200.1099999999997</v>
      </c>
      <c r="N159" s="202">
        <v>2200.1099999999997</v>
      </c>
      <c r="O159" s="202">
        <v>3025.7698919999993</v>
      </c>
      <c r="P159" s="210">
        <v>1.9752022310219605E-4</v>
      </c>
    </row>
    <row r="160" spans="1:16" x14ac:dyDescent="0.25">
      <c r="A160" s="198" t="s">
        <v>78</v>
      </c>
      <c r="B160" s="207"/>
      <c r="C160" s="207">
        <v>77</v>
      </c>
      <c r="D160" s="207"/>
      <c r="E160" s="207">
        <v>312</v>
      </c>
      <c r="F160" s="199"/>
      <c r="G160" s="199">
        <v>1680.5878300000011</v>
      </c>
      <c r="H160" s="199"/>
      <c r="I160" s="199"/>
      <c r="J160" s="199">
        <v>6893.3149999999923</v>
      </c>
      <c r="K160" s="199"/>
      <c r="L160" s="199">
        <v>1680.5878300000011</v>
      </c>
      <c r="M160" s="199">
        <v>6893.3149999999923</v>
      </c>
      <c r="N160" s="199">
        <v>5022.0143502099972</v>
      </c>
      <c r="O160" s="199">
        <v>6702.6021802099986</v>
      </c>
      <c r="P160" s="208">
        <v>4.3754136145669103E-4</v>
      </c>
    </row>
    <row r="161" spans="1:16" x14ac:dyDescent="0.25">
      <c r="A161" s="201" t="s">
        <v>239</v>
      </c>
      <c r="B161" s="209"/>
      <c r="C161" s="209">
        <v>77</v>
      </c>
      <c r="D161" s="209"/>
      <c r="E161" s="209">
        <v>312</v>
      </c>
      <c r="F161" s="202"/>
      <c r="G161" s="202">
        <v>1680.5878300000011</v>
      </c>
      <c r="H161" s="202"/>
      <c r="I161" s="202"/>
      <c r="J161" s="202">
        <v>6893.3149999999923</v>
      </c>
      <c r="K161" s="202"/>
      <c r="L161" s="202">
        <v>1680.5878300000011</v>
      </c>
      <c r="M161" s="202">
        <v>6893.3149999999923</v>
      </c>
      <c r="N161" s="202">
        <v>5022.0143502099972</v>
      </c>
      <c r="O161" s="202">
        <v>6702.6021802099986</v>
      </c>
      <c r="P161" s="210">
        <v>4.3754136145669103E-4</v>
      </c>
    </row>
    <row r="162" spans="1:16" x14ac:dyDescent="0.25">
      <c r="A162" s="198" t="s">
        <v>79</v>
      </c>
      <c r="B162" s="207"/>
      <c r="C162" s="207">
        <v>70</v>
      </c>
      <c r="D162" s="207"/>
      <c r="E162" s="207">
        <v>200</v>
      </c>
      <c r="F162" s="199"/>
      <c r="G162" s="199">
        <v>1240.4340719999993</v>
      </c>
      <c r="H162" s="199"/>
      <c r="I162" s="199"/>
      <c r="J162" s="199">
        <v>5849.4800000000032</v>
      </c>
      <c r="K162" s="199"/>
      <c r="L162" s="199">
        <v>1240.4340719999993</v>
      </c>
      <c r="M162" s="199">
        <v>5849.4800000000032</v>
      </c>
      <c r="N162" s="199">
        <v>3587.5270303600068</v>
      </c>
      <c r="O162" s="199">
        <v>4827.9611023600064</v>
      </c>
      <c r="P162" s="208">
        <v>3.1516605297322891E-4</v>
      </c>
    </row>
    <row r="163" spans="1:16" x14ac:dyDescent="0.25">
      <c r="A163" s="201" t="s">
        <v>238</v>
      </c>
      <c r="B163" s="209"/>
      <c r="C163" s="209">
        <v>70</v>
      </c>
      <c r="D163" s="209"/>
      <c r="E163" s="209">
        <v>200</v>
      </c>
      <c r="F163" s="202"/>
      <c r="G163" s="202">
        <v>1240.4340719999993</v>
      </c>
      <c r="H163" s="202"/>
      <c r="I163" s="202"/>
      <c r="J163" s="202">
        <v>5849.4800000000032</v>
      </c>
      <c r="K163" s="202"/>
      <c r="L163" s="202">
        <v>1240.4340719999993</v>
      </c>
      <c r="M163" s="202">
        <v>5849.4800000000032</v>
      </c>
      <c r="N163" s="202">
        <v>3587.5270303600068</v>
      </c>
      <c r="O163" s="202">
        <v>4827.9611023600064</v>
      </c>
      <c r="P163" s="210">
        <v>3.1516605297322891E-4</v>
      </c>
    </row>
    <row r="164" spans="1:16" x14ac:dyDescent="0.25">
      <c r="A164" s="198" t="s">
        <v>80</v>
      </c>
      <c r="B164" s="207">
        <v>201</v>
      </c>
      <c r="C164" s="207">
        <v>98</v>
      </c>
      <c r="D164" s="207">
        <v>2197</v>
      </c>
      <c r="E164" s="207">
        <v>462</v>
      </c>
      <c r="F164" s="199">
        <v>9455.5822139999927</v>
      </c>
      <c r="G164" s="199">
        <v>1590.8491880000017</v>
      </c>
      <c r="H164" s="199">
        <v>612</v>
      </c>
      <c r="I164" s="199">
        <v>46160.079999999893</v>
      </c>
      <c r="J164" s="199">
        <v>10548.784999999996</v>
      </c>
      <c r="K164" s="199">
        <v>2673.5</v>
      </c>
      <c r="L164" s="199">
        <v>11658.431401999995</v>
      </c>
      <c r="M164" s="199">
        <v>59382.364999999889</v>
      </c>
      <c r="N164" s="199">
        <v>59382.364999999889</v>
      </c>
      <c r="O164" s="199">
        <v>71040.796401999891</v>
      </c>
      <c r="P164" s="208">
        <v>4.6374953996933714E-3</v>
      </c>
    </row>
    <row r="165" spans="1:16" x14ac:dyDescent="0.25">
      <c r="A165" s="201" t="s">
        <v>237</v>
      </c>
      <c r="B165" s="209">
        <v>201</v>
      </c>
      <c r="C165" s="209">
        <v>98</v>
      </c>
      <c r="D165" s="209">
        <v>2197</v>
      </c>
      <c r="E165" s="209">
        <v>462</v>
      </c>
      <c r="F165" s="202">
        <v>9455.5822139999927</v>
      </c>
      <c r="G165" s="202">
        <v>1590.8491880000017</v>
      </c>
      <c r="H165" s="202">
        <v>612</v>
      </c>
      <c r="I165" s="202">
        <v>46160.079999999922</v>
      </c>
      <c r="J165" s="202">
        <v>10548.784999999998</v>
      </c>
      <c r="K165" s="202">
        <v>2673.5</v>
      </c>
      <c r="L165" s="202">
        <v>11658.431401999995</v>
      </c>
      <c r="M165" s="202">
        <v>59382.364999999918</v>
      </c>
      <c r="N165" s="202">
        <v>59382.364999999918</v>
      </c>
      <c r="O165" s="202">
        <v>71040.79640199992</v>
      </c>
      <c r="P165" s="210">
        <v>4.6374953996933732E-3</v>
      </c>
    </row>
    <row r="166" spans="1:16" x14ac:dyDescent="0.25">
      <c r="A166" s="198" t="s">
        <v>81</v>
      </c>
      <c r="B166" s="207">
        <v>399</v>
      </c>
      <c r="C166" s="207">
        <v>120</v>
      </c>
      <c r="D166" s="207">
        <v>3885</v>
      </c>
      <c r="E166" s="207">
        <v>392</v>
      </c>
      <c r="F166" s="199">
        <v>21505.140972000034</v>
      </c>
      <c r="G166" s="199">
        <v>1642.6800000000026</v>
      </c>
      <c r="H166" s="199">
        <v>252</v>
      </c>
      <c r="I166" s="199">
        <v>65596.619999999821</v>
      </c>
      <c r="J166" s="199">
        <v>9376.9649999999983</v>
      </c>
      <c r="K166" s="199">
        <v>3931.5</v>
      </c>
      <c r="L166" s="199">
        <v>23399.820972000038</v>
      </c>
      <c r="M166" s="199">
        <v>78905.084999999817</v>
      </c>
      <c r="N166" s="199">
        <v>78905.084999999817</v>
      </c>
      <c r="O166" s="199">
        <v>102304.90597199986</v>
      </c>
      <c r="P166" s="208">
        <v>6.6783954409308423E-3</v>
      </c>
    </row>
    <row r="167" spans="1:16" x14ac:dyDescent="0.25">
      <c r="A167" s="201" t="s">
        <v>236</v>
      </c>
      <c r="B167" s="209">
        <v>399</v>
      </c>
      <c r="C167" s="209">
        <v>120</v>
      </c>
      <c r="D167" s="209">
        <v>3885</v>
      </c>
      <c r="E167" s="209">
        <v>392</v>
      </c>
      <c r="F167" s="202">
        <v>21505.140972000034</v>
      </c>
      <c r="G167" s="202">
        <v>1642.6800000000026</v>
      </c>
      <c r="H167" s="202">
        <v>252</v>
      </c>
      <c r="I167" s="202">
        <v>65596.619999999777</v>
      </c>
      <c r="J167" s="202">
        <v>9376.9649999999947</v>
      </c>
      <c r="K167" s="202">
        <v>3931.5</v>
      </c>
      <c r="L167" s="202">
        <v>23399.820972000038</v>
      </c>
      <c r="M167" s="202">
        <v>78905.084999999774</v>
      </c>
      <c r="N167" s="202">
        <v>78905.084999999774</v>
      </c>
      <c r="O167" s="202">
        <v>102304.9059719998</v>
      </c>
      <c r="P167" s="210">
        <v>6.6783954409308389E-3</v>
      </c>
    </row>
    <row r="168" spans="1:16" x14ac:dyDescent="0.25">
      <c r="A168" s="198" t="s">
        <v>500</v>
      </c>
      <c r="B168" s="207">
        <v>35</v>
      </c>
      <c r="C168" s="207">
        <v>2</v>
      </c>
      <c r="D168" s="207">
        <v>314</v>
      </c>
      <c r="E168" s="207">
        <v>42</v>
      </c>
      <c r="F168" s="199">
        <v>1501.5602700000002</v>
      </c>
      <c r="G168" s="199">
        <v>18.251999999999999</v>
      </c>
      <c r="H168" s="199">
        <v>36</v>
      </c>
      <c r="I168" s="199">
        <v>5700.8700000000026</v>
      </c>
      <c r="J168" s="199">
        <v>618.53999999999985</v>
      </c>
      <c r="K168" s="199">
        <v>117</v>
      </c>
      <c r="L168" s="199">
        <v>1555.8122700000001</v>
      </c>
      <c r="M168" s="199">
        <v>6436.4100000000026</v>
      </c>
      <c r="N168" s="199">
        <v>6436.4100000000026</v>
      </c>
      <c r="O168" s="199">
        <v>7992.2222700000029</v>
      </c>
      <c r="P168" s="208">
        <v>5.217268933855664E-4</v>
      </c>
    </row>
    <row r="169" spans="1:16" x14ac:dyDescent="0.25">
      <c r="A169" s="201" t="s">
        <v>235</v>
      </c>
      <c r="B169" s="209">
        <v>35</v>
      </c>
      <c r="C169" s="209">
        <v>2</v>
      </c>
      <c r="D169" s="209">
        <v>314</v>
      </c>
      <c r="E169" s="209">
        <v>42</v>
      </c>
      <c r="F169" s="202">
        <v>1501.5602700000002</v>
      </c>
      <c r="G169" s="202">
        <v>18.251999999999999</v>
      </c>
      <c r="H169" s="202">
        <v>36</v>
      </c>
      <c r="I169" s="202">
        <v>5700.8700000000008</v>
      </c>
      <c r="J169" s="202">
        <v>618.53999999999985</v>
      </c>
      <c r="K169" s="202">
        <v>117</v>
      </c>
      <c r="L169" s="202">
        <v>1555.8122700000001</v>
      </c>
      <c r="M169" s="202">
        <v>6436.4100000000008</v>
      </c>
      <c r="N169" s="202">
        <v>6436.4100000000008</v>
      </c>
      <c r="O169" s="202">
        <v>7992.2222700000011</v>
      </c>
      <c r="P169" s="210">
        <v>5.2172689338556629E-4</v>
      </c>
    </row>
    <row r="170" spans="1:16" x14ac:dyDescent="0.25">
      <c r="A170" s="198" t="s">
        <v>83</v>
      </c>
      <c r="B170" s="207">
        <v>1274</v>
      </c>
      <c r="C170" s="207">
        <v>482</v>
      </c>
      <c r="D170" s="207">
        <v>13952</v>
      </c>
      <c r="E170" s="207">
        <v>2065</v>
      </c>
      <c r="F170" s="199">
        <v>78031.269450000938</v>
      </c>
      <c r="G170" s="199">
        <v>7277.8626440000271</v>
      </c>
      <c r="H170" s="199">
        <v>3348</v>
      </c>
      <c r="I170" s="199">
        <v>291493.13500000047</v>
      </c>
      <c r="J170" s="199">
        <v>45931.346499999803</v>
      </c>
      <c r="K170" s="199">
        <v>16955.75</v>
      </c>
      <c r="L170" s="199">
        <v>88657.132094000961</v>
      </c>
      <c r="M170" s="199">
        <v>354380.23150000029</v>
      </c>
      <c r="N170" s="199">
        <v>354380.23150000029</v>
      </c>
      <c r="O170" s="199">
        <v>443037.36359400128</v>
      </c>
      <c r="P170" s="208">
        <v>2.8921181062401789E-2</v>
      </c>
    </row>
    <row r="171" spans="1:16" x14ac:dyDescent="0.25">
      <c r="A171" s="201" t="s">
        <v>242</v>
      </c>
      <c r="B171" s="209">
        <v>1274</v>
      </c>
      <c r="C171" s="209">
        <v>482</v>
      </c>
      <c r="D171" s="209">
        <v>13952</v>
      </c>
      <c r="E171" s="209">
        <v>2065</v>
      </c>
      <c r="F171" s="202">
        <v>78031.269450000938</v>
      </c>
      <c r="G171" s="202">
        <v>7277.8626440000271</v>
      </c>
      <c r="H171" s="202">
        <v>3348</v>
      </c>
      <c r="I171" s="202">
        <v>291493.13499999838</v>
      </c>
      <c r="J171" s="202">
        <v>45931.346499999301</v>
      </c>
      <c r="K171" s="202">
        <v>16955.75</v>
      </c>
      <c r="L171" s="202">
        <v>88657.132094000961</v>
      </c>
      <c r="M171" s="202">
        <v>354380.23149999767</v>
      </c>
      <c r="N171" s="202">
        <v>354380.23149999767</v>
      </c>
      <c r="O171" s="202">
        <v>443037.3635939986</v>
      </c>
      <c r="P171" s="210">
        <v>2.8921181062401616E-2</v>
      </c>
    </row>
    <row r="172" spans="1:16" ht="24" x14ac:dyDescent="0.25">
      <c r="A172" s="198" t="s">
        <v>493</v>
      </c>
      <c r="B172" s="207">
        <v>60</v>
      </c>
      <c r="C172" s="207">
        <v>18</v>
      </c>
      <c r="D172" s="207">
        <v>440</v>
      </c>
      <c r="E172" s="207">
        <v>75</v>
      </c>
      <c r="F172" s="199">
        <v>1632.7799999999991</v>
      </c>
      <c r="G172" s="199">
        <v>246.4019999999999</v>
      </c>
      <c r="H172" s="199"/>
      <c r="I172" s="199">
        <v>8450.5899999999911</v>
      </c>
      <c r="J172" s="199">
        <v>1414.2700000000004</v>
      </c>
      <c r="K172" s="199"/>
      <c r="L172" s="199">
        <v>1879.1819999999989</v>
      </c>
      <c r="M172" s="199">
        <v>9864.8599999999915</v>
      </c>
      <c r="N172" s="199">
        <v>9864.8599999999915</v>
      </c>
      <c r="O172" s="199">
        <v>11744.04199999999</v>
      </c>
      <c r="P172" s="208">
        <v>7.666431614957584E-4</v>
      </c>
    </row>
    <row r="173" spans="1:16" x14ac:dyDescent="0.25">
      <c r="A173" s="201" t="s">
        <v>232</v>
      </c>
      <c r="B173" s="209">
        <v>60</v>
      </c>
      <c r="C173" s="209">
        <v>18</v>
      </c>
      <c r="D173" s="209">
        <v>440</v>
      </c>
      <c r="E173" s="209">
        <v>75</v>
      </c>
      <c r="F173" s="202">
        <v>1632.7799999999991</v>
      </c>
      <c r="G173" s="202">
        <v>246.4019999999999</v>
      </c>
      <c r="H173" s="202"/>
      <c r="I173" s="202">
        <v>8450.5900000000202</v>
      </c>
      <c r="J173" s="202">
        <v>1414.2700000000002</v>
      </c>
      <c r="K173" s="202"/>
      <c r="L173" s="202">
        <v>1879.1819999999989</v>
      </c>
      <c r="M173" s="202">
        <v>9864.8600000000206</v>
      </c>
      <c r="N173" s="202">
        <v>9864.8600000000206</v>
      </c>
      <c r="O173" s="202">
        <v>11744.042000000019</v>
      </c>
      <c r="P173" s="210">
        <v>7.6664316149576035E-4</v>
      </c>
    </row>
    <row r="174" spans="1:16" x14ac:dyDescent="0.25">
      <c r="A174" s="198" t="s">
        <v>85</v>
      </c>
      <c r="B174" s="207">
        <v>17</v>
      </c>
      <c r="C174" s="207"/>
      <c r="D174" s="207">
        <v>148</v>
      </c>
      <c r="E174" s="207"/>
      <c r="F174" s="199">
        <v>715.86037799999997</v>
      </c>
      <c r="G174" s="199"/>
      <c r="H174" s="199">
        <v>36</v>
      </c>
      <c r="I174" s="199">
        <v>3137.6800000000007</v>
      </c>
      <c r="J174" s="199"/>
      <c r="K174" s="199">
        <v>172.5</v>
      </c>
      <c r="L174" s="199">
        <v>751.86037799999997</v>
      </c>
      <c r="M174" s="199">
        <v>3310.1800000000007</v>
      </c>
      <c r="N174" s="199">
        <v>3310.1800000000007</v>
      </c>
      <c r="O174" s="199">
        <v>4062.0403780000006</v>
      </c>
      <c r="P174" s="208">
        <v>2.6516726332495648E-4</v>
      </c>
    </row>
    <row r="175" spans="1:16" x14ac:dyDescent="0.25">
      <c r="A175" s="201" t="s">
        <v>231</v>
      </c>
      <c r="B175" s="209">
        <v>17</v>
      </c>
      <c r="C175" s="209"/>
      <c r="D175" s="209">
        <v>148</v>
      </c>
      <c r="E175" s="209"/>
      <c r="F175" s="202">
        <v>715.86037799999997</v>
      </c>
      <c r="G175" s="202"/>
      <c r="H175" s="202">
        <v>36</v>
      </c>
      <c r="I175" s="202">
        <v>3137.6799999999989</v>
      </c>
      <c r="J175" s="202"/>
      <c r="K175" s="202">
        <v>172.5</v>
      </c>
      <c r="L175" s="202">
        <v>751.86037799999997</v>
      </c>
      <c r="M175" s="202">
        <v>3310.1799999999989</v>
      </c>
      <c r="N175" s="202">
        <v>3310.1799999999989</v>
      </c>
      <c r="O175" s="202">
        <v>4062.0403779999988</v>
      </c>
      <c r="P175" s="210">
        <v>2.6516726332495637E-4</v>
      </c>
    </row>
    <row r="176" spans="1:16" x14ac:dyDescent="0.25">
      <c r="A176" s="198" t="s">
        <v>86</v>
      </c>
      <c r="B176" s="207">
        <v>96</v>
      </c>
      <c r="C176" s="207">
        <v>112</v>
      </c>
      <c r="D176" s="207">
        <v>792</v>
      </c>
      <c r="E176" s="207">
        <v>371</v>
      </c>
      <c r="F176" s="199">
        <v>3852.1807559999988</v>
      </c>
      <c r="G176" s="199">
        <v>1678.4819999999979</v>
      </c>
      <c r="H176" s="199"/>
      <c r="I176" s="199">
        <v>14748.869999999995</v>
      </c>
      <c r="J176" s="199">
        <v>9304.4250000000084</v>
      </c>
      <c r="K176" s="199"/>
      <c r="L176" s="199">
        <v>5530.662755999997</v>
      </c>
      <c r="M176" s="199">
        <v>24053.295000000006</v>
      </c>
      <c r="N176" s="199">
        <v>24053.295000000006</v>
      </c>
      <c r="O176" s="199">
        <v>29583.957756000003</v>
      </c>
      <c r="P176" s="208">
        <v>1.9312208610644294E-3</v>
      </c>
    </row>
    <row r="177" spans="1:16" x14ac:dyDescent="0.25">
      <c r="A177" s="201" t="s">
        <v>230</v>
      </c>
      <c r="B177" s="209">
        <v>96</v>
      </c>
      <c r="C177" s="209">
        <v>112</v>
      </c>
      <c r="D177" s="209">
        <v>792</v>
      </c>
      <c r="E177" s="209">
        <v>371</v>
      </c>
      <c r="F177" s="202">
        <v>3852.1807559999988</v>
      </c>
      <c r="G177" s="202">
        <v>1678.4819999999979</v>
      </c>
      <c r="H177" s="202"/>
      <c r="I177" s="202">
        <v>14748.869999999986</v>
      </c>
      <c r="J177" s="202">
        <v>9304.4249999999993</v>
      </c>
      <c r="K177" s="202"/>
      <c r="L177" s="202">
        <v>5530.662755999997</v>
      </c>
      <c r="M177" s="202">
        <v>24053.294999999984</v>
      </c>
      <c r="N177" s="202">
        <v>24053.294999999984</v>
      </c>
      <c r="O177" s="202">
        <v>29583.957755999982</v>
      </c>
      <c r="P177" s="210">
        <v>1.9312208610644281E-3</v>
      </c>
    </row>
    <row r="178" spans="1:16" x14ac:dyDescent="0.25">
      <c r="A178" s="198" t="s">
        <v>87</v>
      </c>
      <c r="B178" s="207">
        <v>44</v>
      </c>
      <c r="C178" s="207">
        <v>12</v>
      </c>
      <c r="D178" s="207">
        <v>524</v>
      </c>
      <c r="E178" s="207">
        <v>84</v>
      </c>
      <c r="F178" s="199">
        <v>3915.720540000003</v>
      </c>
      <c r="G178" s="199">
        <v>374.51685600000013</v>
      </c>
      <c r="H178" s="199"/>
      <c r="I178" s="199">
        <v>12720.339999999984</v>
      </c>
      <c r="J178" s="199">
        <v>1573.0974999999992</v>
      </c>
      <c r="K178" s="199">
        <v>7.5</v>
      </c>
      <c r="L178" s="199">
        <v>4290.2373960000032</v>
      </c>
      <c r="M178" s="199">
        <v>14300.937499999984</v>
      </c>
      <c r="N178" s="199">
        <v>14300.937499999984</v>
      </c>
      <c r="O178" s="199">
        <v>18591.174895999986</v>
      </c>
      <c r="P178" s="208">
        <v>1.2136193908528273E-3</v>
      </c>
    </row>
    <row r="179" spans="1:16" x14ac:dyDescent="0.25">
      <c r="A179" s="201" t="s">
        <v>234</v>
      </c>
      <c r="B179" s="209">
        <v>44</v>
      </c>
      <c r="C179" s="209">
        <v>12</v>
      </c>
      <c r="D179" s="209">
        <v>524</v>
      </c>
      <c r="E179" s="209">
        <v>84</v>
      </c>
      <c r="F179" s="202">
        <v>3915.720540000003</v>
      </c>
      <c r="G179" s="202">
        <v>374.51685600000013</v>
      </c>
      <c r="H179" s="202"/>
      <c r="I179" s="202">
        <v>12720.339999999995</v>
      </c>
      <c r="J179" s="202">
        <v>1573.0974999999992</v>
      </c>
      <c r="K179" s="202">
        <v>7.5</v>
      </c>
      <c r="L179" s="202">
        <v>4290.2373960000032</v>
      </c>
      <c r="M179" s="202">
        <v>14300.937499999995</v>
      </c>
      <c r="N179" s="202">
        <v>14300.937499999995</v>
      </c>
      <c r="O179" s="202">
        <v>18591.174895999997</v>
      </c>
      <c r="P179" s="210">
        <v>1.2136193908528279E-3</v>
      </c>
    </row>
    <row r="180" spans="1:16" x14ac:dyDescent="0.25">
      <c r="A180" s="198" t="s">
        <v>88</v>
      </c>
      <c r="B180" s="207">
        <v>22</v>
      </c>
      <c r="C180" s="207">
        <v>3</v>
      </c>
      <c r="D180" s="207">
        <v>202</v>
      </c>
      <c r="E180" s="207">
        <v>16</v>
      </c>
      <c r="F180" s="199">
        <v>1065.0601620000002</v>
      </c>
      <c r="G180" s="199">
        <v>27.378</v>
      </c>
      <c r="H180" s="199"/>
      <c r="I180" s="199">
        <v>2988.6000000000008</v>
      </c>
      <c r="J180" s="199">
        <v>258.57000000000005</v>
      </c>
      <c r="K180" s="199"/>
      <c r="L180" s="199">
        <v>1092.4381620000001</v>
      </c>
      <c r="M180" s="199">
        <v>3247.170000000001</v>
      </c>
      <c r="N180" s="199">
        <v>3247.170000000001</v>
      </c>
      <c r="O180" s="199">
        <v>4339.6081620000014</v>
      </c>
      <c r="P180" s="208">
        <v>2.8328670154351295E-4</v>
      </c>
    </row>
    <row r="181" spans="1:16" x14ac:dyDescent="0.25">
      <c r="A181" s="201" t="s">
        <v>233</v>
      </c>
      <c r="B181" s="209">
        <v>22</v>
      </c>
      <c r="C181" s="209">
        <v>3</v>
      </c>
      <c r="D181" s="209">
        <v>202</v>
      </c>
      <c r="E181" s="209">
        <v>16</v>
      </c>
      <c r="F181" s="202">
        <v>1065.0601620000002</v>
      </c>
      <c r="G181" s="202">
        <v>27.378</v>
      </c>
      <c r="H181" s="202"/>
      <c r="I181" s="202">
        <v>2988.6</v>
      </c>
      <c r="J181" s="202">
        <v>258.57000000000005</v>
      </c>
      <c r="K181" s="202"/>
      <c r="L181" s="202">
        <v>1092.4381620000001</v>
      </c>
      <c r="M181" s="202">
        <v>3247.17</v>
      </c>
      <c r="N181" s="202">
        <v>3247.17</v>
      </c>
      <c r="O181" s="202">
        <v>4339.6081620000004</v>
      </c>
      <c r="P181" s="210">
        <v>2.832867015435129E-4</v>
      </c>
    </row>
    <row r="182" spans="1:16" x14ac:dyDescent="0.25">
      <c r="A182" s="198" t="s">
        <v>89</v>
      </c>
      <c r="B182" s="207">
        <v>37</v>
      </c>
      <c r="C182" s="207">
        <v>43</v>
      </c>
      <c r="D182" s="207">
        <v>387</v>
      </c>
      <c r="E182" s="207">
        <v>130</v>
      </c>
      <c r="F182" s="199">
        <v>1710.359999999999</v>
      </c>
      <c r="G182" s="199">
        <v>584.06439900000044</v>
      </c>
      <c r="H182" s="199">
        <v>144</v>
      </c>
      <c r="I182" s="199">
        <v>5828.5699999999988</v>
      </c>
      <c r="J182" s="199">
        <v>3417.18</v>
      </c>
      <c r="K182" s="199">
        <v>612</v>
      </c>
      <c r="L182" s="199">
        <v>2438.4243989999995</v>
      </c>
      <c r="M182" s="199">
        <v>9857.7499999999982</v>
      </c>
      <c r="N182" s="199">
        <v>9857.7499999999982</v>
      </c>
      <c r="O182" s="199">
        <v>12296.174398999998</v>
      </c>
      <c r="P182" s="208">
        <v>8.0268599308079558E-4</v>
      </c>
    </row>
    <row r="183" spans="1:16" x14ac:dyDescent="0.25">
      <c r="A183" s="201" t="s">
        <v>228</v>
      </c>
      <c r="B183" s="209">
        <v>37</v>
      </c>
      <c r="C183" s="209">
        <v>43</v>
      </c>
      <c r="D183" s="209">
        <v>387</v>
      </c>
      <c r="E183" s="209">
        <v>130</v>
      </c>
      <c r="F183" s="202">
        <v>1710.359999999999</v>
      </c>
      <c r="G183" s="202">
        <v>584.06439900000044</v>
      </c>
      <c r="H183" s="202">
        <v>144</v>
      </c>
      <c r="I183" s="202">
        <v>5828.5700000000006</v>
      </c>
      <c r="J183" s="202">
        <v>3417.1800000000026</v>
      </c>
      <c r="K183" s="202">
        <v>612</v>
      </c>
      <c r="L183" s="202">
        <v>2438.4243989999995</v>
      </c>
      <c r="M183" s="202">
        <v>9857.7500000000036</v>
      </c>
      <c r="N183" s="202">
        <v>9857.7500000000036</v>
      </c>
      <c r="O183" s="202">
        <v>12296.174399000003</v>
      </c>
      <c r="P183" s="210">
        <v>8.0268599308079601E-4</v>
      </c>
    </row>
    <row r="184" spans="1:16" x14ac:dyDescent="0.25">
      <c r="A184" s="198" t="s">
        <v>90</v>
      </c>
      <c r="B184" s="207">
        <v>463</v>
      </c>
      <c r="C184" s="207">
        <v>255</v>
      </c>
      <c r="D184" s="207">
        <v>4751</v>
      </c>
      <c r="E184" s="207">
        <v>1005</v>
      </c>
      <c r="F184" s="199">
        <v>26398.626047999885</v>
      </c>
      <c r="G184" s="199">
        <v>3252.132468999991</v>
      </c>
      <c r="H184" s="199">
        <v>1836</v>
      </c>
      <c r="I184" s="199">
        <v>87800.239999999874</v>
      </c>
      <c r="J184" s="199">
        <v>22352.492499999968</v>
      </c>
      <c r="K184" s="199">
        <v>7053</v>
      </c>
      <c r="L184" s="199">
        <v>31486.758516999878</v>
      </c>
      <c r="M184" s="199">
        <v>117205.73249999984</v>
      </c>
      <c r="N184" s="199">
        <v>117205.73249999984</v>
      </c>
      <c r="O184" s="199">
        <v>148692.4910169997</v>
      </c>
      <c r="P184" s="208">
        <v>9.706545787553587E-3</v>
      </c>
    </row>
    <row r="185" spans="1:16" x14ac:dyDescent="0.25">
      <c r="A185" s="201" t="s">
        <v>227</v>
      </c>
      <c r="B185" s="209">
        <v>463</v>
      </c>
      <c r="C185" s="209">
        <v>255</v>
      </c>
      <c r="D185" s="209">
        <v>4751</v>
      </c>
      <c r="E185" s="209">
        <v>1005</v>
      </c>
      <c r="F185" s="202">
        <v>26398.626047999885</v>
      </c>
      <c r="G185" s="202">
        <v>3252.132468999991</v>
      </c>
      <c r="H185" s="202">
        <v>1836</v>
      </c>
      <c r="I185" s="202">
        <v>87800.24000000002</v>
      </c>
      <c r="J185" s="202">
        <v>22352.492499999913</v>
      </c>
      <c r="K185" s="202">
        <v>7053</v>
      </c>
      <c r="L185" s="202">
        <v>31486.758516999878</v>
      </c>
      <c r="M185" s="202">
        <v>117205.73249999993</v>
      </c>
      <c r="N185" s="202">
        <v>117205.73249999993</v>
      </c>
      <c r="O185" s="202">
        <v>148692.49101699982</v>
      </c>
      <c r="P185" s="210">
        <v>9.706545787553594E-3</v>
      </c>
    </row>
    <row r="186" spans="1:16" x14ac:dyDescent="0.25">
      <c r="A186" s="198" t="s">
        <v>91</v>
      </c>
      <c r="B186" s="207"/>
      <c r="C186" s="207">
        <v>34</v>
      </c>
      <c r="D186" s="207"/>
      <c r="E186" s="207">
        <v>173</v>
      </c>
      <c r="F186" s="199"/>
      <c r="G186" s="199">
        <v>419.79625699999974</v>
      </c>
      <c r="H186" s="199"/>
      <c r="I186" s="199"/>
      <c r="J186" s="199">
        <v>3138.3300000000017</v>
      </c>
      <c r="K186" s="199"/>
      <c r="L186" s="199">
        <v>419.79625699999974</v>
      </c>
      <c r="M186" s="199">
        <v>3138.3300000000017</v>
      </c>
      <c r="N186" s="199">
        <v>3138.3300000000017</v>
      </c>
      <c r="O186" s="199">
        <v>3558.1262570000017</v>
      </c>
      <c r="P186" s="208">
        <v>2.3227208849113047E-4</v>
      </c>
    </row>
    <row r="187" spans="1:16" x14ac:dyDescent="0.25">
      <c r="A187" s="201" t="s">
        <v>226</v>
      </c>
      <c r="B187" s="209"/>
      <c r="C187" s="209">
        <v>34</v>
      </c>
      <c r="D187" s="209"/>
      <c r="E187" s="209">
        <v>173</v>
      </c>
      <c r="F187" s="202"/>
      <c r="G187" s="202">
        <v>419.79625699999974</v>
      </c>
      <c r="H187" s="202"/>
      <c r="I187" s="202"/>
      <c r="J187" s="202">
        <v>3138.3300000000031</v>
      </c>
      <c r="K187" s="202"/>
      <c r="L187" s="202">
        <v>419.79625699999974</v>
      </c>
      <c r="M187" s="202">
        <v>3138.3300000000031</v>
      </c>
      <c r="N187" s="202">
        <v>3138.3300000000031</v>
      </c>
      <c r="O187" s="202">
        <v>3558.1262570000026</v>
      </c>
      <c r="P187" s="210">
        <v>2.3227208849113052E-4</v>
      </c>
    </row>
    <row r="188" spans="1:16" x14ac:dyDescent="0.25">
      <c r="A188" s="198" t="s">
        <v>437</v>
      </c>
      <c r="B188" s="207">
        <v>244</v>
      </c>
      <c r="C188" s="207">
        <v>1095</v>
      </c>
      <c r="D188" s="207">
        <v>2307</v>
      </c>
      <c r="E188" s="207">
        <v>3483</v>
      </c>
      <c r="F188" s="199">
        <v>6753.2402160000165</v>
      </c>
      <c r="G188" s="199">
        <v>13004.544099000252</v>
      </c>
      <c r="H188" s="199">
        <v>144</v>
      </c>
      <c r="I188" s="199">
        <v>32920.679999999949</v>
      </c>
      <c r="J188" s="199">
        <v>94372.980000000069</v>
      </c>
      <c r="K188" s="199">
        <v>403.5</v>
      </c>
      <c r="L188" s="199">
        <v>19901.784315000266</v>
      </c>
      <c r="M188" s="199">
        <v>127697.16000000002</v>
      </c>
      <c r="N188" s="199">
        <v>98848.839190079714</v>
      </c>
      <c r="O188" s="199">
        <v>118750.62350507997</v>
      </c>
      <c r="P188" s="208">
        <v>7.7519608183900489E-3</v>
      </c>
    </row>
    <row r="189" spans="1:16" x14ac:dyDescent="0.25">
      <c r="A189" s="201" t="s">
        <v>249</v>
      </c>
      <c r="B189" s="209">
        <v>244</v>
      </c>
      <c r="C189" s="209">
        <v>1095</v>
      </c>
      <c r="D189" s="209">
        <v>2307</v>
      </c>
      <c r="E189" s="209">
        <v>3483</v>
      </c>
      <c r="F189" s="202">
        <v>6753.2402160000165</v>
      </c>
      <c r="G189" s="202">
        <v>13004.544099000252</v>
      </c>
      <c r="H189" s="202">
        <v>144</v>
      </c>
      <c r="I189" s="202">
        <v>32920.679999999949</v>
      </c>
      <c r="J189" s="202">
        <v>94372.980000000069</v>
      </c>
      <c r="K189" s="202">
        <v>403.5</v>
      </c>
      <c r="L189" s="202">
        <v>19901.784315000266</v>
      </c>
      <c r="M189" s="202">
        <v>127697.16000000002</v>
      </c>
      <c r="N189" s="202">
        <v>98848.839190079714</v>
      </c>
      <c r="O189" s="202">
        <v>118750.62350507997</v>
      </c>
      <c r="P189" s="210">
        <v>7.7519608183900489E-3</v>
      </c>
    </row>
    <row r="190" spans="1:16" x14ac:dyDescent="0.25">
      <c r="A190" s="198" t="s">
        <v>541</v>
      </c>
      <c r="B190" s="207"/>
      <c r="C190" s="207">
        <v>24</v>
      </c>
      <c r="D190" s="207"/>
      <c r="E190" s="207">
        <v>78</v>
      </c>
      <c r="F190" s="199"/>
      <c r="G190" s="199">
        <v>246.40200000000002</v>
      </c>
      <c r="H190" s="199">
        <v>36</v>
      </c>
      <c r="I190" s="199"/>
      <c r="J190" s="199">
        <v>1528.605</v>
      </c>
      <c r="K190" s="199">
        <v>62.5</v>
      </c>
      <c r="L190" s="199">
        <v>282.40200000000004</v>
      </c>
      <c r="M190" s="199">
        <v>1591.105</v>
      </c>
      <c r="N190" s="199">
        <v>1591.105</v>
      </c>
      <c r="O190" s="199">
        <v>1873.5070000000001</v>
      </c>
      <c r="P190" s="208">
        <v>1.2230127664431334E-4</v>
      </c>
    </row>
    <row r="191" spans="1:16" x14ac:dyDescent="0.25">
      <c r="A191" s="201" t="s">
        <v>225</v>
      </c>
      <c r="B191" s="209"/>
      <c r="C191" s="209">
        <v>24</v>
      </c>
      <c r="D191" s="209"/>
      <c r="E191" s="209">
        <v>78</v>
      </c>
      <c r="F191" s="202"/>
      <c r="G191" s="202">
        <v>246.40200000000002</v>
      </c>
      <c r="H191" s="202">
        <v>36</v>
      </c>
      <c r="I191" s="202"/>
      <c r="J191" s="202">
        <v>1528.6049999999996</v>
      </c>
      <c r="K191" s="202">
        <v>62.5</v>
      </c>
      <c r="L191" s="202">
        <v>282.40200000000004</v>
      </c>
      <c r="M191" s="202">
        <v>1591.1049999999996</v>
      </c>
      <c r="N191" s="202">
        <v>1591.1049999999996</v>
      </c>
      <c r="O191" s="202">
        <v>1873.5069999999996</v>
      </c>
      <c r="P191" s="210">
        <v>1.2230127664431331E-4</v>
      </c>
    </row>
    <row r="192" spans="1:16" x14ac:dyDescent="0.25">
      <c r="A192" s="198" t="s">
        <v>93</v>
      </c>
      <c r="B192" s="207">
        <v>24</v>
      </c>
      <c r="C192" s="207">
        <v>4</v>
      </c>
      <c r="D192" s="207">
        <v>257</v>
      </c>
      <c r="E192" s="207">
        <v>22</v>
      </c>
      <c r="F192" s="199">
        <v>1257.1204319999997</v>
      </c>
      <c r="G192" s="199">
        <v>91.26</v>
      </c>
      <c r="H192" s="199">
        <v>108</v>
      </c>
      <c r="I192" s="199">
        <v>5107.5000000000027</v>
      </c>
      <c r="J192" s="199">
        <v>309.27</v>
      </c>
      <c r="K192" s="199">
        <v>190</v>
      </c>
      <c r="L192" s="199">
        <v>1456.3804319999997</v>
      </c>
      <c r="M192" s="199">
        <v>5606.7700000000023</v>
      </c>
      <c r="N192" s="199">
        <v>5606.7700000000023</v>
      </c>
      <c r="O192" s="199">
        <v>7063.1504320000022</v>
      </c>
      <c r="P192" s="208">
        <v>4.6107770879128478E-4</v>
      </c>
    </row>
    <row r="193" spans="1:16" x14ac:dyDescent="0.25">
      <c r="A193" s="201" t="s">
        <v>224</v>
      </c>
      <c r="B193" s="209">
        <v>24</v>
      </c>
      <c r="C193" s="209">
        <v>4</v>
      </c>
      <c r="D193" s="209">
        <v>257</v>
      </c>
      <c r="E193" s="209">
        <v>22</v>
      </c>
      <c r="F193" s="202">
        <v>1257.1204319999997</v>
      </c>
      <c r="G193" s="202">
        <v>91.26</v>
      </c>
      <c r="H193" s="202">
        <v>108</v>
      </c>
      <c r="I193" s="202">
        <v>5107.5000000000064</v>
      </c>
      <c r="J193" s="202">
        <v>309.27</v>
      </c>
      <c r="K193" s="202">
        <v>190</v>
      </c>
      <c r="L193" s="202">
        <v>1456.3804319999997</v>
      </c>
      <c r="M193" s="202">
        <v>5606.7700000000059</v>
      </c>
      <c r="N193" s="202">
        <v>5606.7700000000059</v>
      </c>
      <c r="O193" s="202">
        <v>7063.1504320000058</v>
      </c>
      <c r="P193" s="210">
        <v>4.6107770879128505E-4</v>
      </c>
    </row>
    <row r="194" spans="1:16" x14ac:dyDescent="0.25">
      <c r="A194" s="198" t="s">
        <v>94</v>
      </c>
      <c r="B194" s="207">
        <v>907</v>
      </c>
      <c r="C194" s="207">
        <v>305</v>
      </c>
      <c r="D194" s="207">
        <v>9362</v>
      </c>
      <c r="E194" s="207">
        <v>1116</v>
      </c>
      <c r="F194" s="199">
        <v>59404.852386000115</v>
      </c>
      <c r="G194" s="199">
        <v>4451.6143449999863</v>
      </c>
      <c r="H194" s="199">
        <v>2844</v>
      </c>
      <c r="I194" s="199">
        <v>197791.58999999959</v>
      </c>
      <c r="J194" s="199">
        <v>26749.644999999884</v>
      </c>
      <c r="K194" s="199">
        <v>9001</v>
      </c>
      <c r="L194" s="199">
        <v>66700.46673100011</v>
      </c>
      <c r="M194" s="199">
        <v>233542.23499999946</v>
      </c>
      <c r="N194" s="199">
        <v>233542.23499999946</v>
      </c>
      <c r="O194" s="199">
        <v>300242.70173099957</v>
      </c>
      <c r="P194" s="208">
        <v>1.9599641594527824E-2</v>
      </c>
    </row>
    <row r="195" spans="1:16" x14ac:dyDescent="0.25">
      <c r="A195" s="201" t="s">
        <v>223</v>
      </c>
      <c r="B195" s="209">
        <v>907</v>
      </c>
      <c r="C195" s="209">
        <v>305</v>
      </c>
      <c r="D195" s="209">
        <v>9362</v>
      </c>
      <c r="E195" s="209">
        <v>1116</v>
      </c>
      <c r="F195" s="202">
        <v>59404.852386000115</v>
      </c>
      <c r="G195" s="202">
        <v>4451.6143449999863</v>
      </c>
      <c r="H195" s="202">
        <v>2844</v>
      </c>
      <c r="I195" s="202">
        <v>197791.59</v>
      </c>
      <c r="J195" s="202">
        <v>26749.644999999753</v>
      </c>
      <c r="K195" s="202">
        <v>9001</v>
      </c>
      <c r="L195" s="202">
        <v>66700.46673100011</v>
      </c>
      <c r="M195" s="202">
        <v>233542.23499999975</v>
      </c>
      <c r="N195" s="202">
        <v>233542.23499999975</v>
      </c>
      <c r="O195" s="202">
        <v>300242.70173099986</v>
      </c>
      <c r="P195" s="210">
        <v>1.9599641594527841E-2</v>
      </c>
    </row>
    <row r="196" spans="1:16" x14ac:dyDescent="0.25">
      <c r="A196" s="198" t="s">
        <v>95</v>
      </c>
      <c r="B196" s="207">
        <v>514</v>
      </c>
      <c r="C196" s="207">
        <v>241</v>
      </c>
      <c r="D196" s="207">
        <v>5588</v>
      </c>
      <c r="E196" s="207">
        <v>963</v>
      </c>
      <c r="F196" s="199">
        <v>29884.86507600002</v>
      </c>
      <c r="G196" s="199">
        <v>3214.225508999989</v>
      </c>
      <c r="H196" s="199">
        <v>2412</v>
      </c>
      <c r="I196" s="199">
        <v>107719.18999999948</v>
      </c>
      <c r="J196" s="199">
        <v>20496.222499999934</v>
      </c>
      <c r="K196" s="199">
        <v>7197.75</v>
      </c>
      <c r="L196" s="199">
        <v>35511.090585000013</v>
      </c>
      <c r="M196" s="199">
        <v>135413.16249999939</v>
      </c>
      <c r="N196" s="199">
        <v>135413.16249999939</v>
      </c>
      <c r="O196" s="199">
        <v>170924.25308499939</v>
      </c>
      <c r="P196" s="208">
        <v>1.1157820259956937E-2</v>
      </c>
    </row>
    <row r="197" spans="1:16" x14ac:dyDescent="0.25">
      <c r="A197" s="201" t="s">
        <v>221</v>
      </c>
      <c r="B197" s="209">
        <v>514</v>
      </c>
      <c r="C197" s="209">
        <v>241</v>
      </c>
      <c r="D197" s="209">
        <v>5588</v>
      </c>
      <c r="E197" s="209">
        <v>963</v>
      </c>
      <c r="F197" s="202">
        <v>29884.86507600002</v>
      </c>
      <c r="G197" s="202">
        <v>3214.225508999989</v>
      </c>
      <c r="H197" s="202">
        <v>2412</v>
      </c>
      <c r="I197" s="202">
        <v>107719.19000000003</v>
      </c>
      <c r="J197" s="202">
        <v>20496.222499999858</v>
      </c>
      <c r="K197" s="202">
        <v>7197.75</v>
      </c>
      <c r="L197" s="202">
        <v>35511.090585000013</v>
      </c>
      <c r="M197" s="202">
        <v>135413.16249999989</v>
      </c>
      <c r="N197" s="202">
        <v>135413.16249999989</v>
      </c>
      <c r="O197" s="202">
        <v>170924.25308499992</v>
      </c>
      <c r="P197" s="210">
        <v>1.115782025995697E-2</v>
      </c>
    </row>
    <row r="198" spans="1:16" x14ac:dyDescent="0.25">
      <c r="A198" s="198" t="s">
        <v>96</v>
      </c>
      <c r="B198" s="207">
        <v>913</v>
      </c>
      <c r="C198" s="207">
        <v>765</v>
      </c>
      <c r="D198" s="207">
        <v>9931</v>
      </c>
      <c r="E198" s="207">
        <v>2522</v>
      </c>
      <c r="F198" s="199">
        <v>47037.77848799956</v>
      </c>
      <c r="G198" s="199">
        <v>9324.2098610001576</v>
      </c>
      <c r="H198" s="199">
        <v>1764</v>
      </c>
      <c r="I198" s="199">
        <v>187017.15999999864</v>
      </c>
      <c r="J198" s="199">
        <v>65228.70249999989</v>
      </c>
      <c r="K198" s="199">
        <v>8579.5</v>
      </c>
      <c r="L198" s="199">
        <v>58125.988348999716</v>
      </c>
      <c r="M198" s="199">
        <v>260825.36249999853</v>
      </c>
      <c r="N198" s="199">
        <v>260825.36249999853</v>
      </c>
      <c r="O198" s="199">
        <v>318951.35084899823</v>
      </c>
      <c r="P198" s="208">
        <v>2.0820929623567342E-2</v>
      </c>
    </row>
    <row r="199" spans="1:16" x14ac:dyDescent="0.25">
      <c r="A199" s="201" t="s">
        <v>220</v>
      </c>
      <c r="B199" s="209">
        <v>913</v>
      </c>
      <c r="C199" s="209">
        <v>765</v>
      </c>
      <c r="D199" s="209">
        <v>9931</v>
      </c>
      <c r="E199" s="209">
        <v>2522</v>
      </c>
      <c r="F199" s="202">
        <v>47037.77848799956</v>
      </c>
      <c r="G199" s="202">
        <v>9324.2098610001576</v>
      </c>
      <c r="H199" s="202">
        <v>1764</v>
      </c>
      <c r="I199" s="202">
        <v>187017.15999999989</v>
      </c>
      <c r="J199" s="202">
        <v>65228.702500000298</v>
      </c>
      <c r="K199" s="202">
        <v>8579.5</v>
      </c>
      <c r="L199" s="202">
        <v>58125.988348999716</v>
      </c>
      <c r="M199" s="202">
        <v>260825.36250000019</v>
      </c>
      <c r="N199" s="202">
        <v>260825.36250000019</v>
      </c>
      <c r="O199" s="202">
        <v>318951.35084899992</v>
      </c>
      <c r="P199" s="210">
        <v>2.0820929623567453E-2</v>
      </c>
    </row>
    <row r="200" spans="1:16" x14ac:dyDescent="0.25">
      <c r="A200" s="198" t="s">
        <v>97</v>
      </c>
      <c r="B200" s="207">
        <v>717</v>
      </c>
      <c r="C200" s="207">
        <v>259</v>
      </c>
      <c r="D200" s="207">
        <v>7069</v>
      </c>
      <c r="E200" s="207">
        <v>1025</v>
      </c>
      <c r="F200" s="199">
        <v>41983.025130000147</v>
      </c>
      <c r="G200" s="199">
        <v>3576.5743870000069</v>
      </c>
      <c r="H200" s="199">
        <v>2700</v>
      </c>
      <c r="I200" s="199">
        <v>142962.02999999904</v>
      </c>
      <c r="J200" s="199">
        <v>22845.484999999946</v>
      </c>
      <c r="K200" s="199">
        <v>6905</v>
      </c>
      <c r="L200" s="199">
        <v>48259.599517000155</v>
      </c>
      <c r="M200" s="199">
        <v>172712.514999999</v>
      </c>
      <c r="N200" s="199">
        <v>172712.514999999</v>
      </c>
      <c r="O200" s="199">
        <v>220972.11451699917</v>
      </c>
      <c r="P200" s="208">
        <v>1.4424910986840404E-2</v>
      </c>
    </row>
    <row r="201" spans="1:16" x14ac:dyDescent="0.25">
      <c r="A201" s="201" t="s">
        <v>219</v>
      </c>
      <c r="B201" s="209">
        <v>717</v>
      </c>
      <c r="C201" s="209">
        <v>259</v>
      </c>
      <c r="D201" s="209">
        <v>7069</v>
      </c>
      <c r="E201" s="209">
        <v>1025</v>
      </c>
      <c r="F201" s="202">
        <v>41983.025130000147</v>
      </c>
      <c r="G201" s="202">
        <v>3576.5743870000069</v>
      </c>
      <c r="H201" s="202">
        <v>2700</v>
      </c>
      <c r="I201" s="202">
        <v>142962.02999999968</v>
      </c>
      <c r="J201" s="202">
        <v>22845.484999999964</v>
      </c>
      <c r="K201" s="202">
        <v>6905</v>
      </c>
      <c r="L201" s="202">
        <v>48259.599517000155</v>
      </c>
      <c r="M201" s="202">
        <v>172712.51499999964</v>
      </c>
      <c r="N201" s="202">
        <v>172712.51499999964</v>
      </c>
      <c r="O201" s="202">
        <v>220972.11451699981</v>
      </c>
      <c r="P201" s="210">
        <v>1.4424910986840445E-2</v>
      </c>
    </row>
    <row r="202" spans="1:16" x14ac:dyDescent="0.25">
      <c r="A202" s="198" t="s">
        <v>98</v>
      </c>
      <c r="B202" s="207">
        <v>1417</v>
      </c>
      <c r="C202" s="207">
        <v>847</v>
      </c>
      <c r="D202" s="207">
        <v>14872</v>
      </c>
      <c r="E202" s="207">
        <v>3327</v>
      </c>
      <c r="F202" s="199">
        <v>76768.37827200121</v>
      </c>
      <c r="G202" s="199">
        <v>10679.525305000052</v>
      </c>
      <c r="H202" s="199">
        <v>7740</v>
      </c>
      <c r="I202" s="199">
        <v>289934.12999999709</v>
      </c>
      <c r="J202" s="199">
        <v>77895.610000000117</v>
      </c>
      <c r="K202" s="199">
        <v>21099</v>
      </c>
      <c r="L202" s="199">
        <v>95187.903577001256</v>
      </c>
      <c r="M202" s="199">
        <v>388928.7399999972</v>
      </c>
      <c r="N202" s="199">
        <v>388928.7399999972</v>
      </c>
      <c r="O202" s="199">
        <v>484116.64357699844</v>
      </c>
      <c r="P202" s="208">
        <v>3.1602808825495141E-2</v>
      </c>
    </row>
    <row r="203" spans="1:16" x14ac:dyDescent="0.25">
      <c r="A203" s="201" t="s">
        <v>218</v>
      </c>
      <c r="B203" s="209">
        <v>1417</v>
      </c>
      <c r="C203" s="209">
        <v>847</v>
      </c>
      <c r="D203" s="209">
        <v>14872</v>
      </c>
      <c r="E203" s="209">
        <v>3327</v>
      </c>
      <c r="F203" s="202">
        <v>76768.37827200121</v>
      </c>
      <c r="G203" s="202">
        <v>10679.525305000052</v>
      </c>
      <c r="H203" s="202">
        <v>7740</v>
      </c>
      <c r="I203" s="202">
        <v>289934.12999999203</v>
      </c>
      <c r="J203" s="202">
        <v>77895.609999999651</v>
      </c>
      <c r="K203" s="202">
        <v>21099</v>
      </c>
      <c r="L203" s="202">
        <v>95187.903577001256</v>
      </c>
      <c r="M203" s="202">
        <v>388928.73999999167</v>
      </c>
      <c r="N203" s="202">
        <v>388928.73999999167</v>
      </c>
      <c r="O203" s="202">
        <v>484116.64357699291</v>
      </c>
      <c r="P203" s="210">
        <v>3.160280882549478E-2</v>
      </c>
    </row>
    <row r="204" spans="1:16" x14ac:dyDescent="0.25">
      <c r="A204" s="198" t="s">
        <v>99</v>
      </c>
      <c r="B204" s="207">
        <v>1320</v>
      </c>
      <c r="C204" s="207">
        <v>691</v>
      </c>
      <c r="D204" s="207">
        <v>12458</v>
      </c>
      <c r="E204" s="207">
        <v>2711</v>
      </c>
      <c r="F204" s="199">
        <v>82205.997299999566</v>
      </c>
      <c r="G204" s="199">
        <v>9658.7049439999155</v>
      </c>
      <c r="H204" s="199">
        <v>5364</v>
      </c>
      <c r="I204" s="199">
        <v>255118.00999999858</v>
      </c>
      <c r="J204" s="199">
        <v>64793.397499999861</v>
      </c>
      <c r="K204" s="199">
        <v>15206.5</v>
      </c>
      <c r="L204" s="199">
        <v>97228.702243999476</v>
      </c>
      <c r="M204" s="199">
        <v>335117.90749999846</v>
      </c>
      <c r="N204" s="199">
        <v>335117.90749999846</v>
      </c>
      <c r="O204" s="199">
        <v>432346.60974399792</v>
      </c>
      <c r="P204" s="208">
        <v>2.8223295842786641E-2</v>
      </c>
    </row>
    <row r="205" spans="1:16" x14ac:dyDescent="0.25">
      <c r="A205" s="201" t="s">
        <v>217</v>
      </c>
      <c r="B205" s="209">
        <v>1320</v>
      </c>
      <c r="C205" s="209">
        <v>691</v>
      </c>
      <c r="D205" s="209">
        <v>12458</v>
      </c>
      <c r="E205" s="209">
        <v>2711</v>
      </c>
      <c r="F205" s="202">
        <v>82205.997299999566</v>
      </c>
      <c r="G205" s="202">
        <v>9658.7049439999155</v>
      </c>
      <c r="H205" s="202">
        <v>5364</v>
      </c>
      <c r="I205" s="202">
        <v>255118.00999999474</v>
      </c>
      <c r="J205" s="202">
        <v>64793.397500000028</v>
      </c>
      <c r="K205" s="202">
        <v>15206.5</v>
      </c>
      <c r="L205" s="202">
        <v>97228.702243999476</v>
      </c>
      <c r="M205" s="202">
        <v>335117.90749999479</v>
      </c>
      <c r="N205" s="202">
        <v>335117.90749999479</v>
      </c>
      <c r="O205" s="202">
        <v>432346.60974399425</v>
      </c>
      <c r="P205" s="210">
        <v>2.8223295842786402E-2</v>
      </c>
    </row>
    <row r="206" spans="1:16" x14ac:dyDescent="0.25">
      <c r="A206" s="198" t="s">
        <v>100</v>
      </c>
      <c r="B206" s="207">
        <v>640</v>
      </c>
      <c r="C206" s="207">
        <v>233</v>
      </c>
      <c r="D206" s="207">
        <v>5975</v>
      </c>
      <c r="E206" s="207">
        <v>1023</v>
      </c>
      <c r="F206" s="199">
        <v>29769.304211999774</v>
      </c>
      <c r="G206" s="199">
        <v>3550.0121380000141</v>
      </c>
      <c r="H206" s="199">
        <v>1333.44</v>
      </c>
      <c r="I206" s="199">
        <v>116083.34000000062</v>
      </c>
      <c r="J206" s="199">
        <v>21255.974999999922</v>
      </c>
      <c r="K206" s="199">
        <v>9290.3499999999967</v>
      </c>
      <c r="L206" s="199">
        <v>34652.756349999792</v>
      </c>
      <c r="M206" s="199">
        <v>146629.66500000056</v>
      </c>
      <c r="N206" s="199">
        <v>146629.66500000056</v>
      </c>
      <c r="O206" s="199">
        <v>181282.42135000037</v>
      </c>
      <c r="P206" s="208">
        <v>1.1833994516314788E-2</v>
      </c>
    </row>
    <row r="207" spans="1:16" x14ac:dyDescent="0.25">
      <c r="A207" s="201" t="s">
        <v>216</v>
      </c>
      <c r="B207" s="209">
        <v>640</v>
      </c>
      <c r="C207" s="209">
        <v>233</v>
      </c>
      <c r="D207" s="209">
        <v>5975</v>
      </c>
      <c r="E207" s="209">
        <v>1023</v>
      </c>
      <c r="F207" s="202">
        <v>29769.304211999774</v>
      </c>
      <c r="G207" s="202">
        <v>3550.0121380000141</v>
      </c>
      <c r="H207" s="202">
        <v>1333.44</v>
      </c>
      <c r="I207" s="202">
        <v>116083.34000000075</v>
      </c>
      <c r="J207" s="202">
        <v>21255.974999999842</v>
      </c>
      <c r="K207" s="202">
        <v>9290.3499999999967</v>
      </c>
      <c r="L207" s="202">
        <v>34652.756349999792</v>
      </c>
      <c r="M207" s="202">
        <v>146629.66500000059</v>
      </c>
      <c r="N207" s="202">
        <v>146629.66500000059</v>
      </c>
      <c r="O207" s="202">
        <v>181282.42135000037</v>
      </c>
      <c r="P207" s="210">
        <v>1.1833994516314788E-2</v>
      </c>
    </row>
    <row r="208" spans="1:16" x14ac:dyDescent="0.25">
      <c r="A208" s="198" t="s">
        <v>101</v>
      </c>
      <c r="B208" s="207">
        <v>12</v>
      </c>
      <c r="C208" s="207"/>
      <c r="D208" s="207">
        <v>68</v>
      </c>
      <c r="E208" s="207"/>
      <c r="F208" s="199">
        <v>924.48</v>
      </c>
      <c r="G208" s="199"/>
      <c r="H208" s="199"/>
      <c r="I208" s="199">
        <v>1877.85</v>
      </c>
      <c r="J208" s="199"/>
      <c r="K208" s="199"/>
      <c r="L208" s="199">
        <v>924.48</v>
      </c>
      <c r="M208" s="199">
        <v>1877.85</v>
      </c>
      <c r="N208" s="199">
        <v>1877.85</v>
      </c>
      <c r="O208" s="199">
        <v>2802.33</v>
      </c>
      <c r="P208" s="208">
        <v>1.8293421726134923E-4</v>
      </c>
    </row>
    <row r="209" spans="1:16" x14ac:dyDescent="0.25">
      <c r="A209" s="201" t="s">
        <v>213</v>
      </c>
      <c r="B209" s="209">
        <v>12</v>
      </c>
      <c r="C209" s="209"/>
      <c r="D209" s="209">
        <v>68</v>
      </c>
      <c r="E209" s="209"/>
      <c r="F209" s="202">
        <v>924.48</v>
      </c>
      <c r="G209" s="202"/>
      <c r="H209" s="202"/>
      <c r="I209" s="202">
        <v>1877.85</v>
      </c>
      <c r="J209" s="202"/>
      <c r="K209" s="202"/>
      <c r="L209" s="202">
        <v>924.48</v>
      </c>
      <c r="M209" s="202">
        <v>1877.85</v>
      </c>
      <c r="N209" s="202">
        <v>1877.85</v>
      </c>
      <c r="O209" s="202">
        <v>2802.33</v>
      </c>
      <c r="P209" s="210">
        <v>1.8293421726134923E-4</v>
      </c>
    </row>
    <row r="210" spans="1:16" x14ac:dyDescent="0.25">
      <c r="A210" s="198" t="s">
        <v>130</v>
      </c>
      <c r="B210" s="207"/>
      <c r="C210" s="207">
        <v>15</v>
      </c>
      <c r="D210" s="207"/>
      <c r="E210" s="207">
        <v>74</v>
      </c>
      <c r="F210" s="199"/>
      <c r="G210" s="199">
        <v>187.78500000000005</v>
      </c>
      <c r="H210" s="199"/>
      <c r="I210" s="199"/>
      <c r="J210" s="199">
        <v>1578.7850000000003</v>
      </c>
      <c r="K210" s="199"/>
      <c r="L210" s="199">
        <v>187.78500000000005</v>
      </c>
      <c r="M210" s="199">
        <v>1578.7850000000003</v>
      </c>
      <c r="N210" s="199">
        <v>1578.7850000000003</v>
      </c>
      <c r="O210" s="199">
        <v>1766.5700000000004</v>
      </c>
      <c r="P210" s="208">
        <v>1.1532050122126294E-4</v>
      </c>
    </row>
    <row r="211" spans="1:16" x14ac:dyDescent="0.25">
      <c r="A211" s="201" t="s">
        <v>212</v>
      </c>
      <c r="B211" s="209"/>
      <c r="C211" s="209">
        <v>15</v>
      </c>
      <c r="D211" s="209"/>
      <c r="E211" s="209">
        <v>74</v>
      </c>
      <c r="F211" s="202"/>
      <c r="G211" s="202">
        <v>187.78500000000005</v>
      </c>
      <c r="H211" s="202"/>
      <c r="I211" s="202"/>
      <c r="J211" s="202">
        <v>1578.7850000000003</v>
      </c>
      <c r="K211" s="202"/>
      <c r="L211" s="202">
        <v>187.78500000000005</v>
      </c>
      <c r="M211" s="202">
        <v>1578.7850000000003</v>
      </c>
      <c r="N211" s="202">
        <v>1578.7850000000003</v>
      </c>
      <c r="O211" s="202">
        <v>1766.5700000000004</v>
      </c>
      <c r="P211" s="210">
        <v>1.1532050122126294E-4</v>
      </c>
    </row>
    <row r="212" spans="1:16" x14ac:dyDescent="0.25">
      <c r="A212" s="198" t="s">
        <v>468</v>
      </c>
      <c r="B212" s="207">
        <v>28</v>
      </c>
      <c r="C212" s="207"/>
      <c r="D212" s="207">
        <v>299</v>
      </c>
      <c r="E212" s="207"/>
      <c r="F212" s="199">
        <v>1588.859999999999</v>
      </c>
      <c r="G212" s="199"/>
      <c r="H212" s="199">
        <v>360</v>
      </c>
      <c r="I212" s="199">
        <v>5824.5699999999943</v>
      </c>
      <c r="J212" s="199"/>
      <c r="K212" s="199">
        <v>838</v>
      </c>
      <c r="L212" s="199">
        <v>1948.859999999999</v>
      </c>
      <c r="M212" s="199">
        <v>6662.5699999999943</v>
      </c>
      <c r="N212" s="199">
        <v>6662.5699999999943</v>
      </c>
      <c r="O212" s="199">
        <v>8611.429999999993</v>
      </c>
      <c r="P212" s="208">
        <v>5.6214835745643777E-4</v>
      </c>
    </row>
    <row r="213" spans="1:16" x14ac:dyDescent="0.25">
      <c r="A213" s="201" t="s">
        <v>211</v>
      </c>
      <c r="B213" s="209">
        <v>28</v>
      </c>
      <c r="C213" s="209"/>
      <c r="D213" s="209">
        <v>299</v>
      </c>
      <c r="E213" s="209"/>
      <c r="F213" s="202">
        <v>1588.859999999999</v>
      </c>
      <c r="G213" s="202"/>
      <c r="H213" s="202">
        <v>360</v>
      </c>
      <c r="I213" s="202">
        <v>5824.5700000000024</v>
      </c>
      <c r="J213" s="202"/>
      <c r="K213" s="202">
        <v>838</v>
      </c>
      <c r="L213" s="202">
        <v>1948.859999999999</v>
      </c>
      <c r="M213" s="202">
        <v>6662.5700000000024</v>
      </c>
      <c r="N213" s="202">
        <v>6662.5700000000024</v>
      </c>
      <c r="O213" s="202">
        <v>8611.4300000000021</v>
      </c>
      <c r="P213" s="210">
        <v>5.6214835745643842E-4</v>
      </c>
    </row>
    <row r="214" spans="1:16" x14ac:dyDescent="0.25">
      <c r="A214" s="198" t="s">
        <v>103</v>
      </c>
      <c r="B214" s="207">
        <v>55</v>
      </c>
      <c r="C214" s="207">
        <v>114</v>
      </c>
      <c r="D214" s="207">
        <v>549</v>
      </c>
      <c r="E214" s="207">
        <v>450</v>
      </c>
      <c r="F214" s="199">
        <v>4835.5209719999948</v>
      </c>
      <c r="G214" s="199">
        <v>1587.9235559999981</v>
      </c>
      <c r="H214" s="199"/>
      <c r="I214" s="199">
        <v>12711.779999999999</v>
      </c>
      <c r="J214" s="199">
        <v>9916.9200000000019</v>
      </c>
      <c r="K214" s="199">
        <v>42.5</v>
      </c>
      <c r="L214" s="199">
        <v>6423.4445279999927</v>
      </c>
      <c r="M214" s="199">
        <v>22671.200000000001</v>
      </c>
      <c r="N214" s="199">
        <v>22671.200000000001</v>
      </c>
      <c r="O214" s="199">
        <v>29094.644527999993</v>
      </c>
      <c r="P214" s="208">
        <v>1.8992788227035634E-3</v>
      </c>
    </row>
    <row r="215" spans="1:16" x14ac:dyDescent="0.25">
      <c r="A215" s="201" t="s">
        <v>210</v>
      </c>
      <c r="B215" s="209">
        <v>55</v>
      </c>
      <c r="C215" s="209">
        <v>114</v>
      </c>
      <c r="D215" s="209">
        <v>549</v>
      </c>
      <c r="E215" s="209">
        <v>450</v>
      </c>
      <c r="F215" s="202">
        <v>4835.5209719999948</v>
      </c>
      <c r="G215" s="202">
        <v>1587.9235559999981</v>
      </c>
      <c r="H215" s="202"/>
      <c r="I215" s="202">
        <v>12711.779999999993</v>
      </c>
      <c r="J215" s="202">
        <v>9916.9199999999964</v>
      </c>
      <c r="K215" s="202">
        <v>42.5</v>
      </c>
      <c r="L215" s="202">
        <v>6423.4445279999927</v>
      </c>
      <c r="M215" s="202">
        <v>22671.19999999999</v>
      </c>
      <c r="N215" s="202">
        <v>22671.19999999999</v>
      </c>
      <c r="O215" s="202">
        <v>29094.644527999983</v>
      </c>
      <c r="P215" s="210">
        <v>1.8992788227035625E-3</v>
      </c>
    </row>
    <row r="216" spans="1:16" x14ac:dyDescent="0.25">
      <c r="A216" s="198" t="s">
        <v>104</v>
      </c>
      <c r="B216" s="207"/>
      <c r="C216" s="207">
        <v>170</v>
      </c>
      <c r="D216" s="207"/>
      <c r="E216" s="207">
        <v>702</v>
      </c>
      <c r="F216" s="199"/>
      <c r="G216" s="199">
        <v>1879.9570700000043</v>
      </c>
      <c r="H216" s="199"/>
      <c r="I216" s="199"/>
      <c r="J216" s="199">
        <v>15240.419999999976</v>
      </c>
      <c r="K216" s="199"/>
      <c r="L216" s="199">
        <v>1879.9570700000043</v>
      </c>
      <c r="M216" s="199">
        <v>15240.419999999976</v>
      </c>
      <c r="N216" s="199">
        <v>15240.419999999976</v>
      </c>
      <c r="O216" s="199">
        <v>17120.37706999998</v>
      </c>
      <c r="P216" s="208">
        <v>1.117606698183154E-3</v>
      </c>
    </row>
    <row r="217" spans="1:16" x14ac:dyDescent="0.25">
      <c r="A217" s="201" t="s">
        <v>209</v>
      </c>
      <c r="B217" s="209"/>
      <c r="C217" s="209">
        <v>170</v>
      </c>
      <c r="D217" s="209"/>
      <c r="E217" s="209">
        <v>702</v>
      </c>
      <c r="F217" s="202"/>
      <c r="G217" s="202">
        <v>1879.9570700000043</v>
      </c>
      <c r="H217" s="202"/>
      <c r="I217" s="202"/>
      <c r="J217" s="202">
        <v>15240.419999999986</v>
      </c>
      <c r="K217" s="202"/>
      <c r="L217" s="202">
        <v>1879.9570700000043</v>
      </c>
      <c r="M217" s="202">
        <v>15240.419999999986</v>
      </c>
      <c r="N217" s="202">
        <v>15240.419999999986</v>
      </c>
      <c r="O217" s="202">
        <v>17120.377069999991</v>
      </c>
      <c r="P217" s="210">
        <v>1.1176066981831547E-3</v>
      </c>
    </row>
    <row r="218" spans="1:16" x14ac:dyDescent="0.25">
      <c r="A218" s="198" t="s">
        <v>434</v>
      </c>
      <c r="B218" s="207">
        <v>152</v>
      </c>
      <c r="C218" s="207">
        <v>366</v>
      </c>
      <c r="D218" s="207">
        <v>1641</v>
      </c>
      <c r="E218" s="207">
        <v>1338</v>
      </c>
      <c r="F218" s="199">
        <v>4119.8376240000025</v>
      </c>
      <c r="G218" s="199">
        <v>4417.6878210000468</v>
      </c>
      <c r="H218" s="199"/>
      <c r="I218" s="199">
        <v>26261.720000000012</v>
      </c>
      <c r="J218" s="199">
        <v>35278.554999999877</v>
      </c>
      <c r="K218" s="199"/>
      <c r="L218" s="199">
        <v>8537.5254450000502</v>
      </c>
      <c r="M218" s="199">
        <v>61540.274999999892</v>
      </c>
      <c r="N218" s="199">
        <v>56055.682611450102</v>
      </c>
      <c r="O218" s="199">
        <v>64593.208056450152</v>
      </c>
      <c r="P218" s="208">
        <v>4.216601169814471E-3</v>
      </c>
    </row>
    <row r="219" spans="1:16" x14ac:dyDescent="0.25">
      <c r="A219" s="201" t="s">
        <v>208</v>
      </c>
      <c r="B219" s="209">
        <v>152</v>
      </c>
      <c r="C219" s="209">
        <v>366</v>
      </c>
      <c r="D219" s="209">
        <v>1641</v>
      </c>
      <c r="E219" s="209">
        <v>1338</v>
      </c>
      <c r="F219" s="202">
        <v>4119.8376240000025</v>
      </c>
      <c r="G219" s="202">
        <v>4417.6878210000468</v>
      </c>
      <c r="H219" s="202"/>
      <c r="I219" s="202">
        <v>26261.720000000012</v>
      </c>
      <c r="J219" s="202">
        <v>35278.554999999877</v>
      </c>
      <c r="K219" s="202"/>
      <c r="L219" s="202">
        <v>8537.5254450000502</v>
      </c>
      <c r="M219" s="202">
        <v>61540.274999999892</v>
      </c>
      <c r="N219" s="202">
        <v>56055.682611450102</v>
      </c>
      <c r="O219" s="202">
        <v>64593.208056450152</v>
      </c>
      <c r="P219" s="210">
        <v>4.216601169814471E-3</v>
      </c>
    </row>
    <row r="220" spans="1:16" x14ac:dyDescent="0.25">
      <c r="A220" s="198" t="s">
        <v>105</v>
      </c>
      <c r="B220" s="207">
        <v>143</v>
      </c>
      <c r="C220" s="207"/>
      <c r="D220" s="207">
        <v>1627</v>
      </c>
      <c r="E220" s="207">
        <v>19</v>
      </c>
      <c r="F220" s="199">
        <v>10552.320432000002</v>
      </c>
      <c r="G220" s="199"/>
      <c r="H220" s="199">
        <v>540</v>
      </c>
      <c r="I220" s="199">
        <v>31714.340000000018</v>
      </c>
      <c r="J220" s="199">
        <v>598.9749999999998</v>
      </c>
      <c r="K220" s="199">
        <v>1662</v>
      </c>
      <c r="L220" s="199">
        <v>11092.320432000002</v>
      </c>
      <c r="M220" s="199">
        <v>33975.315000000017</v>
      </c>
      <c r="N220" s="199">
        <v>33975.315000000017</v>
      </c>
      <c r="O220" s="199">
        <v>45067.635432000017</v>
      </c>
      <c r="P220" s="208">
        <v>2.9419849238215244E-3</v>
      </c>
    </row>
    <row r="221" spans="1:16" x14ac:dyDescent="0.25">
      <c r="A221" s="201" t="s">
        <v>207</v>
      </c>
      <c r="B221" s="209">
        <v>143</v>
      </c>
      <c r="C221" s="209"/>
      <c r="D221" s="209">
        <v>1627</v>
      </c>
      <c r="E221" s="209">
        <v>19</v>
      </c>
      <c r="F221" s="202">
        <v>10552.320432000002</v>
      </c>
      <c r="G221" s="202"/>
      <c r="H221" s="202">
        <v>540</v>
      </c>
      <c r="I221" s="202">
        <v>31714.340000000004</v>
      </c>
      <c r="J221" s="202">
        <v>598.9749999999998</v>
      </c>
      <c r="K221" s="202">
        <v>1662</v>
      </c>
      <c r="L221" s="202">
        <v>11092.320432000002</v>
      </c>
      <c r="M221" s="202">
        <v>33975.315000000002</v>
      </c>
      <c r="N221" s="202">
        <v>33975.315000000002</v>
      </c>
      <c r="O221" s="202">
        <v>45067.635432000003</v>
      </c>
      <c r="P221" s="210">
        <v>2.9419849238215231E-3</v>
      </c>
    </row>
    <row r="222" spans="1:16" x14ac:dyDescent="0.25">
      <c r="A222" s="198" t="s">
        <v>106</v>
      </c>
      <c r="B222" s="207">
        <v>294</v>
      </c>
      <c r="C222" s="207">
        <v>19</v>
      </c>
      <c r="D222" s="207">
        <v>3328</v>
      </c>
      <c r="E222" s="207">
        <v>111</v>
      </c>
      <c r="F222" s="199">
        <v>18096.838866000006</v>
      </c>
      <c r="G222" s="199">
        <v>337.66214800000012</v>
      </c>
      <c r="H222" s="199">
        <v>720</v>
      </c>
      <c r="I222" s="199">
        <v>65806.959999999934</v>
      </c>
      <c r="J222" s="199">
        <v>1887.6975000000002</v>
      </c>
      <c r="K222" s="199">
        <v>3125.75</v>
      </c>
      <c r="L222" s="199">
        <v>19154.501014000005</v>
      </c>
      <c r="M222" s="199">
        <v>70820.407499999928</v>
      </c>
      <c r="N222" s="199">
        <v>70820.407499999928</v>
      </c>
      <c r="O222" s="199">
        <v>89974.908513999937</v>
      </c>
      <c r="P222" s="208">
        <v>5.8735015013114391E-3</v>
      </c>
    </row>
    <row r="223" spans="1:16" x14ac:dyDescent="0.25">
      <c r="A223" s="201" t="s">
        <v>206</v>
      </c>
      <c r="B223" s="209">
        <v>294</v>
      </c>
      <c r="C223" s="209">
        <v>19</v>
      </c>
      <c r="D223" s="209">
        <v>3328</v>
      </c>
      <c r="E223" s="209">
        <v>111</v>
      </c>
      <c r="F223" s="202">
        <v>18096.838866000006</v>
      </c>
      <c r="G223" s="202">
        <v>337.66214800000012</v>
      </c>
      <c r="H223" s="202">
        <v>720</v>
      </c>
      <c r="I223" s="202">
        <v>65806.960000000065</v>
      </c>
      <c r="J223" s="202">
        <v>1887.6975000000009</v>
      </c>
      <c r="K223" s="202">
        <v>3125.75</v>
      </c>
      <c r="L223" s="202">
        <v>19154.501014000005</v>
      </c>
      <c r="M223" s="202">
        <v>70820.407500000059</v>
      </c>
      <c r="N223" s="202">
        <v>70820.407500000059</v>
      </c>
      <c r="O223" s="202">
        <v>89974.908514000068</v>
      </c>
      <c r="P223" s="210">
        <v>5.8735015013114478E-3</v>
      </c>
    </row>
    <row r="224" spans="1:16" ht="24" x14ac:dyDescent="0.25">
      <c r="A224" s="198" t="s">
        <v>107</v>
      </c>
      <c r="B224" s="207">
        <v>343</v>
      </c>
      <c r="C224" s="207">
        <v>152</v>
      </c>
      <c r="D224" s="207">
        <v>3555</v>
      </c>
      <c r="E224" s="207">
        <v>607</v>
      </c>
      <c r="F224" s="199">
        <v>20361.421241999968</v>
      </c>
      <c r="G224" s="199">
        <v>2554.1108610000033</v>
      </c>
      <c r="H224" s="199">
        <v>180</v>
      </c>
      <c r="I224" s="199">
        <v>76735.885000000169</v>
      </c>
      <c r="J224" s="199">
        <v>14259.895000000022</v>
      </c>
      <c r="K224" s="199">
        <v>1419</v>
      </c>
      <c r="L224" s="199">
        <v>23095.532102999972</v>
      </c>
      <c r="M224" s="199">
        <v>92414.780000000188</v>
      </c>
      <c r="N224" s="199">
        <v>92414.780000000188</v>
      </c>
      <c r="O224" s="199">
        <v>115510.31210300016</v>
      </c>
      <c r="P224" s="208">
        <v>7.5404354698327784E-3</v>
      </c>
    </row>
    <row r="225" spans="1:16" x14ac:dyDescent="0.25">
      <c r="A225" s="201" t="s">
        <v>205</v>
      </c>
      <c r="B225" s="209">
        <v>343</v>
      </c>
      <c r="C225" s="209">
        <v>152</v>
      </c>
      <c r="D225" s="209">
        <v>3555</v>
      </c>
      <c r="E225" s="209">
        <v>607</v>
      </c>
      <c r="F225" s="202">
        <v>20361.421241999968</v>
      </c>
      <c r="G225" s="202">
        <v>2554.1108610000033</v>
      </c>
      <c r="H225" s="202">
        <v>180</v>
      </c>
      <c r="I225" s="202">
        <v>76735.885000000082</v>
      </c>
      <c r="J225" s="202">
        <v>14259.895000000026</v>
      </c>
      <c r="K225" s="202">
        <v>1419</v>
      </c>
      <c r="L225" s="202">
        <v>23095.532102999972</v>
      </c>
      <c r="M225" s="202">
        <v>92414.780000000115</v>
      </c>
      <c r="N225" s="202">
        <v>92414.780000000115</v>
      </c>
      <c r="O225" s="202">
        <v>115510.31210300009</v>
      </c>
      <c r="P225" s="210">
        <v>7.5404354698327741E-3</v>
      </c>
    </row>
    <row r="226" spans="1:16" x14ac:dyDescent="0.25">
      <c r="A226" s="198" t="s">
        <v>108</v>
      </c>
      <c r="B226" s="207">
        <v>568</v>
      </c>
      <c r="C226" s="207">
        <v>757</v>
      </c>
      <c r="D226" s="207">
        <v>5840</v>
      </c>
      <c r="E226" s="207">
        <v>3275</v>
      </c>
      <c r="F226" s="199">
        <v>20347.383563999938</v>
      </c>
      <c r="G226" s="199">
        <v>11052.525375999941</v>
      </c>
      <c r="H226" s="199">
        <v>828</v>
      </c>
      <c r="I226" s="199">
        <v>116779.29000000018</v>
      </c>
      <c r="J226" s="199">
        <v>68860.25249999974</v>
      </c>
      <c r="K226" s="199">
        <v>2508</v>
      </c>
      <c r="L226" s="199">
        <v>32227.908939999877</v>
      </c>
      <c r="M226" s="199">
        <v>188147.54249999992</v>
      </c>
      <c r="N226" s="199">
        <v>188147.54249999992</v>
      </c>
      <c r="O226" s="199">
        <v>220375.4514399998</v>
      </c>
      <c r="P226" s="208">
        <v>1.4385961222551535E-2</v>
      </c>
    </row>
    <row r="227" spans="1:16" x14ac:dyDescent="0.25">
      <c r="A227" s="201" t="s">
        <v>204</v>
      </c>
      <c r="B227" s="209">
        <v>568</v>
      </c>
      <c r="C227" s="209">
        <v>757</v>
      </c>
      <c r="D227" s="209">
        <v>5840</v>
      </c>
      <c r="E227" s="209">
        <v>3275</v>
      </c>
      <c r="F227" s="202">
        <v>20347.383563999938</v>
      </c>
      <c r="G227" s="202">
        <v>11052.525375999941</v>
      </c>
      <c r="H227" s="202">
        <v>828</v>
      </c>
      <c r="I227" s="202">
        <v>116779.29000000024</v>
      </c>
      <c r="J227" s="202">
        <v>68860.252500000031</v>
      </c>
      <c r="K227" s="202">
        <v>2508</v>
      </c>
      <c r="L227" s="202">
        <v>32227.908939999877</v>
      </c>
      <c r="M227" s="202">
        <v>188147.54250000027</v>
      </c>
      <c r="N227" s="202">
        <v>188147.54250000027</v>
      </c>
      <c r="O227" s="202">
        <v>220375.45144000015</v>
      </c>
      <c r="P227" s="210">
        <v>1.4385961222551558E-2</v>
      </c>
    </row>
    <row r="228" spans="1:16" x14ac:dyDescent="0.25">
      <c r="A228" s="198" t="s">
        <v>109</v>
      </c>
      <c r="B228" s="207">
        <v>2297</v>
      </c>
      <c r="C228" s="207">
        <v>612</v>
      </c>
      <c r="D228" s="207">
        <v>25131</v>
      </c>
      <c r="E228" s="207">
        <v>2722</v>
      </c>
      <c r="F228" s="199">
        <v>141067.96158600433</v>
      </c>
      <c r="G228" s="199">
        <v>8569.6683240000202</v>
      </c>
      <c r="H228" s="199">
        <v>12960</v>
      </c>
      <c r="I228" s="199">
        <v>480923.67000000615</v>
      </c>
      <c r="J228" s="199">
        <v>62746.25499999975</v>
      </c>
      <c r="K228" s="199">
        <v>41594.5</v>
      </c>
      <c r="L228" s="199">
        <v>162597.62991000435</v>
      </c>
      <c r="M228" s="199">
        <v>585264.42500000587</v>
      </c>
      <c r="N228" s="199">
        <v>585264.42500000587</v>
      </c>
      <c r="O228" s="199">
        <v>747862.05491001019</v>
      </c>
      <c r="P228" s="208">
        <v>4.8819931854716218E-2</v>
      </c>
    </row>
    <row r="229" spans="1:16" x14ac:dyDescent="0.25">
      <c r="A229" s="201" t="s">
        <v>203</v>
      </c>
      <c r="B229" s="209">
        <v>2297</v>
      </c>
      <c r="C229" s="209">
        <v>612</v>
      </c>
      <c r="D229" s="209">
        <v>25131</v>
      </c>
      <c r="E229" s="209">
        <v>2722</v>
      </c>
      <c r="F229" s="202">
        <v>141067.96158600433</v>
      </c>
      <c r="G229" s="202">
        <v>8569.6683240000202</v>
      </c>
      <c r="H229" s="202">
        <v>12960</v>
      </c>
      <c r="I229" s="202">
        <v>480923.67000000185</v>
      </c>
      <c r="J229" s="202">
        <v>62746.254999999153</v>
      </c>
      <c r="K229" s="202">
        <v>41594.5</v>
      </c>
      <c r="L229" s="202">
        <v>162597.62991000435</v>
      </c>
      <c r="M229" s="202">
        <v>585264.42500000098</v>
      </c>
      <c r="N229" s="202">
        <v>585264.42500000098</v>
      </c>
      <c r="O229" s="202">
        <v>747862.0549100053</v>
      </c>
      <c r="P229" s="210">
        <v>4.8819931854715899E-2</v>
      </c>
    </row>
    <row r="230" spans="1:16" x14ac:dyDescent="0.25">
      <c r="A230" s="198" t="s">
        <v>110</v>
      </c>
      <c r="B230" s="207">
        <v>26</v>
      </c>
      <c r="C230" s="207"/>
      <c r="D230" s="207">
        <v>212</v>
      </c>
      <c r="E230" s="207"/>
      <c r="F230" s="199">
        <v>2030.0397839999996</v>
      </c>
      <c r="G230" s="199"/>
      <c r="H230" s="199">
        <v>36</v>
      </c>
      <c r="I230" s="199">
        <v>4553.1449999999986</v>
      </c>
      <c r="J230" s="199"/>
      <c r="K230" s="199">
        <v>66.5</v>
      </c>
      <c r="L230" s="199">
        <v>2066.0397839999996</v>
      </c>
      <c r="M230" s="199">
        <v>4619.6449999999986</v>
      </c>
      <c r="N230" s="199">
        <v>4619.6449999999986</v>
      </c>
      <c r="O230" s="199">
        <v>6685.6847839999982</v>
      </c>
      <c r="P230" s="208">
        <v>4.364370052125026E-4</v>
      </c>
    </row>
    <row r="231" spans="1:16" x14ac:dyDescent="0.25">
      <c r="A231" s="201" t="s">
        <v>202</v>
      </c>
      <c r="B231" s="209">
        <v>26</v>
      </c>
      <c r="C231" s="209"/>
      <c r="D231" s="209">
        <v>212</v>
      </c>
      <c r="E231" s="209"/>
      <c r="F231" s="202">
        <v>2030.0397839999996</v>
      </c>
      <c r="G231" s="202"/>
      <c r="H231" s="202">
        <v>36</v>
      </c>
      <c r="I231" s="202">
        <v>4553.1449999999977</v>
      </c>
      <c r="J231" s="202"/>
      <c r="K231" s="202">
        <v>66.5</v>
      </c>
      <c r="L231" s="202">
        <v>2066.0397839999996</v>
      </c>
      <c r="M231" s="202">
        <v>4619.6449999999977</v>
      </c>
      <c r="N231" s="202">
        <v>4619.6449999999977</v>
      </c>
      <c r="O231" s="202">
        <v>6685.6847839999973</v>
      </c>
      <c r="P231" s="210">
        <v>4.3643700521250254E-4</v>
      </c>
    </row>
    <row r="232" spans="1:16" x14ac:dyDescent="0.25">
      <c r="A232" s="198" t="s">
        <v>111</v>
      </c>
      <c r="B232" s="207">
        <v>25</v>
      </c>
      <c r="C232" s="207">
        <v>7</v>
      </c>
      <c r="D232" s="207">
        <v>224</v>
      </c>
      <c r="E232" s="207">
        <v>55</v>
      </c>
      <c r="F232" s="199">
        <v>2549.1600000000003</v>
      </c>
      <c r="G232" s="199">
        <v>146.01607299999998</v>
      </c>
      <c r="H232" s="199">
        <v>180</v>
      </c>
      <c r="I232" s="199">
        <v>5937.2999999999993</v>
      </c>
      <c r="J232" s="199">
        <v>950.625</v>
      </c>
      <c r="K232" s="199">
        <v>329.5</v>
      </c>
      <c r="L232" s="199">
        <v>2875.1760730000001</v>
      </c>
      <c r="M232" s="199">
        <v>7217.4249999999993</v>
      </c>
      <c r="N232" s="199">
        <v>7217.4249999999993</v>
      </c>
      <c r="O232" s="199">
        <v>10092.601073</v>
      </c>
      <c r="P232" s="208">
        <v>6.5883820871214611E-4</v>
      </c>
    </row>
    <row r="233" spans="1:16" x14ac:dyDescent="0.25">
      <c r="A233" s="201" t="s">
        <v>201</v>
      </c>
      <c r="B233" s="209">
        <v>25</v>
      </c>
      <c r="C233" s="209">
        <v>7</v>
      </c>
      <c r="D233" s="209">
        <v>224</v>
      </c>
      <c r="E233" s="209">
        <v>55</v>
      </c>
      <c r="F233" s="202">
        <v>2549.1600000000003</v>
      </c>
      <c r="G233" s="202">
        <v>146.01607299999998</v>
      </c>
      <c r="H233" s="202">
        <v>180</v>
      </c>
      <c r="I233" s="202">
        <v>5937.2999999999993</v>
      </c>
      <c r="J233" s="202">
        <v>950.62499999999955</v>
      </c>
      <c r="K233" s="202">
        <v>329.5</v>
      </c>
      <c r="L233" s="202">
        <v>2875.1760730000001</v>
      </c>
      <c r="M233" s="202">
        <v>7217.4249999999993</v>
      </c>
      <c r="N233" s="202">
        <v>7217.4249999999993</v>
      </c>
      <c r="O233" s="202">
        <v>10092.601073</v>
      </c>
      <c r="P233" s="210">
        <v>6.5883820871214611E-4</v>
      </c>
    </row>
    <row r="234" spans="1:16" x14ac:dyDescent="0.25">
      <c r="A234" s="198" t="s">
        <v>112</v>
      </c>
      <c r="B234" s="207">
        <v>57</v>
      </c>
      <c r="C234" s="207"/>
      <c r="D234" s="207">
        <v>711</v>
      </c>
      <c r="E234" s="207"/>
      <c r="F234" s="199">
        <v>2831.2202700000025</v>
      </c>
      <c r="G234" s="199"/>
      <c r="H234" s="199">
        <v>612</v>
      </c>
      <c r="I234" s="199">
        <v>12559.570000000009</v>
      </c>
      <c r="J234" s="199"/>
      <c r="K234" s="199">
        <v>2912.5</v>
      </c>
      <c r="L234" s="199">
        <v>3443.2202700000025</v>
      </c>
      <c r="M234" s="199">
        <v>15472.070000000009</v>
      </c>
      <c r="N234" s="199">
        <v>15472.070000000009</v>
      </c>
      <c r="O234" s="199">
        <v>18915.290270000012</v>
      </c>
      <c r="P234" s="208">
        <v>1.2347774244338345E-3</v>
      </c>
    </row>
    <row r="235" spans="1:16" x14ac:dyDescent="0.25">
      <c r="A235" s="201" t="s">
        <v>197</v>
      </c>
      <c r="B235" s="209">
        <v>57</v>
      </c>
      <c r="C235" s="209"/>
      <c r="D235" s="209">
        <v>711</v>
      </c>
      <c r="E235" s="209"/>
      <c r="F235" s="202">
        <v>2831.2202700000025</v>
      </c>
      <c r="G235" s="202"/>
      <c r="H235" s="202">
        <v>612</v>
      </c>
      <c r="I235" s="202">
        <v>12559.569999999923</v>
      </c>
      <c r="J235" s="202"/>
      <c r="K235" s="202">
        <v>2912.5</v>
      </c>
      <c r="L235" s="202">
        <v>3443.2202700000025</v>
      </c>
      <c r="M235" s="202">
        <v>15472.069999999923</v>
      </c>
      <c r="N235" s="202">
        <v>15472.069999999923</v>
      </c>
      <c r="O235" s="202">
        <v>18915.290269999925</v>
      </c>
      <c r="P235" s="210">
        <v>1.2347774244338288E-3</v>
      </c>
    </row>
    <row r="236" spans="1:16" x14ac:dyDescent="0.25">
      <c r="A236" s="198" t="s">
        <v>113</v>
      </c>
      <c r="B236" s="207"/>
      <c r="C236" s="207"/>
      <c r="D236" s="207">
        <v>160</v>
      </c>
      <c r="E236" s="207"/>
      <c r="F236" s="199"/>
      <c r="G236" s="199"/>
      <c r="H236" s="199"/>
      <c r="I236" s="199">
        <v>4239.2499999999964</v>
      </c>
      <c r="J236" s="199"/>
      <c r="K236" s="199"/>
      <c r="L236" s="199"/>
      <c r="M236" s="199">
        <v>4239.2499999999964</v>
      </c>
      <c r="N236" s="199">
        <v>4239.2499999999964</v>
      </c>
      <c r="O236" s="199">
        <v>4239.2499999999964</v>
      </c>
      <c r="P236" s="208">
        <v>2.7673538823949146E-4</v>
      </c>
    </row>
    <row r="237" spans="1:16" x14ac:dyDescent="0.25">
      <c r="A237" s="201" t="s">
        <v>198</v>
      </c>
      <c r="B237" s="209"/>
      <c r="C237" s="209"/>
      <c r="D237" s="209">
        <v>160</v>
      </c>
      <c r="E237" s="209"/>
      <c r="F237" s="202"/>
      <c r="G237" s="202"/>
      <c r="H237" s="202"/>
      <c r="I237" s="202">
        <v>4239.2499999999964</v>
      </c>
      <c r="J237" s="202"/>
      <c r="K237" s="202"/>
      <c r="L237" s="202"/>
      <c r="M237" s="202">
        <v>4239.2499999999964</v>
      </c>
      <c r="N237" s="202">
        <v>4239.2499999999964</v>
      </c>
      <c r="O237" s="202">
        <v>4239.2499999999964</v>
      </c>
      <c r="P237" s="210">
        <v>2.7673538823949146E-4</v>
      </c>
    </row>
    <row r="238" spans="1:16" x14ac:dyDescent="0.25">
      <c r="A238" s="198" t="s">
        <v>114</v>
      </c>
      <c r="B238" s="207">
        <v>269</v>
      </c>
      <c r="C238" s="207">
        <v>231</v>
      </c>
      <c r="D238" s="207">
        <v>2472</v>
      </c>
      <c r="E238" s="207">
        <v>1252</v>
      </c>
      <c r="F238" s="199">
        <v>12711.425561999973</v>
      </c>
      <c r="G238" s="199">
        <v>4181.8153669999847</v>
      </c>
      <c r="H238" s="199"/>
      <c r="I238" s="199">
        <v>51696.150000000176</v>
      </c>
      <c r="J238" s="199">
        <v>24370.254999999896</v>
      </c>
      <c r="K238" s="199">
        <v>190.5</v>
      </c>
      <c r="L238" s="199">
        <v>16893.240928999956</v>
      </c>
      <c r="M238" s="199">
        <v>76256.905000000072</v>
      </c>
      <c r="N238" s="199">
        <v>76256.905000000072</v>
      </c>
      <c r="O238" s="199">
        <v>93150.14592900002</v>
      </c>
      <c r="P238" s="208">
        <v>6.0807788637676774E-3</v>
      </c>
    </row>
    <row r="239" spans="1:16" x14ac:dyDescent="0.25">
      <c r="A239" s="201" t="s">
        <v>195</v>
      </c>
      <c r="B239" s="209">
        <v>269</v>
      </c>
      <c r="C239" s="209">
        <v>231</v>
      </c>
      <c r="D239" s="209">
        <v>2472</v>
      </c>
      <c r="E239" s="209">
        <v>1252</v>
      </c>
      <c r="F239" s="202">
        <v>12711.425561999973</v>
      </c>
      <c r="G239" s="202">
        <v>4181.8153669999847</v>
      </c>
      <c r="H239" s="202"/>
      <c r="I239" s="202">
        <v>51696.150000000191</v>
      </c>
      <c r="J239" s="202">
        <v>24370.254999999739</v>
      </c>
      <c r="K239" s="202">
        <v>190.5</v>
      </c>
      <c r="L239" s="202">
        <v>16893.240928999956</v>
      </c>
      <c r="M239" s="202">
        <v>76256.904999999926</v>
      </c>
      <c r="N239" s="202">
        <v>76256.904999999926</v>
      </c>
      <c r="O239" s="202">
        <v>93150.145928999875</v>
      </c>
      <c r="P239" s="210">
        <v>6.0807788637676679E-3</v>
      </c>
    </row>
    <row r="240" spans="1:16" x14ac:dyDescent="0.25">
      <c r="A240" s="198" t="s">
        <v>115</v>
      </c>
      <c r="B240" s="207">
        <v>61</v>
      </c>
      <c r="C240" s="207">
        <v>13</v>
      </c>
      <c r="D240" s="207">
        <v>637</v>
      </c>
      <c r="E240" s="207">
        <v>49</v>
      </c>
      <c r="F240" s="199">
        <v>3296.5210800000036</v>
      </c>
      <c r="G240" s="199">
        <v>266.64286400000003</v>
      </c>
      <c r="H240" s="199">
        <v>252</v>
      </c>
      <c r="I240" s="199">
        <v>13539.539999999988</v>
      </c>
      <c r="J240" s="199">
        <v>1152.7749999999999</v>
      </c>
      <c r="K240" s="199">
        <v>886.5</v>
      </c>
      <c r="L240" s="199">
        <v>3815.1639440000035</v>
      </c>
      <c r="M240" s="199">
        <v>15578.814999999988</v>
      </c>
      <c r="N240" s="199">
        <v>15578.814999999988</v>
      </c>
      <c r="O240" s="199">
        <v>19393.978943999991</v>
      </c>
      <c r="P240" s="208">
        <v>1.2660258990567588E-3</v>
      </c>
    </row>
    <row r="241" spans="1:16" x14ac:dyDescent="0.25">
      <c r="A241" s="201" t="s">
        <v>194</v>
      </c>
      <c r="B241" s="209">
        <v>61</v>
      </c>
      <c r="C241" s="209">
        <v>13</v>
      </c>
      <c r="D241" s="209">
        <v>637</v>
      </c>
      <c r="E241" s="209">
        <v>49</v>
      </c>
      <c r="F241" s="202">
        <v>3296.5210800000036</v>
      </c>
      <c r="G241" s="202">
        <v>266.64286400000003</v>
      </c>
      <c r="H241" s="202">
        <v>252</v>
      </c>
      <c r="I241" s="202">
        <v>13539.539999999957</v>
      </c>
      <c r="J241" s="202">
        <v>1152.7750000000001</v>
      </c>
      <c r="K241" s="202">
        <v>886.5</v>
      </c>
      <c r="L241" s="202">
        <v>3815.1639440000035</v>
      </c>
      <c r="M241" s="202">
        <v>15578.814999999957</v>
      </c>
      <c r="N241" s="202">
        <v>15578.814999999957</v>
      </c>
      <c r="O241" s="202">
        <v>19393.978943999959</v>
      </c>
      <c r="P241" s="210">
        <v>1.2660258990567566E-3</v>
      </c>
    </row>
    <row r="242" spans="1:16" x14ac:dyDescent="0.25">
      <c r="A242" s="198" t="s">
        <v>116</v>
      </c>
      <c r="B242" s="207">
        <v>1224</v>
      </c>
      <c r="C242" s="207">
        <v>436</v>
      </c>
      <c r="D242" s="207">
        <v>14032</v>
      </c>
      <c r="E242" s="207">
        <v>1577</v>
      </c>
      <c r="F242" s="199">
        <v>76611.415031999291</v>
      </c>
      <c r="G242" s="199">
        <v>5754.9900099999559</v>
      </c>
      <c r="H242" s="199">
        <v>3204</v>
      </c>
      <c r="I242" s="199">
        <v>262519.87999999872</v>
      </c>
      <c r="J242" s="199">
        <v>38160.817499999866</v>
      </c>
      <c r="K242" s="199">
        <v>11746</v>
      </c>
      <c r="L242" s="199">
        <v>85570.405041999242</v>
      </c>
      <c r="M242" s="199">
        <v>312426.69749999861</v>
      </c>
      <c r="N242" s="199">
        <v>312426.69749999861</v>
      </c>
      <c r="O242" s="199">
        <v>397997.10254199785</v>
      </c>
      <c r="P242" s="208">
        <v>2.5980983119691589E-2</v>
      </c>
    </row>
    <row r="243" spans="1:16" x14ac:dyDescent="0.25">
      <c r="A243" s="201" t="s">
        <v>193</v>
      </c>
      <c r="B243" s="209">
        <v>1224</v>
      </c>
      <c r="C243" s="209">
        <v>436</v>
      </c>
      <c r="D243" s="209">
        <v>14032</v>
      </c>
      <c r="E243" s="209">
        <v>1577</v>
      </c>
      <c r="F243" s="202">
        <v>76611.415031999291</v>
      </c>
      <c r="G243" s="202">
        <v>5754.9900099999559</v>
      </c>
      <c r="H243" s="202">
        <v>3204</v>
      </c>
      <c r="I243" s="202">
        <v>262519.87999999325</v>
      </c>
      <c r="J243" s="202">
        <v>38160.817499999845</v>
      </c>
      <c r="K243" s="202">
        <v>11746</v>
      </c>
      <c r="L243" s="202">
        <v>85570.405041999242</v>
      </c>
      <c r="M243" s="202">
        <v>312426.69749999308</v>
      </c>
      <c r="N243" s="202">
        <v>312426.69749999308</v>
      </c>
      <c r="O243" s="202">
        <v>397997.10254199232</v>
      </c>
      <c r="P243" s="210">
        <v>2.5980983119691225E-2</v>
      </c>
    </row>
    <row r="244" spans="1:16" x14ac:dyDescent="0.25">
      <c r="A244" s="198" t="s">
        <v>117</v>
      </c>
      <c r="B244" s="207">
        <v>68</v>
      </c>
      <c r="C244" s="207">
        <v>21</v>
      </c>
      <c r="D244" s="207">
        <v>661</v>
      </c>
      <c r="E244" s="207">
        <v>148</v>
      </c>
      <c r="F244" s="199">
        <v>3072.9588120000049</v>
      </c>
      <c r="G244" s="199">
        <v>383.29200000000009</v>
      </c>
      <c r="H244" s="199"/>
      <c r="I244" s="199">
        <v>12366.959999999988</v>
      </c>
      <c r="J244" s="199">
        <v>2586.4150000000027</v>
      </c>
      <c r="K244" s="199"/>
      <c r="L244" s="199">
        <v>3456.2508120000048</v>
      </c>
      <c r="M244" s="199">
        <v>14953.374999999991</v>
      </c>
      <c r="N244" s="199">
        <v>14953.374999999991</v>
      </c>
      <c r="O244" s="199">
        <v>18409.625811999995</v>
      </c>
      <c r="P244" s="208">
        <v>1.2017679887781061E-3</v>
      </c>
    </row>
    <row r="245" spans="1:16" x14ac:dyDescent="0.25">
      <c r="A245" s="201" t="s">
        <v>192</v>
      </c>
      <c r="B245" s="209">
        <v>68</v>
      </c>
      <c r="C245" s="209">
        <v>21</v>
      </c>
      <c r="D245" s="209">
        <v>661</v>
      </c>
      <c r="E245" s="209">
        <v>148</v>
      </c>
      <c r="F245" s="202">
        <v>3072.9588120000049</v>
      </c>
      <c r="G245" s="202">
        <v>383.29200000000009</v>
      </c>
      <c r="H245" s="202"/>
      <c r="I245" s="202">
        <v>12366.959999999992</v>
      </c>
      <c r="J245" s="202">
        <v>2586.4150000000027</v>
      </c>
      <c r="K245" s="202"/>
      <c r="L245" s="202">
        <v>3456.2508120000048</v>
      </c>
      <c r="M245" s="202">
        <v>14953.374999999995</v>
      </c>
      <c r="N245" s="202">
        <v>14953.374999999995</v>
      </c>
      <c r="O245" s="202">
        <v>18409.625811999998</v>
      </c>
      <c r="P245" s="210">
        <v>1.2017679887781063E-3</v>
      </c>
    </row>
    <row r="246" spans="1:16" x14ac:dyDescent="0.25">
      <c r="A246" s="198" t="s">
        <v>380</v>
      </c>
      <c r="B246" s="207">
        <v>54</v>
      </c>
      <c r="C246" s="207">
        <v>5</v>
      </c>
      <c r="D246" s="207">
        <v>651</v>
      </c>
      <c r="E246" s="207">
        <v>26</v>
      </c>
      <c r="F246" s="199">
        <v>4336.1995139999963</v>
      </c>
      <c r="G246" s="199">
        <v>124.839</v>
      </c>
      <c r="H246" s="199"/>
      <c r="I246" s="199">
        <v>15344.820000000014</v>
      </c>
      <c r="J246" s="199">
        <v>564.29750000000013</v>
      </c>
      <c r="K246" s="199">
        <v>77.5</v>
      </c>
      <c r="L246" s="199">
        <v>4461.0385139999962</v>
      </c>
      <c r="M246" s="199">
        <v>15986.617500000015</v>
      </c>
      <c r="N246" s="199">
        <v>14467.281346035012</v>
      </c>
      <c r="O246" s="199">
        <v>18928.319860035008</v>
      </c>
      <c r="P246" s="208">
        <v>1.2356279873062615E-3</v>
      </c>
    </row>
    <row r="247" spans="1:16" x14ac:dyDescent="0.25">
      <c r="A247" s="201" t="s">
        <v>379</v>
      </c>
      <c r="B247" s="209">
        <v>54</v>
      </c>
      <c r="C247" s="209">
        <v>5</v>
      </c>
      <c r="D247" s="209">
        <v>651</v>
      </c>
      <c r="E247" s="209">
        <v>26</v>
      </c>
      <c r="F247" s="202">
        <v>4336.1995139999963</v>
      </c>
      <c r="G247" s="202">
        <v>124.839</v>
      </c>
      <c r="H247" s="202"/>
      <c r="I247" s="202">
        <v>15344.820000000014</v>
      </c>
      <c r="J247" s="202">
        <v>564.29750000000013</v>
      </c>
      <c r="K247" s="202">
        <v>77.5</v>
      </c>
      <c r="L247" s="202">
        <v>4461.0385139999962</v>
      </c>
      <c r="M247" s="202">
        <v>15986.617500000015</v>
      </c>
      <c r="N247" s="202">
        <v>14467.281346035012</v>
      </c>
      <c r="O247" s="202">
        <v>18928.319860035008</v>
      </c>
      <c r="P247" s="210">
        <v>1.2356279873062615E-3</v>
      </c>
    </row>
    <row r="248" spans="1:16" x14ac:dyDescent="0.25">
      <c r="A248" s="198" t="s">
        <v>131</v>
      </c>
      <c r="B248" s="207"/>
      <c r="C248" s="207">
        <v>31</v>
      </c>
      <c r="D248" s="207"/>
      <c r="E248" s="207">
        <v>123</v>
      </c>
      <c r="F248" s="199"/>
      <c r="G248" s="199">
        <v>529.30834499999969</v>
      </c>
      <c r="H248" s="199"/>
      <c r="I248" s="199"/>
      <c r="J248" s="199">
        <v>2309.3850000000016</v>
      </c>
      <c r="K248" s="199"/>
      <c r="L248" s="199">
        <v>529.30834499999969</v>
      </c>
      <c r="M248" s="199">
        <v>2309.3850000000016</v>
      </c>
      <c r="N248" s="199">
        <v>1703.5178452500002</v>
      </c>
      <c r="O248" s="199">
        <v>2232.8261902499999</v>
      </c>
      <c r="P248" s="208">
        <v>1.4575739166837031E-4</v>
      </c>
    </row>
    <row r="249" spans="1:16" x14ac:dyDescent="0.25">
      <c r="A249" s="201" t="s">
        <v>251</v>
      </c>
      <c r="B249" s="209"/>
      <c r="C249" s="209">
        <v>31</v>
      </c>
      <c r="D249" s="209"/>
      <c r="E249" s="209">
        <v>123</v>
      </c>
      <c r="F249" s="202"/>
      <c r="G249" s="202">
        <v>529.30834499999969</v>
      </c>
      <c r="H249" s="202"/>
      <c r="I249" s="202"/>
      <c r="J249" s="202">
        <v>2309.3850000000016</v>
      </c>
      <c r="K249" s="202"/>
      <c r="L249" s="202">
        <v>529.30834499999969</v>
      </c>
      <c r="M249" s="202">
        <v>2309.3850000000016</v>
      </c>
      <c r="N249" s="202">
        <v>1703.5178452500002</v>
      </c>
      <c r="O249" s="202">
        <v>2232.8261902499999</v>
      </c>
      <c r="P249" s="210">
        <v>1.4575739166837031E-4</v>
      </c>
    </row>
    <row r="250" spans="1:16" ht="24" x14ac:dyDescent="0.25">
      <c r="A250" s="198" t="s">
        <v>440</v>
      </c>
      <c r="B250" s="207">
        <v>206</v>
      </c>
      <c r="C250" s="207">
        <v>291</v>
      </c>
      <c r="D250" s="207">
        <v>3471</v>
      </c>
      <c r="E250" s="207">
        <v>1341</v>
      </c>
      <c r="F250" s="199">
        <v>10191.778272000027</v>
      </c>
      <c r="G250" s="199">
        <v>5525.7910550000033</v>
      </c>
      <c r="H250" s="199"/>
      <c r="I250" s="199">
        <v>82469.989999999598</v>
      </c>
      <c r="J250" s="199">
        <v>31706.707499999975</v>
      </c>
      <c r="K250" s="199">
        <v>379</v>
      </c>
      <c r="L250" s="199">
        <v>15717.56932700003</v>
      </c>
      <c r="M250" s="199">
        <v>114555.69749999957</v>
      </c>
      <c r="N250" s="199">
        <v>114555.69749999957</v>
      </c>
      <c r="O250" s="199">
        <v>130273.26682699961</v>
      </c>
      <c r="P250" s="208">
        <v>8.5041512231165024E-3</v>
      </c>
    </row>
    <row r="251" spans="1:16" x14ac:dyDescent="0.25">
      <c r="A251" s="201" t="s">
        <v>191</v>
      </c>
      <c r="B251" s="209">
        <v>206</v>
      </c>
      <c r="C251" s="209">
        <v>291</v>
      </c>
      <c r="D251" s="209">
        <v>3471</v>
      </c>
      <c r="E251" s="209">
        <v>1341</v>
      </c>
      <c r="F251" s="202">
        <v>10191.778272000027</v>
      </c>
      <c r="G251" s="202">
        <v>5525.7910550000033</v>
      </c>
      <c r="H251" s="202"/>
      <c r="I251" s="202">
        <v>82469.989999999641</v>
      </c>
      <c r="J251" s="202">
        <v>31706.70749999999</v>
      </c>
      <c r="K251" s="202">
        <v>379</v>
      </c>
      <c r="L251" s="202">
        <v>15717.56932700003</v>
      </c>
      <c r="M251" s="202">
        <v>114555.69749999963</v>
      </c>
      <c r="N251" s="202">
        <v>114555.69749999963</v>
      </c>
      <c r="O251" s="202">
        <v>130273.26682699966</v>
      </c>
      <c r="P251" s="210">
        <v>8.5041512231165059E-3</v>
      </c>
    </row>
    <row r="252" spans="1:16" x14ac:dyDescent="0.25">
      <c r="A252" s="198" t="s">
        <v>119</v>
      </c>
      <c r="B252" s="207">
        <v>608</v>
      </c>
      <c r="C252" s="207">
        <v>244</v>
      </c>
      <c r="D252" s="207">
        <v>6386</v>
      </c>
      <c r="E252" s="207">
        <v>913</v>
      </c>
      <c r="F252" s="199">
        <v>34347.239406000146</v>
      </c>
      <c r="G252" s="199">
        <v>4923.1266879999939</v>
      </c>
      <c r="H252" s="199">
        <v>2664</v>
      </c>
      <c r="I252" s="199">
        <v>125636.33</v>
      </c>
      <c r="J252" s="199">
        <v>19647.842499999955</v>
      </c>
      <c r="K252" s="199">
        <v>8889</v>
      </c>
      <c r="L252" s="199">
        <v>41934.366094000143</v>
      </c>
      <c r="M252" s="199">
        <v>154173.17249999996</v>
      </c>
      <c r="N252" s="199">
        <v>154173.17249999996</v>
      </c>
      <c r="O252" s="199">
        <v>196107.5385940001</v>
      </c>
      <c r="P252" s="208">
        <v>1.2801768197087154E-2</v>
      </c>
    </row>
    <row r="253" spans="1:16" x14ac:dyDescent="0.25">
      <c r="A253" s="201" t="s">
        <v>190</v>
      </c>
      <c r="B253" s="209">
        <v>608</v>
      </c>
      <c r="C253" s="209">
        <v>244</v>
      </c>
      <c r="D253" s="209">
        <v>6386</v>
      </c>
      <c r="E253" s="209">
        <v>913</v>
      </c>
      <c r="F253" s="202">
        <v>34347.239406000146</v>
      </c>
      <c r="G253" s="202">
        <v>4923.1266879999939</v>
      </c>
      <c r="H253" s="202">
        <v>2664</v>
      </c>
      <c r="I253" s="202">
        <v>125636.33000000149</v>
      </c>
      <c r="J253" s="202">
        <v>19647.842499999879</v>
      </c>
      <c r="K253" s="202">
        <v>8889</v>
      </c>
      <c r="L253" s="202">
        <v>41934.366094000143</v>
      </c>
      <c r="M253" s="202">
        <v>154173.17250000135</v>
      </c>
      <c r="N253" s="202">
        <v>154173.17250000135</v>
      </c>
      <c r="O253" s="202">
        <v>196107.5385940015</v>
      </c>
      <c r="P253" s="210">
        <v>1.2801768197087246E-2</v>
      </c>
    </row>
    <row r="254" spans="1:16" x14ac:dyDescent="0.25">
      <c r="A254" s="198" t="s">
        <v>120</v>
      </c>
      <c r="B254" s="207">
        <v>291</v>
      </c>
      <c r="C254" s="207">
        <v>87</v>
      </c>
      <c r="D254" s="207">
        <v>2896</v>
      </c>
      <c r="E254" s="207">
        <v>315</v>
      </c>
      <c r="F254" s="199">
        <v>15375.422861999985</v>
      </c>
      <c r="G254" s="199">
        <v>1128.465144</v>
      </c>
      <c r="H254" s="199">
        <v>1548</v>
      </c>
      <c r="I254" s="199">
        <v>52208.349999999984</v>
      </c>
      <c r="J254" s="199">
        <v>7466.4525000000012</v>
      </c>
      <c r="K254" s="199">
        <v>4232.5</v>
      </c>
      <c r="L254" s="199">
        <v>18051.888005999986</v>
      </c>
      <c r="M254" s="199">
        <v>63907.302499999983</v>
      </c>
      <c r="N254" s="199">
        <v>63907.302499999983</v>
      </c>
      <c r="O254" s="199">
        <v>81959.19050599997</v>
      </c>
      <c r="P254" s="208">
        <v>5.350240821954913E-3</v>
      </c>
    </row>
    <row r="255" spans="1:16" x14ac:dyDescent="0.25">
      <c r="A255" s="201" t="s">
        <v>189</v>
      </c>
      <c r="B255" s="209">
        <v>291</v>
      </c>
      <c r="C255" s="209">
        <v>87</v>
      </c>
      <c r="D255" s="209">
        <v>2896</v>
      </c>
      <c r="E255" s="209">
        <v>315</v>
      </c>
      <c r="F255" s="202">
        <v>15375.422861999985</v>
      </c>
      <c r="G255" s="202">
        <v>1128.465144</v>
      </c>
      <c r="H255" s="202">
        <v>1548</v>
      </c>
      <c r="I255" s="202">
        <v>52208.350000000071</v>
      </c>
      <c r="J255" s="202">
        <v>7466.4525000000094</v>
      </c>
      <c r="K255" s="202">
        <v>4232.5</v>
      </c>
      <c r="L255" s="202">
        <v>18051.888005999986</v>
      </c>
      <c r="M255" s="202">
        <v>63907.302500000078</v>
      </c>
      <c r="N255" s="202">
        <v>63907.302500000078</v>
      </c>
      <c r="O255" s="202">
        <v>81959.190506000072</v>
      </c>
      <c r="P255" s="210">
        <v>5.3502408219549191E-3</v>
      </c>
    </row>
    <row r="256" spans="1:16" ht="24" x14ac:dyDescent="0.25">
      <c r="A256" s="198" t="s">
        <v>501</v>
      </c>
      <c r="B256" s="207"/>
      <c r="C256" s="207">
        <v>13</v>
      </c>
      <c r="D256" s="207"/>
      <c r="E256" s="207">
        <v>63</v>
      </c>
      <c r="F256" s="199"/>
      <c r="G256" s="199">
        <v>255.52800000000005</v>
      </c>
      <c r="H256" s="199"/>
      <c r="I256" s="199"/>
      <c r="J256" s="199">
        <v>968.36999999999989</v>
      </c>
      <c r="K256" s="199"/>
      <c r="L256" s="199">
        <v>255.52800000000005</v>
      </c>
      <c r="M256" s="199">
        <v>968.36999999999989</v>
      </c>
      <c r="N256" s="199">
        <v>968.36999999999989</v>
      </c>
      <c r="O256" s="199">
        <v>1223.8979999999999</v>
      </c>
      <c r="P256" s="208">
        <v>7.9895238118897775E-5</v>
      </c>
    </row>
    <row r="257" spans="1:16" x14ac:dyDescent="0.25">
      <c r="A257" s="201" t="s">
        <v>188</v>
      </c>
      <c r="B257" s="209"/>
      <c r="C257" s="209">
        <v>13</v>
      </c>
      <c r="D257" s="209"/>
      <c r="E257" s="209">
        <v>63</v>
      </c>
      <c r="F257" s="202"/>
      <c r="G257" s="202">
        <v>255.52800000000005</v>
      </c>
      <c r="H257" s="202"/>
      <c r="I257" s="202"/>
      <c r="J257" s="202">
        <v>968.36999999999989</v>
      </c>
      <c r="K257" s="202"/>
      <c r="L257" s="202">
        <v>255.52800000000005</v>
      </c>
      <c r="M257" s="202">
        <v>968.36999999999989</v>
      </c>
      <c r="N257" s="202">
        <v>968.36999999999989</v>
      </c>
      <c r="O257" s="202">
        <v>1223.8979999999999</v>
      </c>
      <c r="P257" s="210">
        <v>7.9895238118897775E-5</v>
      </c>
    </row>
    <row r="258" spans="1:16" x14ac:dyDescent="0.25">
      <c r="A258" s="198" t="s">
        <v>122</v>
      </c>
      <c r="B258" s="207">
        <v>777</v>
      </c>
      <c r="C258" s="207">
        <v>365</v>
      </c>
      <c r="D258" s="207">
        <v>8745</v>
      </c>
      <c r="E258" s="207">
        <v>1332</v>
      </c>
      <c r="F258" s="199">
        <v>52221.781025999662</v>
      </c>
      <c r="G258" s="199">
        <v>7938.2133109999741</v>
      </c>
      <c r="H258" s="199">
        <v>3204</v>
      </c>
      <c r="I258" s="199">
        <v>172683.41999999917</v>
      </c>
      <c r="J258" s="199">
        <v>33928.634999999966</v>
      </c>
      <c r="K258" s="199">
        <v>10705.5</v>
      </c>
      <c r="L258" s="199">
        <v>63363.994336999633</v>
      </c>
      <c r="M258" s="199">
        <v>217317.55499999912</v>
      </c>
      <c r="N258" s="199">
        <v>217317.55499999912</v>
      </c>
      <c r="O258" s="199">
        <v>280681.54933699872</v>
      </c>
      <c r="P258" s="208">
        <v>1.8322702725113261E-2</v>
      </c>
    </row>
    <row r="259" spans="1:16" x14ac:dyDescent="0.25">
      <c r="A259" s="201" t="s">
        <v>184</v>
      </c>
      <c r="B259" s="209">
        <v>777</v>
      </c>
      <c r="C259" s="209">
        <v>365</v>
      </c>
      <c r="D259" s="209">
        <v>8745</v>
      </c>
      <c r="E259" s="209">
        <v>1332</v>
      </c>
      <c r="F259" s="202">
        <v>52221.781025999662</v>
      </c>
      <c r="G259" s="202">
        <v>7938.2133109999741</v>
      </c>
      <c r="H259" s="202">
        <v>3204</v>
      </c>
      <c r="I259" s="202">
        <v>172683.41999999838</v>
      </c>
      <c r="J259" s="202">
        <v>33928.634999999849</v>
      </c>
      <c r="K259" s="202">
        <v>10705.5</v>
      </c>
      <c r="L259" s="202">
        <v>63363.994336999633</v>
      </c>
      <c r="M259" s="202">
        <v>217317.55499999825</v>
      </c>
      <c r="N259" s="202">
        <v>217317.55499999825</v>
      </c>
      <c r="O259" s="202">
        <v>280681.54933699791</v>
      </c>
      <c r="P259" s="210">
        <v>1.8322702725113205E-2</v>
      </c>
    </row>
    <row r="260" spans="1:16" x14ac:dyDescent="0.25">
      <c r="A260" s="198" t="s">
        <v>123</v>
      </c>
      <c r="B260" s="207">
        <v>42</v>
      </c>
      <c r="C260" s="207">
        <v>30</v>
      </c>
      <c r="D260" s="207">
        <v>466</v>
      </c>
      <c r="E260" s="207">
        <v>101</v>
      </c>
      <c r="F260" s="199">
        <v>3626.6401080000023</v>
      </c>
      <c r="G260" s="199">
        <v>465.42600000000016</v>
      </c>
      <c r="H260" s="199">
        <v>216</v>
      </c>
      <c r="I260" s="199">
        <v>11413.099999999999</v>
      </c>
      <c r="J260" s="199">
        <v>2494.440000000001</v>
      </c>
      <c r="K260" s="199">
        <v>473</v>
      </c>
      <c r="L260" s="199">
        <v>4308.0661080000027</v>
      </c>
      <c r="M260" s="199">
        <v>14380.539999999999</v>
      </c>
      <c r="N260" s="199">
        <v>14380.539999999999</v>
      </c>
      <c r="O260" s="199">
        <v>18688.606108</v>
      </c>
      <c r="P260" s="208">
        <v>1.2199796348298204E-3</v>
      </c>
    </row>
    <row r="261" spans="1:16" x14ac:dyDescent="0.25">
      <c r="A261" s="201" t="s">
        <v>183</v>
      </c>
      <c r="B261" s="209">
        <v>42</v>
      </c>
      <c r="C261" s="209">
        <v>30</v>
      </c>
      <c r="D261" s="209">
        <v>466</v>
      </c>
      <c r="E261" s="209">
        <v>101</v>
      </c>
      <c r="F261" s="202">
        <v>3626.6401080000023</v>
      </c>
      <c r="G261" s="202">
        <v>465.42600000000016</v>
      </c>
      <c r="H261" s="202">
        <v>216</v>
      </c>
      <c r="I261" s="202">
        <v>11413.099999999991</v>
      </c>
      <c r="J261" s="202">
        <v>2494.4400000000023</v>
      </c>
      <c r="K261" s="202">
        <v>473</v>
      </c>
      <c r="L261" s="202">
        <v>4308.0661080000027</v>
      </c>
      <c r="M261" s="202">
        <v>14380.539999999994</v>
      </c>
      <c r="N261" s="202">
        <v>14380.539999999994</v>
      </c>
      <c r="O261" s="202">
        <v>18688.606107999996</v>
      </c>
      <c r="P261" s="210">
        <v>1.2199796348298202E-3</v>
      </c>
    </row>
    <row r="262" spans="1:16" x14ac:dyDescent="0.25">
      <c r="A262" s="198" t="s">
        <v>124</v>
      </c>
      <c r="B262" s="207">
        <v>337</v>
      </c>
      <c r="C262" s="207">
        <v>287</v>
      </c>
      <c r="D262" s="207">
        <v>3714</v>
      </c>
      <c r="E262" s="207">
        <v>1107</v>
      </c>
      <c r="F262" s="199">
        <v>22651.378109999958</v>
      </c>
      <c r="G262" s="199">
        <v>4662.6846040000046</v>
      </c>
      <c r="H262" s="199">
        <v>1800</v>
      </c>
      <c r="I262" s="199">
        <v>79617.69</v>
      </c>
      <c r="J262" s="199">
        <v>28979.502499999959</v>
      </c>
      <c r="K262" s="199">
        <v>6281.75</v>
      </c>
      <c r="L262" s="199">
        <v>29114.062713999963</v>
      </c>
      <c r="M262" s="199">
        <v>114878.94249999996</v>
      </c>
      <c r="N262" s="199">
        <v>114878.94249999996</v>
      </c>
      <c r="O262" s="199">
        <v>143993.00521399992</v>
      </c>
      <c r="P262" s="208">
        <v>9.3997665156967426E-3</v>
      </c>
    </row>
    <row r="263" spans="1:16" x14ac:dyDescent="0.25">
      <c r="A263" s="201" t="s">
        <v>178</v>
      </c>
      <c r="B263" s="209">
        <v>337</v>
      </c>
      <c r="C263" s="209">
        <v>287</v>
      </c>
      <c r="D263" s="209">
        <v>3714</v>
      </c>
      <c r="E263" s="209">
        <v>1107</v>
      </c>
      <c r="F263" s="202">
        <v>22651.378109999958</v>
      </c>
      <c r="G263" s="202">
        <v>4662.6846040000046</v>
      </c>
      <c r="H263" s="202">
        <v>1800</v>
      </c>
      <c r="I263" s="202">
        <v>79617.69000000009</v>
      </c>
      <c r="J263" s="202">
        <v>28979.502499999966</v>
      </c>
      <c r="K263" s="202">
        <v>6281.75</v>
      </c>
      <c r="L263" s="202">
        <v>29114.062713999963</v>
      </c>
      <c r="M263" s="202">
        <v>114878.94250000006</v>
      </c>
      <c r="N263" s="202">
        <v>114878.94250000006</v>
      </c>
      <c r="O263" s="202">
        <v>143993.00521400003</v>
      </c>
      <c r="P263" s="210">
        <v>9.3997665156967513E-3</v>
      </c>
    </row>
    <row r="264" spans="1:16" x14ac:dyDescent="0.25">
      <c r="A264" s="198" t="s">
        <v>125</v>
      </c>
      <c r="B264" s="207">
        <v>449</v>
      </c>
      <c r="C264" s="207">
        <v>178</v>
      </c>
      <c r="D264" s="207">
        <v>4160</v>
      </c>
      <c r="E264" s="207">
        <v>680</v>
      </c>
      <c r="F264" s="199">
        <v>28022.218434000013</v>
      </c>
      <c r="G264" s="199">
        <v>2243.4753210000076</v>
      </c>
      <c r="H264" s="199">
        <v>1260</v>
      </c>
      <c r="I264" s="199">
        <v>87176.399999999834</v>
      </c>
      <c r="J264" s="199">
        <v>15871.114999999974</v>
      </c>
      <c r="K264" s="199">
        <v>3186</v>
      </c>
      <c r="L264" s="199">
        <v>31525.693755000022</v>
      </c>
      <c r="M264" s="199">
        <v>106233.51499999981</v>
      </c>
      <c r="N264" s="199">
        <v>106233.51499999981</v>
      </c>
      <c r="O264" s="199">
        <v>137759.20875499983</v>
      </c>
      <c r="P264" s="208">
        <v>8.9928284763531423E-3</v>
      </c>
    </row>
    <row r="265" spans="1:16" x14ac:dyDescent="0.25">
      <c r="A265" s="201" t="s">
        <v>176</v>
      </c>
      <c r="B265" s="209">
        <v>449</v>
      </c>
      <c r="C265" s="209">
        <v>178</v>
      </c>
      <c r="D265" s="209">
        <v>4160</v>
      </c>
      <c r="E265" s="209">
        <v>680</v>
      </c>
      <c r="F265" s="202">
        <v>28022.218434000013</v>
      </c>
      <c r="G265" s="202">
        <v>2243.4753210000076</v>
      </c>
      <c r="H265" s="202">
        <v>1260</v>
      </c>
      <c r="I265" s="202">
        <v>87176.40000000014</v>
      </c>
      <c r="J265" s="202">
        <v>15871.11499999996</v>
      </c>
      <c r="K265" s="202">
        <v>3186</v>
      </c>
      <c r="L265" s="202">
        <v>31525.693755000022</v>
      </c>
      <c r="M265" s="202">
        <v>106233.5150000001</v>
      </c>
      <c r="N265" s="202">
        <v>106233.5150000001</v>
      </c>
      <c r="O265" s="202">
        <v>137759.20875500012</v>
      </c>
      <c r="P265" s="210">
        <v>8.9928284763531614E-3</v>
      </c>
    </row>
    <row r="266" spans="1:16" x14ac:dyDescent="0.25">
      <c r="A266" s="204" t="s">
        <v>13</v>
      </c>
      <c r="B266" s="211">
        <v>43273</v>
      </c>
      <c r="C266" s="211">
        <v>24184</v>
      </c>
      <c r="D266" s="211">
        <v>453087</v>
      </c>
      <c r="E266" s="211">
        <v>95833</v>
      </c>
      <c r="F266" s="205">
        <v>2526469.2053639991</v>
      </c>
      <c r="G266" s="205">
        <v>349779.38701100007</v>
      </c>
      <c r="H266" s="205">
        <v>355836.24000000034</v>
      </c>
      <c r="I266" s="205">
        <v>8858545.2750000004</v>
      </c>
      <c r="J266" s="205">
        <v>2195046.0089999954</v>
      </c>
      <c r="K266" s="205">
        <v>1102028.7599999998</v>
      </c>
      <c r="L266" s="205">
        <v>3232084.8323749993</v>
      </c>
      <c r="M266" s="205">
        <v>12155620.043999996</v>
      </c>
      <c r="N266" s="205">
        <v>12086700.47719039</v>
      </c>
      <c r="O266" s="205">
        <v>15318785.30956539</v>
      </c>
      <c r="P266" s="212">
        <v>1</v>
      </c>
    </row>
    <row r="268" spans="1:16" x14ac:dyDescent="0.25">
      <c r="A268" s="5"/>
    </row>
    <row r="269" spans="1:16" x14ac:dyDescent="0.25">
      <c r="A269" s="137" t="s">
        <v>476</v>
      </c>
    </row>
  </sheetData>
  <hyperlinks>
    <hyperlink ref="A144" r:id="rId1" display="https://vipunen.fi/fi-fi/_layouts/15/xlviewer.aspx?id=/fi-fi/Raportit/Koski%20tutkinnot%20ja%20tutkinnon%20osat%20painotetut.xlsb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6">
    <tabColor theme="9" tint="0.59999389629810485"/>
  </sheetPr>
  <dimension ref="A1:P26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34.140625" customWidth="1"/>
    <col min="2" max="13" width="17.42578125" customWidth="1"/>
    <col min="14" max="14" width="18.28515625" customWidth="1"/>
  </cols>
  <sheetData>
    <row r="1" spans="1:16" ht="54" customHeight="1" x14ac:dyDescent="0.25">
      <c r="A1" s="197" t="s">
        <v>12</v>
      </c>
      <c r="B1" s="197" t="s">
        <v>477</v>
      </c>
      <c r="C1" s="197" t="s">
        <v>127</v>
      </c>
      <c r="D1" s="197" t="s">
        <v>478</v>
      </c>
      <c r="E1" s="197" t="s">
        <v>479</v>
      </c>
      <c r="F1" s="197" t="s">
        <v>480</v>
      </c>
      <c r="G1" s="197" t="s">
        <v>481</v>
      </c>
      <c r="H1" s="197" t="s">
        <v>482</v>
      </c>
      <c r="I1" s="197" t="s">
        <v>483</v>
      </c>
      <c r="J1" s="197" t="s">
        <v>484</v>
      </c>
      <c r="K1" s="197" t="s">
        <v>485</v>
      </c>
      <c r="L1" s="197" t="s">
        <v>443</v>
      </c>
      <c r="M1" s="197" t="s">
        <v>444</v>
      </c>
      <c r="N1" s="35" t="s">
        <v>444</v>
      </c>
    </row>
    <row r="2" spans="1:16" x14ac:dyDescent="0.25">
      <c r="A2" s="198" t="s">
        <v>378</v>
      </c>
      <c r="B2" s="207">
        <v>2272</v>
      </c>
      <c r="C2" s="207">
        <v>2012</v>
      </c>
      <c r="D2" s="207">
        <v>1975</v>
      </c>
      <c r="E2" s="207">
        <v>37</v>
      </c>
      <c r="F2" s="207">
        <v>1409</v>
      </c>
      <c r="G2" s="207">
        <v>58</v>
      </c>
      <c r="H2" s="199">
        <v>4773.8624062124518</v>
      </c>
      <c r="I2" s="199">
        <v>104.25426200000007</v>
      </c>
      <c r="J2" s="199">
        <v>1951.68605728795</v>
      </c>
      <c r="K2" s="199">
        <v>96.807528999999988</v>
      </c>
      <c r="L2" s="199">
        <v>6926.6102545002914</v>
      </c>
      <c r="M2" s="208">
        <v>2.2162581749909257E-2</v>
      </c>
      <c r="N2" s="152">
        <v>2.2013279304267025E-2</v>
      </c>
      <c r="P2" s="115"/>
    </row>
    <row r="3" spans="1:16" x14ac:dyDescent="0.25">
      <c r="A3" s="201" t="s">
        <v>377</v>
      </c>
      <c r="B3" s="209">
        <v>2272</v>
      </c>
      <c r="C3" s="209">
        <v>2012</v>
      </c>
      <c r="D3" s="209">
        <v>1975</v>
      </c>
      <c r="E3" s="209">
        <v>37</v>
      </c>
      <c r="F3" s="209">
        <v>1409</v>
      </c>
      <c r="G3" s="209">
        <v>58</v>
      </c>
      <c r="H3" s="202">
        <v>4773.8624062124518</v>
      </c>
      <c r="I3" s="202">
        <v>104.25426200000007</v>
      </c>
      <c r="J3" s="202">
        <v>1951.68605728795</v>
      </c>
      <c r="K3" s="202">
        <v>96.807528999999988</v>
      </c>
      <c r="L3" s="202">
        <v>6926.6102545002914</v>
      </c>
      <c r="M3" s="210">
        <v>2.2162581749909257E-2</v>
      </c>
      <c r="N3" s="152">
        <v>2.0258104490940053E-3</v>
      </c>
      <c r="O3" s="137"/>
      <c r="P3" s="115"/>
    </row>
    <row r="4" spans="1:16" x14ac:dyDescent="0.25">
      <c r="A4" s="198" t="s">
        <v>15</v>
      </c>
      <c r="B4" s="207">
        <v>154</v>
      </c>
      <c r="C4" s="207">
        <v>293</v>
      </c>
      <c r="D4" s="207">
        <v>104</v>
      </c>
      <c r="E4" s="207">
        <v>6</v>
      </c>
      <c r="F4" s="207">
        <v>159</v>
      </c>
      <c r="G4" s="207">
        <v>5</v>
      </c>
      <c r="H4" s="199">
        <v>406.35735126452312</v>
      </c>
      <c r="I4" s="199">
        <v>24.089813999999997</v>
      </c>
      <c r="J4" s="199">
        <v>268.24897044259336</v>
      </c>
      <c r="K4" s="199">
        <v>9.3682610000000004</v>
      </c>
      <c r="L4" s="199">
        <v>708.06439670711575</v>
      </c>
      <c r="M4" s="208">
        <v>2.2655432454895276E-3</v>
      </c>
      <c r="N4" s="152">
        <v>7.7178519611323395E-5</v>
      </c>
      <c r="O4" s="137"/>
      <c r="P4" s="115"/>
    </row>
    <row r="5" spans="1:16" x14ac:dyDescent="0.25">
      <c r="A5" s="201" t="s">
        <v>320</v>
      </c>
      <c r="B5" s="209">
        <v>154</v>
      </c>
      <c r="C5" s="209">
        <v>293</v>
      </c>
      <c r="D5" s="209">
        <v>104</v>
      </c>
      <c r="E5" s="209">
        <v>6</v>
      </c>
      <c r="F5" s="209">
        <v>159</v>
      </c>
      <c r="G5" s="209">
        <v>5</v>
      </c>
      <c r="H5" s="202">
        <v>406.35735126452312</v>
      </c>
      <c r="I5" s="202">
        <v>24.089813999999997</v>
      </c>
      <c r="J5" s="202">
        <v>268.24897044259336</v>
      </c>
      <c r="K5" s="202">
        <v>9.3682610000000004</v>
      </c>
      <c r="L5" s="202">
        <v>708.06439670711575</v>
      </c>
      <c r="M5" s="210">
        <v>2.2655432454895276E-3</v>
      </c>
      <c r="N5" s="152">
        <v>4.9608122685038739E-3</v>
      </c>
      <c r="O5" s="137"/>
      <c r="P5" s="115"/>
    </row>
    <row r="6" spans="1:16" x14ac:dyDescent="0.25">
      <c r="A6" s="198" t="s">
        <v>16</v>
      </c>
      <c r="B6" s="207">
        <v>13</v>
      </c>
      <c r="C6" s="207">
        <v>26</v>
      </c>
      <c r="D6" s="207"/>
      <c r="E6" s="207"/>
      <c r="F6" s="207">
        <v>2</v>
      </c>
      <c r="G6" s="207"/>
      <c r="H6" s="199"/>
      <c r="I6" s="199"/>
      <c r="J6" s="199">
        <v>22.113234247578152</v>
      </c>
      <c r="K6" s="199"/>
      <c r="L6" s="199">
        <v>22.113234247578152</v>
      </c>
      <c r="M6" s="208">
        <v>7.0754141457349896E-5</v>
      </c>
      <c r="N6" s="152">
        <v>2.2742522028800856E-3</v>
      </c>
      <c r="O6" s="137"/>
      <c r="P6" s="115"/>
    </row>
    <row r="7" spans="1:16" x14ac:dyDescent="0.25">
      <c r="A7" s="201" t="s">
        <v>319</v>
      </c>
      <c r="B7" s="209">
        <v>13</v>
      </c>
      <c r="C7" s="209">
        <v>26</v>
      </c>
      <c r="D7" s="209"/>
      <c r="E7" s="209"/>
      <c r="F7" s="209">
        <v>2</v>
      </c>
      <c r="G7" s="209"/>
      <c r="H7" s="202"/>
      <c r="I7" s="202"/>
      <c r="J7" s="202">
        <v>22.113234247578152</v>
      </c>
      <c r="K7" s="202"/>
      <c r="L7" s="202">
        <v>22.113234247578152</v>
      </c>
      <c r="M7" s="210">
        <v>7.0754141457349896E-5</v>
      </c>
      <c r="N7" s="152">
        <v>7.2387667555115205E-4</v>
      </c>
      <c r="O7" s="137"/>
      <c r="P7" s="115"/>
    </row>
    <row r="8" spans="1:16" x14ac:dyDescent="0.25">
      <c r="A8" s="198" t="s">
        <v>489</v>
      </c>
      <c r="B8" s="207">
        <v>325</v>
      </c>
      <c r="C8" s="207">
        <v>827</v>
      </c>
      <c r="D8" s="207">
        <v>125</v>
      </c>
      <c r="E8" s="207">
        <v>9</v>
      </c>
      <c r="F8" s="207">
        <v>139</v>
      </c>
      <c r="G8" s="207">
        <v>1</v>
      </c>
      <c r="H8" s="199">
        <v>957.01091026163056</v>
      </c>
      <c r="I8" s="199">
        <v>75.034464</v>
      </c>
      <c r="J8" s="199">
        <v>583.5977747156212</v>
      </c>
      <c r="K8" s="199">
        <v>4.4137919999999999</v>
      </c>
      <c r="L8" s="199">
        <v>1620.0569409772534</v>
      </c>
      <c r="M8" s="208">
        <v>5.1835808677972994E-3</v>
      </c>
      <c r="N8" s="152">
        <v>9.8252639667171151E-3</v>
      </c>
      <c r="O8" s="137"/>
      <c r="P8" s="115"/>
    </row>
    <row r="9" spans="1:16" x14ac:dyDescent="0.25">
      <c r="A9" s="201" t="s">
        <v>488</v>
      </c>
      <c r="B9" s="209">
        <v>325</v>
      </c>
      <c r="C9" s="209">
        <v>827</v>
      </c>
      <c r="D9" s="209">
        <v>125</v>
      </c>
      <c r="E9" s="209">
        <v>9</v>
      </c>
      <c r="F9" s="209">
        <v>139</v>
      </c>
      <c r="G9" s="209">
        <v>1</v>
      </c>
      <c r="H9" s="202">
        <v>957.01091026163056</v>
      </c>
      <c r="I9" s="202">
        <v>75.034464</v>
      </c>
      <c r="J9" s="202">
        <v>583.5977747156212</v>
      </c>
      <c r="K9" s="202">
        <v>4.4137919999999999</v>
      </c>
      <c r="L9" s="202">
        <v>1620.0569409772534</v>
      </c>
      <c r="M9" s="210">
        <v>5.1835808677972994E-3</v>
      </c>
      <c r="N9" s="152">
        <v>1.7446307833659622E-2</v>
      </c>
      <c r="O9" s="137"/>
      <c r="P9" s="115"/>
    </row>
    <row r="10" spans="1:16" x14ac:dyDescent="0.25">
      <c r="A10" s="198" t="s">
        <v>17</v>
      </c>
      <c r="B10" s="207">
        <v>224</v>
      </c>
      <c r="C10" s="207">
        <v>480</v>
      </c>
      <c r="D10" s="207">
        <v>59</v>
      </c>
      <c r="E10" s="207">
        <v>2</v>
      </c>
      <c r="F10" s="207">
        <v>68</v>
      </c>
      <c r="G10" s="207">
        <v>4</v>
      </c>
      <c r="H10" s="199">
        <v>533.92713246812139</v>
      </c>
      <c r="I10" s="199">
        <v>18.405224</v>
      </c>
      <c r="J10" s="199">
        <v>306.087537147673</v>
      </c>
      <c r="K10" s="199">
        <v>18.405224</v>
      </c>
      <c r="L10" s="199">
        <v>876.82511761579451</v>
      </c>
      <c r="M10" s="208">
        <v>2.8055149106892816E-3</v>
      </c>
      <c r="N10" s="152">
        <v>1.692387133359042E-4</v>
      </c>
      <c r="O10" s="137"/>
      <c r="P10" s="115"/>
    </row>
    <row r="11" spans="1:16" x14ac:dyDescent="0.25">
      <c r="A11" s="201" t="s">
        <v>318</v>
      </c>
      <c r="B11" s="209">
        <v>224</v>
      </c>
      <c r="C11" s="209">
        <v>480</v>
      </c>
      <c r="D11" s="209">
        <v>59</v>
      </c>
      <c r="E11" s="209">
        <v>2</v>
      </c>
      <c r="F11" s="209">
        <v>68</v>
      </c>
      <c r="G11" s="209">
        <v>4</v>
      </c>
      <c r="H11" s="202">
        <v>533.92713246812139</v>
      </c>
      <c r="I11" s="202">
        <v>18.405224</v>
      </c>
      <c r="J11" s="202">
        <v>306.087537147673</v>
      </c>
      <c r="K11" s="202">
        <v>18.405224</v>
      </c>
      <c r="L11" s="202">
        <v>876.82511761579451</v>
      </c>
      <c r="M11" s="210">
        <v>2.8055149106892816E-3</v>
      </c>
      <c r="N11" s="152">
        <v>3.5488212957397181E-2</v>
      </c>
      <c r="O11" s="137"/>
      <c r="P11" s="115"/>
    </row>
    <row r="12" spans="1:16" x14ac:dyDescent="0.25">
      <c r="A12" s="198" t="s">
        <v>494</v>
      </c>
      <c r="B12" s="207">
        <v>59</v>
      </c>
      <c r="C12" s="207">
        <v>3</v>
      </c>
      <c r="D12" s="207">
        <v>57</v>
      </c>
      <c r="E12" s="207"/>
      <c r="F12" s="207">
        <v>3</v>
      </c>
      <c r="G12" s="207"/>
      <c r="H12" s="199">
        <v>115.90692983158678</v>
      </c>
      <c r="I12" s="199"/>
      <c r="J12" s="199">
        <v>3.0501823639891272</v>
      </c>
      <c r="K12" s="199"/>
      <c r="L12" s="199">
        <v>118.95711219557592</v>
      </c>
      <c r="M12" s="208">
        <v>3.8061860374700372E-4</v>
      </c>
      <c r="N12" s="152">
        <v>1.6380512971129607E-2</v>
      </c>
      <c r="O12" s="137"/>
      <c r="P12" s="115"/>
    </row>
    <row r="13" spans="1:16" x14ac:dyDescent="0.25">
      <c r="A13" s="201" t="s">
        <v>316</v>
      </c>
      <c r="B13" s="209">
        <v>59</v>
      </c>
      <c r="C13" s="209">
        <v>3</v>
      </c>
      <c r="D13" s="209">
        <v>57</v>
      </c>
      <c r="E13" s="209"/>
      <c r="F13" s="209">
        <v>3</v>
      </c>
      <c r="G13" s="209"/>
      <c r="H13" s="202">
        <v>115.90692983158678</v>
      </c>
      <c r="I13" s="202"/>
      <c r="J13" s="202">
        <v>3.0501823639891272</v>
      </c>
      <c r="K13" s="202"/>
      <c r="L13" s="202">
        <v>118.95711219557592</v>
      </c>
      <c r="M13" s="210">
        <v>3.8061860374700372E-4</v>
      </c>
      <c r="N13" s="152">
        <v>1.4444583066382093E-2</v>
      </c>
      <c r="O13" s="137"/>
      <c r="P13" s="115"/>
    </row>
    <row r="14" spans="1:16" x14ac:dyDescent="0.25">
      <c r="A14" s="198" t="s">
        <v>19</v>
      </c>
      <c r="B14" s="207">
        <v>576</v>
      </c>
      <c r="C14" s="207">
        <v>1230</v>
      </c>
      <c r="D14" s="207">
        <v>433</v>
      </c>
      <c r="E14" s="207">
        <v>34</v>
      </c>
      <c r="F14" s="207">
        <v>731</v>
      </c>
      <c r="G14" s="207">
        <v>15</v>
      </c>
      <c r="H14" s="199">
        <v>1704.3341443490333</v>
      </c>
      <c r="I14" s="199">
        <v>170.37734999999998</v>
      </c>
      <c r="J14" s="199">
        <v>1299.2270284999154</v>
      </c>
      <c r="K14" s="199">
        <v>35.386064999999995</v>
      </c>
      <c r="L14" s="199">
        <v>3209.3245878489211</v>
      </c>
      <c r="M14" s="208">
        <v>1.0268647423028262E-2</v>
      </c>
      <c r="N14" s="152">
        <v>2.4845601779833418E-4</v>
      </c>
      <c r="O14" s="137"/>
      <c r="P14" s="115"/>
    </row>
    <row r="15" spans="1:16" x14ac:dyDescent="0.25">
      <c r="A15" s="201" t="s">
        <v>315</v>
      </c>
      <c r="B15" s="209">
        <v>576</v>
      </c>
      <c r="C15" s="209">
        <v>1230</v>
      </c>
      <c r="D15" s="209">
        <v>433</v>
      </c>
      <c r="E15" s="209">
        <v>34</v>
      </c>
      <c r="F15" s="209">
        <v>731</v>
      </c>
      <c r="G15" s="209">
        <v>15</v>
      </c>
      <c r="H15" s="202">
        <v>1704.3341443490333</v>
      </c>
      <c r="I15" s="202">
        <v>170.37734999999998</v>
      </c>
      <c r="J15" s="202">
        <v>1299.2270284999154</v>
      </c>
      <c r="K15" s="202">
        <v>35.386064999999995</v>
      </c>
      <c r="L15" s="202">
        <v>3209.3245878489211</v>
      </c>
      <c r="M15" s="210">
        <v>1.0268647423028262E-2</v>
      </c>
      <c r="N15" s="152">
        <v>7.385523750071671E-4</v>
      </c>
      <c r="O15" s="137"/>
      <c r="P15" s="115"/>
    </row>
    <row r="16" spans="1:16" x14ac:dyDescent="0.25">
      <c r="A16" s="198" t="s">
        <v>148</v>
      </c>
      <c r="B16" s="207">
        <v>1280</v>
      </c>
      <c r="C16" s="207">
        <v>2127</v>
      </c>
      <c r="D16" s="207">
        <v>1004</v>
      </c>
      <c r="E16" s="207">
        <v>29</v>
      </c>
      <c r="F16" s="207">
        <v>1353</v>
      </c>
      <c r="G16" s="207">
        <v>14</v>
      </c>
      <c r="H16" s="199">
        <v>3195.3359125582738</v>
      </c>
      <c r="I16" s="199">
        <v>123.58839999999999</v>
      </c>
      <c r="J16" s="199">
        <v>2220.5682606617738</v>
      </c>
      <c r="K16" s="199">
        <v>23.766999999999999</v>
      </c>
      <c r="L16" s="199">
        <v>5563.2595732199761</v>
      </c>
      <c r="M16" s="208">
        <v>1.7800365627233923E-2</v>
      </c>
      <c r="N16" s="152">
        <v>8.7748305811560077E-5</v>
      </c>
      <c r="O16" s="137"/>
      <c r="P16" s="115"/>
    </row>
    <row r="17" spans="1:16" x14ac:dyDescent="0.25">
      <c r="A17" s="201" t="s">
        <v>174</v>
      </c>
      <c r="B17" s="209">
        <v>1280</v>
      </c>
      <c r="C17" s="209">
        <v>2127</v>
      </c>
      <c r="D17" s="209">
        <v>1004</v>
      </c>
      <c r="E17" s="209">
        <v>29</v>
      </c>
      <c r="F17" s="209">
        <v>1353</v>
      </c>
      <c r="G17" s="209">
        <v>14</v>
      </c>
      <c r="H17" s="202">
        <v>3195.3359125582738</v>
      </c>
      <c r="I17" s="202">
        <v>123.58839999999999</v>
      </c>
      <c r="J17" s="202">
        <v>2220.5682606617738</v>
      </c>
      <c r="K17" s="202">
        <v>23.766999999999999</v>
      </c>
      <c r="L17" s="202">
        <v>5563.2595732199761</v>
      </c>
      <c r="M17" s="210">
        <v>1.7800365627233923E-2</v>
      </c>
      <c r="N17" s="152">
        <v>9.0135431671311899E-4</v>
      </c>
      <c r="O17" s="137"/>
      <c r="P17" s="115"/>
    </row>
    <row r="18" spans="1:16" x14ac:dyDescent="0.25">
      <c r="A18" s="198" t="s">
        <v>20</v>
      </c>
      <c r="B18" s="207"/>
      <c r="C18" s="207">
        <v>7</v>
      </c>
      <c r="D18" s="207"/>
      <c r="E18" s="207"/>
      <c r="F18" s="207">
        <v>7</v>
      </c>
      <c r="G18" s="207"/>
      <c r="H18" s="199"/>
      <c r="I18" s="199"/>
      <c r="J18" s="199">
        <v>12.003948724515524</v>
      </c>
      <c r="K18" s="199"/>
      <c r="L18" s="199">
        <v>12.003948724515524</v>
      </c>
      <c r="M18" s="208">
        <v>3.8408180214260834E-5</v>
      </c>
      <c r="N18" s="152">
        <v>8.6142176930345386E-4</v>
      </c>
      <c r="O18" s="137"/>
      <c r="P18" s="115"/>
    </row>
    <row r="19" spans="1:16" x14ac:dyDescent="0.25">
      <c r="A19" s="201" t="s">
        <v>314</v>
      </c>
      <c r="B19" s="209"/>
      <c r="C19" s="209">
        <v>7</v>
      </c>
      <c r="D19" s="209"/>
      <c r="E19" s="209"/>
      <c r="F19" s="209">
        <v>7</v>
      </c>
      <c r="G19" s="209"/>
      <c r="H19" s="202"/>
      <c r="I19" s="202"/>
      <c r="J19" s="202">
        <v>12.003948724515524</v>
      </c>
      <c r="K19" s="202"/>
      <c r="L19" s="202">
        <v>12.003948724515524</v>
      </c>
      <c r="M19" s="210">
        <v>3.8408180214260834E-5</v>
      </c>
      <c r="N19" s="152">
        <v>9.4725845656871521E-4</v>
      </c>
      <c r="O19" s="137"/>
      <c r="P19" s="115"/>
    </row>
    <row r="20" spans="1:16" ht="24" x14ac:dyDescent="0.25">
      <c r="A20" s="198" t="s">
        <v>21</v>
      </c>
      <c r="B20" s="207">
        <v>2255</v>
      </c>
      <c r="C20" s="207">
        <v>3728</v>
      </c>
      <c r="D20" s="207">
        <v>1614</v>
      </c>
      <c r="E20" s="207">
        <v>114</v>
      </c>
      <c r="F20" s="207">
        <v>1887</v>
      </c>
      <c r="G20" s="207">
        <v>73</v>
      </c>
      <c r="H20" s="199">
        <v>6474.6971214168998</v>
      </c>
      <c r="I20" s="199">
        <v>540.95839999999964</v>
      </c>
      <c r="J20" s="199">
        <v>4164.0446593650595</v>
      </c>
      <c r="K20" s="199">
        <v>160.93512399999992</v>
      </c>
      <c r="L20" s="199">
        <v>11340.635304781865</v>
      </c>
      <c r="M20" s="208">
        <v>3.6285823484126074E-2</v>
      </c>
      <c r="N20" s="152">
        <v>1.2497081917064361E-4</v>
      </c>
      <c r="O20" s="137"/>
      <c r="P20" s="115"/>
    </row>
    <row r="21" spans="1:16" x14ac:dyDescent="0.25">
      <c r="A21" s="201" t="s">
        <v>313</v>
      </c>
      <c r="B21" s="209">
        <v>2255</v>
      </c>
      <c r="C21" s="209">
        <v>3728</v>
      </c>
      <c r="D21" s="209">
        <v>1614</v>
      </c>
      <c r="E21" s="209">
        <v>114</v>
      </c>
      <c r="F21" s="209">
        <v>1887</v>
      </c>
      <c r="G21" s="209">
        <v>73</v>
      </c>
      <c r="H21" s="202">
        <v>6474.6971214168998</v>
      </c>
      <c r="I21" s="202">
        <v>540.95839999999964</v>
      </c>
      <c r="J21" s="202">
        <v>4164.0446593650595</v>
      </c>
      <c r="K21" s="202">
        <v>160.93512399999992</v>
      </c>
      <c r="L21" s="202">
        <v>11340.635304781865</v>
      </c>
      <c r="M21" s="210">
        <v>3.6285823484126074E-2</v>
      </c>
      <c r="N21" s="152">
        <v>5.1176399274227825E-2</v>
      </c>
      <c r="O21" s="137"/>
      <c r="P21" s="115"/>
    </row>
    <row r="22" spans="1:16" x14ac:dyDescent="0.25">
      <c r="A22" s="198" t="s">
        <v>22</v>
      </c>
      <c r="B22" s="207">
        <v>1093</v>
      </c>
      <c r="C22" s="207">
        <v>1885</v>
      </c>
      <c r="D22" s="207">
        <v>731</v>
      </c>
      <c r="E22" s="207">
        <v>50</v>
      </c>
      <c r="F22" s="207">
        <v>830</v>
      </c>
      <c r="G22" s="207">
        <v>26</v>
      </c>
      <c r="H22" s="199">
        <v>3210.098777203546</v>
      </c>
      <c r="I22" s="199">
        <v>260.0161920000001</v>
      </c>
      <c r="J22" s="199">
        <v>1840.6403289029806</v>
      </c>
      <c r="K22" s="199">
        <v>65.004048000000026</v>
      </c>
      <c r="L22" s="199">
        <v>5375.7593461065089</v>
      </c>
      <c r="M22" s="208">
        <v>1.7200434498031311E-2</v>
      </c>
      <c r="N22" s="152">
        <v>5.6615849068182361E-4</v>
      </c>
      <c r="O22" s="137"/>
      <c r="P22" s="115"/>
    </row>
    <row r="23" spans="1:16" x14ac:dyDescent="0.25">
      <c r="A23" s="201" t="s">
        <v>312</v>
      </c>
      <c r="B23" s="209">
        <v>1093</v>
      </c>
      <c r="C23" s="209">
        <v>1885</v>
      </c>
      <c r="D23" s="209">
        <v>731</v>
      </c>
      <c r="E23" s="209">
        <v>50</v>
      </c>
      <c r="F23" s="209">
        <v>830</v>
      </c>
      <c r="G23" s="209">
        <v>26</v>
      </c>
      <c r="H23" s="202">
        <v>3210.098777203546</v>
      </c>
      <c r="I23" s="202">
        <v>260.0161920000001</v>
      </c>
      <c r="J23" s="202">
        <v>1840.6403289029806</v>
      </c>
      <c r="K23" s="202">
        <v>65.004048000000026</v>
      </c>
      <c r="L23" s="202">
        <v>5375.7593461065089</v>
      </c>
      <c r="M23" s="210">
        <v>1.7200434498031311E-2</v>
      </c>
      <c r="N23" s="152">
        <v>1.0255280208501385E-2</v>
      </c>
      <c r="O23" s="137"/>
      <c r="P23" s="115"/>
    </row>
    <row r="24" spans="1:16" x14ac:dyDescent="0.25">
      <c r="A24" s="198" t="s">
        <v>23</v>
      </c>
      <c r="B24" s="207">
        <v>785</v>
      </c>
      <c r="C24" s="207">
        <v>1426</v>
      </c>
      <c r="D24" s="207">
        <v>586</v>
      </c>
      <c r="E24" s="207">
        <v>34</v>
      </c>
      <c r="F24" s="207">
        <v>773</v>
      </c>
      <c r="G24" s="207">
        <v>9</v>
      </c>
      <c r="H24" s="199">
        <v>2494.6029713092353</v>
      </c>
      <c r="I24" s="199">
        <v>155.85298400000002</v>
      </c>
      <c r="J24" s="199">
        <v>1639.2348611893979</v>
      </c>
      <c r="K24" s="199">
        <v>18.491032000000001</v>
      </c>
      <c r="L24" s="199">
        <v>4308.1818484986197</v>
      </c>
      <c r="M24" s="208">
        <v>1.3784582776083179E-2</v>
      </c>
      <c r="N24" s="152">
        <v>1.4817050190519391E-3</v>
      </c>
      <c r="O24" s="137"/>
      <c r="P24" s="115"/>
    </row>
    <row r="25" spans="1:16" x14ac:dyDescent="0.25">
      <c r="A25" s="201" t="s">
        <v>310</v>
      </c>
      <c r="B25" s="209">
        <v>785</v>
      </c>
      <c r="C25" s="209">
        <v>1426</v>
      </c>
      <c r="D25" s="209">
        <v>586</v>
      </c>
      <c r="E25" s="209">
        <v>34</v>
      </c>
      <c r="F25" s="209">
        <v>773</v>
      </c>
      <c r="G25" s="209">
        <v>9</v>
      </c>
      <c r="H25" s="202">
        <v>2494.6029713092353</v>
      </c>
      <c r="I25" s="202">
        <v>155.85298400000002</v>
      </c>
      <c r="J25" s="202">
        <v>1639.2348611893979</v>
      </c>
      <c r="K25" s="202">
        <v>18.491032000000001</v>
      </c>
      <c r="L25" s="202">
        <v>4308.1818484986197</v>
      </c>
      <c r="M25" s="210">
        <v>1.3784582776083179E-2</v>
      </c>
      <c r="N25" s="152">
        <v>1.9828091888771087E-2</v>
      </c>
      <c r="O25" s="137"/>
      <c r="P25" s="115"/>
    </row>
    <row r="26" spans="1:16" ht="24" x14ac:dyDescent="0.25">
      <c r="A26" s="198" t="s">
        <v>24</v>
      </c>
      <c r="B26" s="207">
        <v>18</v>
      </c>
      <c r="C26" s="207">
        <v>14</v>
      </c>
      <c r="D26" s="207">
        <v>17</v>
      </c>
      <c r="E26" s="207"/>
      <c r="F26" s="207">
        <v>10</v>
      </c>
      <c r="G26" s="207"/>
      <c r="H26" s="199">
        <v>55.25121884943853</v>
      </c>
      <c r="I26" s="199"/>
      <c r="J26" s="199">
        <v>11.254877913774514</v>
      </c>
      <c r="K26" s="199"/>
      <c r="L26" s="199">
        <v>66.506096763213037</v>
      </c>
      <c r="M26" s="208">
        <v>2.1279482347436046E-4</v>
      </c>
      <c r="N26" s="152">
        <v>2.838341665227988E-3</v>
      </c>
      <c r="O26" s="137"/>
      <c r="P26" s="115"/>
    </row>
    <row r="27" spans="1:16" x14ac:dyDescent="0.25">
      <c r="A27" s="201" t="s">
        <v>309</v>
      </c>
      <c r="B27" s="209">
        <v>18</v>
      </c>
      <c r="C27" s="209">
        <v>14</v>
      </c>
      <c r="D27" s="209">
        <v>17</v>
      </c>
      <c r="E27" s="209"/>
      <c r="F27" s="209">
        <v>10</v>
      </c>
      <c r="G27" s="209"/>
      <c r="H27" s="202">
        <v>55.25121884943853</v>
      </c>
      <c r="I27" s="202"/>
      <c r="J27" s="202">
        <v>11.254877913774514</v>
      </c>
      <c r="K27" s="202"/>
      <c r="L27" s="202">
        <v>66.506096763213037</v>
      </c>
      <c r="M27" s="210">
        <v>2.1279482347436046E-4</v>
      </c>
      <c r="N27" s="152">
        <v>2.3163179475468737E-4</v>
      </c>
      <c r="O27" s="137"/>
      <c r="P27" s="115"/>
    </row>
    <row r="28" spans="1:16" x14ac:dyDescent="0.25">
      <c r="A28" s="198" t="s">
        <v>25</v>
      </c>
      <c r="B28" s="207">
        <v>41</v>
      </c>
      <c r="C28" s="207">
        <v>59</v>
      </c>
      <c r="D28" s="207">
        <v>25</v>
      </c>
      <c r="E28" s="207">
        <v>5</v>
      </c>
      <c r="F28" s="207">
        <v>40</v>
      </c>
      <c r="G28" s="207">
        <v>1</v>
      </c>
      <c r="H28" s="199">
        <v>96.135497976941721</v>
      </c>
      <c r="I28" s="199">
        <v>23.376618000000001</v>
      </c>
      <c r="J28" s="199">
        <v>90.938984572782701</v>
      </c>
      <c r="K28" s="199">
        <v>2.5974020000000002</v>
      </c>
      <c r="L28" s="199">
        <v>213.0485025497245</v>
      </c>
      <c r="M28" s="208">
        <v>6.8167612742268545E-4</v>
      </c>
      <c r="N28" s="152">
        <v>1.1644405417232719E-2</v>
      </c>
      <c r="O28" s="137"/>
      <c r="P28" s="115"/>
    </row>
    <row r="29" spans="1:16" x14ac:dyDescent="0.25">
      <c r="A29" s="201" t="s">
        <v>308</v>
      </c>
      <c r="B29" s="209">
        <v>41</v>
      </c>
      <c r="C29" s="209">
        <v>59</v>
      </c>
      <c r="D29" s="209">
        <v>25</v>
      </c>
      <c r="E29" s="209">
        <v>5</v>
      </c>
      <c r="F29" s="209">
        <v>40</v>
      </c>
      <c r="G29" s="209">
        <v>1</v>
      </c>
      <c r="H29" s="202">
        <v>96.135497976941721</v>
      </c>
      <c r="I29" s="202">
        <v>23.376618000000001</v>
      </c>
      <c r="J29" s="202">
        <v>90.938984572782701</v>
      </c>
      <c r="K29" s="202">
        <v>2.5974020000000002</v>
      </c>
      <c r="L29" s="202">
        <v>213.0485025497245</v>
      </c>
      <c r="M29" s="210">
        <v>6.8167612742268545E-4</v>
      </c>
      <c r="N29" s="152">
        <v>6.6173331482017694E-4</v>
      </c>
      <c r="O29" s="137"/>
      <c r="P29" s="115"/>
    </row>
    <row r="30" spans="1:16" ht="24" x14ac:dyDescent="0.25">
      <c r="A30" s="198" t="s">
        <v>381</v>
      </c>
      <c r="B30" s="207">
        <v>4</v>
      </c>
      <c r="C30" s="207"/>
      <c r="D30" s="207">
        <v>3</v>
      </c>
      <c r="E30" s="207">
        <v>1</v>
      </c>
      <c r="F30" s="207"/>
      <c r="G30" s="207"/>
      <c r="H30" s="199">
        <v>11.304606729806677</v>
      </c>
      <c r="I30" s="199">
        <v>4</v>
      </c>
      <c r="J30" s="199"/>
      <c r="K30" s="199"/>
      <c r="L30" s="199">
        <v>15.304606729806677</v>
      </c>
      <c r="M30" s="208">
        <v>4.8969060671369064E-5</v>
      </c>
      <c r="N30" s="152">
        <v>4.0624998336861036E-4</v>
      </c>
      <c r="O30" s="137"/>
      <c r="P30" s="115"/>
    </row>
    <row r="31" spans="1:16" x14ac:dyDescent="0.25">
      <c r="A31" s="201" t="s">
        <v>307</v>
      </c>
      <c r="B31" s="209">
        <v>4</v>
      </c>
      <c r="C31" s="209"/>
      <c r="D31" s="209">
        <v>3</v>
      </c>
      <c r="E31" s="209">
        <v>1</v>
      </c>
      <c r="F31" s="209"/>
      <c r="G31" s="209"/>
      <c r="H31" s="202">
        <v>11.304606729806677</v>
      </c>
      <c r="I31" s="202">
        <v>4</v>
      </c>
      <c r="J31" s="202"/>
      <c r="K31" s="202"/>
      <c r="L31" s="202">
        <v>15.304606729806677</v>
      </c>
      <c r="M31" s="210">
        <v>4.8969060671369064E-5</v>
      </c>
      <c r="N31" s="152">
        <v>1.7482728842035857E-2</v>
      </c>
      <c r="O31" s="137"/>
      <c r="P31" s="115"/>
    </row>
    <row r="32" spans="1:16" ht="24" x14ac:dyDescent="0.25">
      <c r="A32" s="198" t="s">
        <v>128</v>
      </c>
      <c r="B32" s="207">
        <v>81</v>
      </c>
      <c r="C32" s="207">
        <v>8</v>
      </c>
      <c r="D32" s="207">
        <v>60</v>
      </c>
      <c r="E32" s="207">
        <v>4</v>
      </c>
      <c r="F32" s="207">
        <v>6</v>
      </c>
      <c r="G32" s="207">
        <v>1</v>
      </c>
      <c r="H32" s="199">
        <v>174.41460922891088</v>
      </c>
      <c r="I32" s="199">
        <v>13.35</v>
      </c>
      <c r="J32" s="199">
        <v>6.6233395909712991</v>
      </c>
      <c r="K32" s="199">
        <v>1.1125</v>
      </c>
      <c r="L32" s="199">
        <v>195.50044881988211</v>
      </c>
      <c r="M32" s="208">
        <v>6.2552886908853083E-4</v>
      </c>
      <c r="N32" s="152">
        <v>7.2099846842439642E-4</v>
      </c>
      <c r="O32" s="137"/>
      <c r="P32" s="115"/>
    </row>
    <row r="33" spans="1:16" x14ac:dyDescent="0.25">
      <c r="A33" s="201" t="s">
        <v>306</v>
      </c>
      <c r="B33" s="209">
        <v>81</v>
      </c>
      <c r="C33" s="209">
        <v>8</v>
      </c>
      <c r="D33" s="209">
        <v>60</v>
      </c>
      <c r="E33" s="209">
        <v>4</v>
      </c>
      <c r="F33" s="209">
        <v>6</v>
      </c>
      <c r="G33" s="209">
        <v>1</v>
      </c>
      <c r="H33" s="202">
        <v>174.41460922891088</v>
      </c>
      <c r="I33" s="202">
        <v>13.35</v>
      </c>
      <c r="J33" s="202">
        <v>6.6233395909712991</v>
      </c>
      <c r="K33" s="202">
        <v>1.1125</v>
      </c>
      <c r="L33" s="202">
        <v>195.50044881988211</v>
      </c>
      <c r="M33" s="210">
        <v>6.2552886908853083E-4</v>
      </c>
      <c r="N33" s="152">
        <v>3.9470110479371698E-2</v>
      </c>
      <c r="O33" s="137"/>
      <c r="P33" s="115"/>
    </row>
    <row r="34" spans="1:16" ht="24" x14ac:dyDescent="0.25">
      <c r="A34" s="198" t="s">
        <v>495</v>
      </c>
      <c r="B34" s="207">
        <v>43</v>
      </c>
      <c r="C34" s="207">
        <v>87</v>
      </c>
      <c r="D34" s="207">
        <v>35</v>
      </c>
      <c r="E34" s="207">
        <v>1</v>
      </c>
      <c r="F34" s="207">
        <v>58</v>
      </c>
      <c r="G34" s="207">
        <v>3</v>
      </c>
      <c r="H34" s="199">
        <v>115.25042904379491</v>
      </c>
      <c r="I34" s="199">
        <v>4.6428560000000001</v>
      </c>
      <c r="J34" s="199">
        <v>96.434032465216134</v>
      </c>
      <c r="K34" s="199">
        <v>4.6428560000000001</v>
      </c>
      <c r="L34" s="199">
        <v>220.97017350901129</v>
      </c>
      <c r="M34" s="208">
        <v>7.0702253407477179E-4</v>
      </c>
      <c r="N34" s="152">
        <v>1.4232757298401376E-3</v>
      </c>
      <c r="O34" s="137"/>
      <c r="P34" s="115"/>
    </row>
    <row r="35" spans="1:16" x14ac:dyDescent="0.25">
      <c r="A35" s="201" t="s">
        <v>305</v>
      </c>
      <c r="B35" s="209">
        <v>43</v>
      </c>
      <c r="C35" s="209">
        <v>87</v>
      </c>
      <c r="D35" s="209">
        <v>35</v>
      </c>
      <c r="E35" s="209">
        <v>1</v>
      </c>
      <c r="F35" s="209">
        <v>58</v>
      </c>
      <c r="G35" s="209">
        <v>3</v>
      </c>
      <c r="H35" s="202">
        <v>115.25042904379491</v>
      </c>
      <c r="I35" s="202">
        <v>4.6428560000000001</v>
      </c>
      <c r="J35" s="202">
        <v>96.434032465216134</v>
      </c>
      <c r="K35" s="202">
        <v>4.6428560000000001</v>
      </c>
      <c r="L35" s="202">
        <v>220.97017350901129</v>
      </c>
      <c r="M35" s="210">
        <v>7.0702253407477179E-4</v>
      </c>
      <c r="N35" s="152">
        <v>6.2185818789930872E-4</v>
      </c>
      <c r="O35" s="137"/>
      <c r="P35" s="115"/>
    </row>
    <row r="36" spans="1:16" x14ac:dyDescent="0.25">
      <c r="A36" s="198" t="s">
        <v>27</v>
      </c>
      <c r="B36" s="207">
        <v>56</v>
      </c>
      <c r="C36" s="207">
        <v>128</v>
      </c>
      <c r="D36" s="207">
        <v>34</v>
      </c>
      <c r="E36" s="207">
        <v>3</v>
      </c>
      <c r="F36" s="207">
        <v>62</v>
      </c>
      <c r="G36" s="207">
        <v>1</v>
      </c>
      <c r="H36" s="199">
        <v>162.07546701344964</v>
      </c>
      <c r="I36" s="199">
        <v>15.593220000000001</v>
      </c>
      <c r="J36" s="199">
        <v>143.00776501186735</v>
      </c>
      <c r="K36" s="199">
        <v>3.1186440000000002</v>
      </c>
      <c r="L36" s="199">
        <v>323.79509602531658</v>
      </c>
      <c r="M36" s="208">
        <v>1.036024118899773E-3</v>
      </c>
      <c r="N36" s="152">
        <v>3.6465463292902692E-3</v>
      </c>
      <c r="O36" s="137"/>
      <c r="P36" s="115"/>
    </row>
    <row r="37" spans="1:16" x14ac:dyDescent="0.25">
      <c r="A37" s="201" t="s">
        <v>304</v>
      </c>
      <c r="B37" s="209">
        <v>56</v>
      </c>
      <c r="C37" s="209">
        <v>128</v>
      </c>
      <c r="D37" s="209">
        <v>34</v>
      </c>
      <c r="E37" s="209">
        <v>3</v>
      </c>
      <c r="F37" s="209">
        <v>62</v>
      </c>
      <c r="G37" s="209">
        <v>1</v>
      </c>
      <c r="H37" s="202">
        <v>162.07546701344964</v>
      </c>
      <c r="I37" s="202">
        <v>15.593220000000001</v>
      </c>
      <c r="J37" s="202">
        <v>143.00776501186735</v>
      </c>
      <c r="K37" s="202">
        <v>3.1186440000000002</v>
      </c>
      <c r="L37" s="202">
        <v>323.79509602531658</v>
      </c>
      <c r="M37" s="210">
        <v>1.036024118899773E-3</v>
      </c>
      <c r="N37" s="152">
        <v>1.5880667449352098E-2</v>
      </c>
      <c r="O37" s="137"/>
      <c r="P37" s="115"/>
    </row>
    <row r="38" spans="1:16" x14ac:dyDescent="0.25">
      <c r="A38" s="198" t="s">
        <v>143</v>
      </c>
      <c r="B38" s="207">
        <v>21</v>
      </c>
      <c r="C38" s="207">
        <v>1</v>
      </c>
      <c r="D38" s="207">
        <v>20</v>
      </c>
      <c r="E38" s="207"/>
      <c r="F38" s="207"/>
      <c r="G38" s="207"/>
      <c r="H38" s="199">
        <v>41.918549196094105</v>
      </c>
      <c r="I38" s="199"/>
      <c r="J38" s="199"/>
      <c r="K38" s="199"/>
      <c r="L38" s="199">
        <v>41.918549196094105</v>
      </c>
      <c r="M38" s="208">
        <v>1.341237978262791E-4</v>
      </c>
      <c r="N38" s="152">
        <v>8.1350252919666546E-4</v>
      </c>
      <c r="O38" s="137"/>
      <c r="P38" s="115"/>
    </row>
    <row r="39" spans="1:16" x14ac:dyDescent="0.25">
      <c r="A39" s="201" t="s">
        <v>303</v>
      </c>
      <c r="B39" s="209">
        <v>21</v>
      </c>
      <c r="C39" s="209">
        <v>1</v>
      </c>
      <c r="D39" s="209">
        <v>20</v>
      </c>
      <c r="E39" s="209"/>
      <c r="F39" s="209"/>
      <c r="G39" s="209"/>
      <c r="H39" s="202">
        <v>41.918549196094105</v>
      </c>
      <c r="I39" s="202"/>
      <c r="J39" s="202"/>
      <c r="K39" s="202"/>
      <c r="L39" s="202">
        <v>41.918549196094105</v>
      </c>
      <c r="M39" s="210">
        <v>1.341237978262791E-4</v>
      </c>
      <c r="N39" s="152">
        <v>6.3898640941026234E-4</v>
      </c>
      <c r="O39" s="137"/>
      <c r="P39" s="115"/>
    </row>
    <row r="40" spans="1:16" x14ac:dyDescent="0.25">
      <c r="A40" s="198" t="s">
        <v>28</v>
      </c>
      <c r="B40" s="207">
        <v>2695</v>
      </c>
      <c r="C40" s="207">
        <v>5585</v>
      </c>
      <c r="D40" s="207">
        <v>2001</v>
      </c>
      <c r="E40" s="207">
        <v>88</v>
      </c>
      <c r="F40" s="207">
        <v>2809</v>
      </c>
      <c r="G40" s="207">
        <v>45</v>
      </c>
      <c r="H40" s="199">
        <v>8189.9351586246712</v>
      </c>
      <c r="I40" s="199">
        <v>420.85243200000065</v>
      </c>
      <c r="J40" s="199">
        <v>6179.1495904265721</v>
      </c>
      <c r="K40" s="199">
        <v>102.44434199999999</v>
      </c>
      <c r="L40" s="199">
        <v>14892.381523051063</v>
      </c>
      <c r="M40" s="208">
        <v>4.7650093022199136E-2</v>
      </c>
      <c r="N40" s="152">
        <v>1.1427759294943213E-4</v>
      </c>
      <c r="O40" s="137"/>
      <c r="P40" s="115"/>
    </row>
    <row r="41" spans="1:16" x14ac:dyDescent="0.25">
      <c r="A41" s="201" t="s">
        <v>302</v>
      </c>
      <c r="B41" s="209">
        <v>2695</v>
      </c>
      <c r="C41" s="209">
        <v>5585</v>
      </c>
      <c r="D41" s="209">
        <v>2001</v>
      </c>
      <c r="E41" s="209">
        <v>88</v>
      </c>
      <c r="F41" s="209">
        <v>2809</v>
      </c>
      <c r="G41" s="209">
        <v>45</v>
      </c>
      <c r="H41" s="202">
        <v>8189.9351586246712</v>
      </c>
      <c r="I41" s="202">
        <v>420.85243200000065</v>
      </c>
      <c r="J41" s="202">
        <v>6179.1495904265721</v>
      </c>
      <c r="K41" s="202">
        <v>102.44434199999999</v>
      </c>
      <c r="L41" s="202">
        <v>14892.381523051063</v>
      </c>
      <c r="M41" s="210">
        <v>4.7650093022199136E-2</v>
      </c>
      <c r="N41" s="152">
        <v>1.2992442272767227E-4</v>
      </c>
      <c r="O41" s="137"/>
      <c r="P41" s="115"/>
    </row>
    <row r="42" spans="1:16" x14ac:dyDescent="0.25">
      <c r="A42" s="198" t="s">
        <v>29</v>
      </c>
      <c r="B42" s="207">
        <v>28</v>
      </c>
      <c r="C42" s="207">
        <v>72</v>
      </c>
      <c r="D42" s="207">
        <v>19</v>
      </c>
      <c r="E42" s="207">
        <v>6</v>
      </c>
      <c r="F42" s="207">
        <v>38</v>
      </c>
      <c r="G42" s="207">
        <v>20</v>
      </c>
      <c r="H42" s="199">
        <v>65.137667174437212</v>
      </c>
      <c r="I42" s="199">
        <v>23.255800000000001</v>
      </c>
      <c r="J42" s="199">
        <v>58.158631405747492</v>
      </c>
      <c r="K42" s="199">
        <v>40.697649999999996</v>
      </c>
      <c r="L42" s="199">
        <v>187.2497485801847</v>
      </c>
      <c r="M42" s="208">
        <v>5.9912969087037057E-4</v>
      </c>
      <c r="N42" s="152">
        <v>3.308406458379441E-4</v>
      </c>
      <c r="O42" s="137"/>
      <c r="P42" s="115"/>
    </row>
    <row r="43" spans="1:16" x14ac:dyDescent="0.25">
      <c r="A43" s="201" t="s">
        <v>299</v>
      </c>
      <c r="B43" s="209">
        <v>28</v>
      </c>
      <c r="C43" s="209">
        <v>72</v>
      </c>
      <c r="D43" s="209">
        <v>19</v>
      </c>
      <c r="E43" s="209">
        <v>6</v>
      </c>
      <c r="F43" s="209">
        <v>38</v>
      </c>
      <c r="G43" s="209">
        <v>20</v>
      </c>
      <c r="H43" s="202">
        <v>65.137667174437212</v>
      </c>
      <c r="I43" s="202">
        <v>23.255800000000001</v>
      </c>
      <c r="J43" s="202">
        <v>58.158631405747492</v>
      </c>
      <c r="K43" s="202">
        <v>40.697649999999996</v>
      </c>
      <c r="L43" s="202">
        <v>187.2497485801847</v>
      </c>
      <c r="M43" s="210">
        <v>5.9912969087037057E-4</v>
      </c>
      <c r="N43" s="152">
        <v>1.3748371908740405E-2</v>
      </c>
      <c r="O43" s="137"/>
      <c r="P43" s="115"/>
    </row>
    <row r="44" spans="1:16" x14ac:dyDescent="0.25">
      <c r="A44" s="198" t="s">
        <v>30</v>
      </c>
      <c r="B44" s="207">
        <v>761</v>
      </c>
      <c r="C44" s="207">
        <v>766</v>
      </c>
      <c r="D44" s="207">
        <v>496</v>
      </c>
      <c r="E44" s="207">
        <v>54</v>
      </c>
      <c r="F44" s="207">
        <v>354</v>
      </c>
      <c r="G44" s="207">
        <v>6</v>
      </c>
      <c r="H44" s="199">
        <v>2032.1225510439886</v>
      </c>
      <c r="I44" s="199">
        <v>269.95161600000012</v>
      </c>
      <c r="J44" s="199">
        <v>851.03655828956323</v>
      </c>
      <c r="K44" s="199">
        <v>14.997312000000001</v>
      </c>
      <c r="L44" s="199">
        <v>3168.1080373335426</v>
      </c>
      <c r="M44" s="208">
        <v>1.0136769760407812E-2</v>
      </c>
      <c r="N44" s="152">
        <v>3.4804085925346621E-4</v>
      </c>
      <c r="O44" s="137"/>
      <c r="P44" s="115"/>
    </row>
    <row r="45" spans="1:16" x14ac:dyDescent="0.25">
      <c r="A45" s="201" t="s">
        <v>301</v>
      </c>
      <c r="B45" s="209">
        <v>761</v>
      </c>
      <c r="C45" s="209">
        <v>766</v>
      </c>
      <c r="D45" s="209">
        <v>496</v>
      </c>
      <c r="E45" s="209">
        <v>54</v>
      </c>
      <c r="F45" s="209">
        <v>354</v>
      </c>
      <c r="G45" s="209">
        <v>6</v>
      </c>
      <c r="H45" s="202">
        <v>2032.1225510439886</v>
      </c>
      <c r="I45" s="202">
        <v>269.95161600000012</v>
      </c>
      <c r="J45" s="202">
        <v>851.03655828956323</v>
      </c>
      <c r="K45" s="202">
        <v>14.997312000000001</v>
      </c>
      <c r="L45" s="202">
        <v>3168.1080373335426</v>
      </c>
      <c r="M45" s="210">
        <v>1.0136769760407812E-2</v>
      </c>
      <c r="N45" s="152">
        <v>1.6901943344610475E-2</v>
      </c>
      <c r="O45" s="137"/>
      <c r="P45" s="115"/>
    </row>
    <row r="46" spans="1:16" x14ac:dyDescent="0.25">
      <c r="A46" s="198" t="s">
        <v>31</v>
      </c>
      <c r="B46" s="207">
        <v>139</v>
      </c>
      <c r="C46" s="207">
        <v>235</v>
      </c>
      <c r="D46" s="207">
        <v>103</v>
      </c>
      <c r="E46" s="207">
        <v>5</v>
      </c>
      <c r="F46" s="207">
        <v>118</v>
      </c>
      <c r="G46" s="207">
        <v>4</v>
      </c>
      <c r="H46" s="199">
        <v>438.61261583698223</v>
      </c>
      <c r="I46" s="199">
        <v>23.840623999999998</v>
      </c>
      <c r="J46" s="199">
        <v>259.0463771386203</v>
      </c>
      <c r="K46" s="199">
        <v>10.430273</v>
      </c>
      <c r="L46" s="199">
        <v>731.92988997560087</v>
      </c>
      <c r="M46" s="208">
        <v>2.3419039653988171E-3</v>
      </c>
      <c r="N46" s="152">
        <v>3.3913799162798262E-2</v>
      </c>
      <c r="O46" s="137"/>
      <c r="P46" s="115"/>
    </row>
    <row r="47" spans="1:16" x14ac:dyDescent="0.25">
      <c r="A47" s="201" t="s">
        <v>300</v>
      </c>
      <c r="B47" s="209">
        <v>139</v>
      </c>
      <c r="C47" s="209">
        <v>235</v>
      </c>
      <c r="D47" s="209">
        <v>103</v>
      </c>
      <c r="E47" s="209">
        <v>5</v>
      </c>
      <c r="F47" s="209">
        <v>118</v>
      </c>
      <c r="G47" s="209">
        <v>4</v>
      </c>
      <c r="H47" s="202">
        <v>438.61261583698223</v>
      </c>
      <c r="I47" s="202">
        <v>23.840623999999998</v>
      </c>
      <c r="J47" s="202">
        <v>259.0463771386203</v>
      </c>
      <c r="K47" s="202">
        <v>10.430273</v>
      </c>
      <c r="L47" s="202">
        <v>731.92988997560087</v>
      </c>
      <c r="M47" s="210">
        <v>2.3419039653988171E-3</v>
      </c>
      <c r="N47" s="152">
        <v>8.1422734493146257E-4</v>
      </c>
      <c r="O47" s="137"/>
      <c r="P47" s="115"/>
    </row>
    <row r="48" spans="1:16" x14ac:dyDescent="0.25">
      <c r="A48" s="198" t="s">
        <v>32</v>
      </c>
      <c r="B48" s="207">
        <v>1038</v>
      </c>
      <c r="C48" s="207">
        <v>2444</v>
      </c>
      <c r="D48" s="207">
        <v>786</v>
      </c>
      <c r="E48" s="207">
        <v>51</v>
      </c>
      <c r="F48" s="207">
        <v>1540</v>
      </c>
      <c r="G48" s="207">
        <v>46</v>
      </c>
      <c r="H48" s="199">
        <v>2908.7486550691406</v>
      </c>
      <c r="I48" s="199">
        <v>228.16152</v>
      </c>
      <c r="J48" s="199">
        <v>3017.7950301066217</v>
      </c>
      <c r="K48" s="199">
        <v>87.461916000000002</v>
      </c>
      <c r="L48" s="199">
        <v>6242.1671211757903</v>
      </c>
      <c r="M48" s="208">
        <v>1.997261777934908E-2</v>
      </c>
      <c r="N48" s="152">
        <v>2.428338644718074E-3</v>
      </c>
      <c r="O48" s="137"/>
      <c r="P48" s="115"/>
    </row>
    <row r="49" spans="1:16" x14ac:dyDescent="0.25">
      <c r="A49" s="201" t="s">
        <v>297</v>
      </c>
      <c r="B49" s="209">
        <v>1038</v>
      </c>
      <c r="C49" s="209">
        <v>2444</v>
      </c>
      <c r="D49" s="209">
        <v>786</v>
      </c>
      <c r="E49" s="209">
        <v>51</v>
      </c>
      <c r="F49" s="209">
        <v>1540</v>
      </c>
      <c r="G49" s="209">
        <v>46</v>
      </c>
      <c r="H49" s="202">
        <v>2908.7486550691406</v>
      </c>
      <c r="I49" s="202">
        <v>228.16152</v>
      </c>
      <c r="J49" s="202">
        <v>3017.7950301066217</v>
      </c>
      <c r="K49" s="202">
        <v>87.461916000000002</v>
      </c>
      <c r="L49" s="202">
        <v>6242.1671211757903</v>
      </c>
      <c r="M49" s="210">
        <v>1.997261777934908E-2</v>
      </c>
      <c r="N49" s="152">
        <v>9.9486887138493883E-3</v>
      </c>
      <c r="O49" s="137"/>
      <c r="P49" s="115"/>
    </row>
    <row r="50" spans="1:16" x14ac:dyDescent="0.25">
      <c r="A50" s="198" t="s">
        <v>33</v>
      </c>
      <c r="B50" s="207">
        <v>223</v>
      </c>
      <c r="C50" s="207">
        <v>309</v>
      </c>
      <c r="D50" s="207">
        <v>169</v>
      </c>
      <c r="E50" s="207">
        <v>6</v>
      </c>
      <c r="F50" s="207">
        <v>225</v>
      </c>
      <c r="G50" s="207">
        <v>3</v>
      </c>
      <c r="H50" s="199">
        <v>460.8120900012691</v>
      </c>
      <c r="I50" s="199">
        <v>18.384447999999995</v>
      </c>
      <c r="J50" s="199">
        <v>333.69151344919499</v>
      </c>
      <c r="K50" s="199">
        <v>5.7451399999999992</v>
      </c>
      <c r="L50" s="199">
        <v>818.6331914504666</v>
      </c>
      <c r="M50" s="208">
        <v>2.6193223470199396E-3</v>
      </c>
      <c r="N50" s="152">
        <v>4.4861319702282317E-5</v>
      </c>
      <c r="O50" s="137"/>
      <c r="P50" s="115"/>
    </row>
    <row r="51" spans="1:16" x14ac:dyDescent="0.25">
      <c r="A51" s="201" t="s">
        <v>296</v>
      </c>
      <c r="B51" s="209">
        <v>223</v>
      </c>
      <c r="C51" s="209">
        <v>309</v>
      </c>
      <c r="D51" s="209">
        <v>169</v>
      </c>
      <c r="E51" s="209">
        <v>6</v>
      </c>
      <c r="F51" s="209">
        <v>225</v>
      </c>
      <c r="G51" s="209">
        <v>3</v>
      </c>
      <c r="H51" s="202">
        <v>460.8120900012691</v>
      </c>
      <c r="I51" s="202">
        <v>18.384447999999995</v>
      </c>
      <c r="J51" s="202">
        <v>333.69151344919499</v>
      </c>
      <c r="K51" s="202">
        <v>5.7451399999999992</v>
      </c>
      <c r="L51" s="202">
        <v>818.6331914504666</v>
      </c>
      <c r="M51" s="210">
        <v>2.6193223470199396E-3</v>
      </c>
      <c r="N51" s="152">
        <v>9.3116755538300673E-5</v>
      </c>
      <c r="O51" s="137"/>
      <c r="P51" s="115"/>
    </row>
    <row r="52" spans="1:16" x14ac:dyDescent="0.25">
      <c r="A52" s="198" t="s">
        <v>34</v>
      </c>
      <c r="B52" s="207">
        <v>24</v>
      </c>
      <c r="C52" s="207">
        <v>42</v>
      </c>
      <c r="D52" s="207">
        <v>13</v>
      </c>
      <c r="E52" s="207"/>
      <c r="F52" s="207">
        <v>11</v>
      </c>
      <c r="G52" s="207"/>
      <c r="H52" s="199">
        <v>56.240643810948697</v>
      </c>
      <c r="I52" s="199"/>
      <c r="J52" s="199">
        <v>31.428595070824269</v>
      </c>
      <c r="K52" s="199"/>
      <c r="L52" s="199">
        <v>87.669238881772912</v>
      </c>
      <c r="M52" s="208">
        <v>2.8050902278026153E-4</v>
      </c>
      <c r="N52" s="152">
        <v>1.799437818524253E-3</v>
      </c>
      <c r="O52" s="137"/>
      <c r="P52" s="115"/>
    </row>
    <row r="53" spans="1:16" x14ac:dyDescent="0.25">
      <c r="A53" s="201" t="s">
        <v>294</v>
      </c>
      <c r="B53" s="209">
        <v>24</v>
      </c>
      <c r="C53" s="209">
        <v>42</v>
      </c>
      <c r="D53" s="209">
        <v>13</v>
      </c>
      <c r="E53" s="209"/>
      <c r="F53" s="209">
        <v>11</v>
      </c>
      <c r="G53" s="209"/>
      <c r="H53" s="202">
        <v>56.240643810948697</v>
      </c>
      <c r="I53" s="202"/>
      <c r="J53" s="202">
        <v>31.428595070824269</v>
      </c>
      <c r="K53" s="202"/>
      <c r="L53" s="202">
        <v>87.669238881772912</v>
      </c>
      <c r="M53" s="210">
        <v>2.8050902278026153E-4</v>
      </c>
      <c r="N53" s="152">
        <v>1.730365188516604E-4</v>
      </c>
      <c r="O53" s="137"/>
      <c r="P53" s="115"/>
    </row>
    <row r="54" spans="1:16" x14ac:dyDescent="0.25">
      <c r="A54" s="198" t="s">
        <v>35</v>
      </c>
      <c r="B54" s="207">
        <v>993</v>
      </c>
      <c r="C54" s="207">
        <v>905</v>
      </c>
      <c r="D54" s="207">
        <v>764</v>
      </c>
      <c r="E54" s="207">
        <v>42</v>
      </c>
      <c r="F54" s="207">
        <v>523</v>
      </c>
      <c r="G54" s="207">
        <v>8</v>
      </c>
      <c r="H54" s="199">
        <v>2568.5403442220768</v>
      </c>
      <c r="I54" s="199">
        <v>154.83993600000005</v>
      </c>
      <c r="J54" s="199">
        <v>879.22178921671571</v>
      </c>
      <c r="K54" s="199">
        <v>13.306556999999998</v>
      </c>
      <c r="L54" s="199">
        <v>3615.908626438797</v>
      </c>
      <c r="M54" s="208">
        <v>1.1569565427993516E-2</v>
      </c>
      <c r="N54" s="152">
        <v>7.3869671916384268E-4</v>
      </c>
      <c r="O54" s="137"/>
      <c r="P54" s="115"/>
    </row>
    <row r="55" spans="1:16" x14ac:dyDescent="0.25">
      <c r="A55" s="201" t="s">
        <v>293</v>
      </c>
      <c r="B55" s="209">
        <v>993</v>
      </c>
      <c r="C55" s="209">
        <v>905</v>
      </c>
      <c r="D55" s="209">
        <v>764</v>
      </c>
      <c r="E55" s="209">
        <v>42</v>
      </c>
      <c r="F55" s="209">
        <v>523</v>
      </c>
      <c r="G55" s="209">
        <v>8</v>
      </c>
      <c r="H55" s="202">
        <v>2568.5403442220768</v>
      </c>
      <c r="I55" s="202">
        <v>154.83993600000005</v>
      </c>
      <c r="J55" s="202">
        <v>879.22178921671571</v>
      </c>
      <c r="K55" s="202">
        <v>13.306556999999998</v>
      </c>
      <c r="L55" s="202">
        <v>3615.908626438797</v>
      </c>
      <c r="M55" s="210">
        <v>1.1569565427993516E-2</v>
      </c>
      <c r="N55" s="152">
        <v>1.2171362694301642E-2</v>
      </c>
      <c r="O55" s="137"/>
      <c r="P55" s="115"/>
    </row>
    <row r="56" spans="1:16" x14ac:dyDescent="0.25">
      <c r="A56" s="198" t="s">
        <v>36</v>
      </c>
      <c r="B56" s="207">
        <v>95</v>
      </c>
      <c r="C56" s="207">
        <v>50</v>
      </c>
      <c r="D56" s="207">
        <v>78</v>
      </c>
      <c r="E56" s="207">
        <v>7</v>
      </c>
      <c r="F56" s="207">
        <v>40</v>
      </c>
      <c r="G56" s="207">
        <v>1</v>
      </c>
      <c r="H56" s="199">
        <v>192.38721521644095</v>
      </c>
      <c r="I56" s="199">
        <v>20.422519999999999</v>
      </c>
      <c r="J56" s="199">
        <v>56.647346702618748</v>
      </c>
      <c r="K56" s="199">
        <v>2.042252</v>
      </c>
      <c r="L56" s="199">
        <v>271.49933391905989</v>
      </c>
      <c r="M56" s="208">
        <v>8.6869709164272475E-4</v>
      </c>
      <c r="N56" s="152">
        <v>3.3610547032974863E-2</v>
      </c>
      <c r="O56" s="137"/>
      <c r="P56" s="115"/>
    </row>
    <row r="57" spans="1:16" x14ac:dyDescent="0.25">
      <c r="A57" s="201" t="s">
        <v>292</v>
      </c>
      <c r="B57" s="209">
        <v>95</v>
      </c>
      <c r="C57" s="209">
        <v>50</v>
      </c>
      <c r="D57" s="209">
        <v>78</v>
      </c>
      <c r="E57" s="209">
        <v>7</v>
      </c>
      <c r="F57" s="209">
        <v>40</v>
      </c>
      <c r="G57" s="209">
        <v>1</v>
      </c>
      <c r="H57" s="202">
        <v>192.38721521644095</v>
      </c>
      <c r="I57" s="202">
        <v>20.422519999999999</v>
      </c>
      <c r="J57" s="202">
        <v>56.647346702618748</v>
      </c>
      <c r="K57" s="202">
        <v>2.042252</v>
      </c>
      <c r="L57" s="202">
        <v>271.49933391905989</v>
      </c>
      <c r="M57" s="210">
        <v>8.6869709164272475E-4</v>
      </c>
      <c r="N57" s="152">
        <v>5.4438882845149524E-3</v>
      </c>
      <c r="O57" s="137"/>
      <c r="P57" s="115"/>
    </row>
    <row r="58" spans="1:16" x14ac:dyDescent="0.25">
      <c r="A58" s="198" t="s">
        <v>37</v>
      </c>
      <c r="B58" s="207">
        <v>11</v>
      </c>
      <c r="C58" s="207">
        <v>43</v>
      </c>
      <c r="D58" s="207">
        <v>4</v>
      </c>
      <c r="E58" s="207">
        <v>4</v>
      </c>
      <c r="F58" s="207">
        <v>14</v>
      </c>
      <c r="G58" s="207">
        <v>13</v>
      </c>
      <c r="H58" s="199">
        <v>20.553471137035601</v>
      </c>
      <c r="I58" s="199">
        <v>19.636351999999999</v>
      </c>
      <c r="J58" s="199">
        <v>29.545614759488682</v>
      </c>
      <c r="K58" s="199">
        <v>29.454527999999993</v>
      </c>
      <c r="L58" s="199">
        <v>99.189965896524285</v>
      </c>
      <c r="M58" s="208">
        <v>3.1737107288867144E-4</v>
      </c>
      <c r="N58" s="152">
        <v>4.0169976481456614E-2</v>
      </c>
      <c r="O58" s="137"/>
      <c r="P58" s="115"/>
    </row>
    <row r="59" spans="1:16" x14ac:dyDescent="0.25">
      <c r="A59" s="201" t="s">
        <v>289</v>
      </c>
      <c r="B59" s="209">
        <v>11</v>
      </c>
      <c r="C59" s="209">
        <v>43</v>
      </c>
      <c r="D59" s="209">
        <v>4</v>
      </c>
      <c r="E59" s="209">
        <v>4</v>
      </c>
      <c r="F59" s="209">
        <v>14</v>
      </c>
      <c r="G59" s="209">
        <v>13</v>
      </c>
      <c r="H59" s="202">
        <v>20.553471137035601</v>
      </c>
      <c r="I59" s="202">
        <v>19.636351999999999</v>
      </c>
      <c r="J59" s="202">
        <v>29.545614759488682</v>
      </c>
      <c r="K59" s="202">
        <v>29.454527999999993</v>
      </c>
      <c r="L59" s="202">
        <v>99.189965896524285</v>
      </c>
      <c r="M59" s="210">
        <v>3.1737107288867144E-4</v>
      </c>
      <c r="N59" s="152">
        <v>1.2380434441743892E-2</v>
      </c>
      <c r="O59" s="137"/>
      <c r="P59" s="115"/>
    </row>
    <row r="60" spans="1:16" x14ac:dyDescent="0.25">
      <c r="A60" s="198" t="s">
        <v>38</v>
      </c>
      <c r="B60" s="207">
        <v>934</v>
      </c>
      <c r="C60" s="207">
        <v>1676</v>
      </c>
      <c r="D60" s="207">
        <v>736</v>
      </c>
      <c r="E60" s="207">
        <v>38</v>
      </c>
      <c r="F60" s="207">
        <v>1003</v>
      </c>
      <c r="G60" s="207">
        <v>20</v>
      </c>
      <c r="H60" s="199">
        <v>3051.2624558851821</v>
      </c>
      <c r="I60" s="199">
        <v>195.55439999999999</v>
      </c>
      <c r="J60" s="199">
        <v>2155.697111690306</v>
      </c>
      <c r="K60" s="199">
        <v>46.933056000000001</v>
      </c>
      <c r="L60" s="199">
        <v>5449.4470235754643</v>
      </c>
      <c r="M60" s="208">
        <v>1.7436207714057954E-2</v>
      </c>
      <c r="N60" s="152">
        <v>1.3509726219299467E-2</v>
      </c>
      <c r="O60" s="137"/>
      <c r="P60" s="115"/>
    </row>
    <row r="61" spans="1:16" x14ac:dyDescent="0.25">
      <c r="A61" s="201" t="s">
        <v>288</v>
      </c>
      <c r="B61" s="209">
        <v>934</v>
      </c>
      <c r="C61" s="209">
        <v>1676</v>
      </c>
      <c r="D61" s="209">
        <v>736</v>
      </c>
      <c r="E61" s="209">
        <v>38</v>
      </c>
      <c r="F61" s="209">
        <v>1003</v>
      </c>
      <c r="G61" s="209">
        <v>20</v>
      </c>
      <c r="H61" s="202">
        <v>3051.2624558851821</v>
      </c>
      <c r="I61" s="202">
        <v>195.55439999999999</v>
      </c>
      <c r="J61" s="202">
        <v>2155.697111690306</v>
      </c>
      <c r="K61" s="202">
        <v>46.933056000000001</v>
      </c>
      <c r="L61" s="202">
        <v>5449.4470235754643</v>
      </c>
      <c r="M61" s="210">
        <v>1.7436207714057954E-2</v>
      </c>
      <c r="N61" s="152">
        <v>5.9136281547867201E-4</v>
      </c>
      <c r="O61" s="137"/>
      <c r="P61" s="115"/>
    </row>
    <row r="62" spans="1:16" x14ac:dyDescent="0.25">
      <c r="A62" s="198" t="s">
        <v>39</v>
      </c>
      <c r="B62" s="207">
        <v>150</v>
      </c>
      <c r="C62" s="207">
        <v>28</v>
      </c>
      <c r="D62" s="207">
        <v>144</v>
      </c>
      <c r="E62" s="207">
        <v>2</v>
      </c>
      <c r="F62" s="207">
        <v>28</v>
      </c>
      <c r="G62" s="207"/>
      <c r="H62" s="199">
        <v>296.76414119670494</v>
      </c>
      <c r="I62" s="199">
        <v>4.091952</v>
      </c>
      <c r="J62" s="199">
        <v>28.653089494854274</v>
      </c>
      <c r="K62" s="199"/>
      <c r="L62" s="199">
        <v>329.50918269155926</v>
      </c>
      <c r="M62" s="208">
        <v>1.0543070752396929E-3</v>
      </c>
      <c r="N62" s="152">
        <v>3.1393690052314814E-4</v>
      </c>
      <c r="O62" s="137"/>
      <c r="P62" s="115"/>
    </row>
    <row r="63" spans="1:16" x14ac:dyDescent="0.25">
      <c r="A63" s="201" t="s">
        <v>287</v>
      </c>
      <c r="B63" s="209">
        <v>150</v>
      </c>
      <c r="C63" s="209">
        <v>28</v>
      </c>
      <c r="D63" s="209">
        <v>144</v>
      </c>
      <c r="E63" s="209">
        <v>2</v>
      </c>
      <c r="F63" s="209">
        <v>28</v>
      </c>
      <c r="G63" s="209"/>
      <c r="H63" s="202">
        <v>296.76414119670494</v>
      </c>
      <c r="I63" s="202">
        <v>4.091952</v>
      </c>
      <c r="J63" s="202">
        <v>28.653089494854274</v>
      </c>
      <c r="K63" s="202"/>
      <c r="L63" s="202">
        <v>329.50918269155926</v>
      </c>
      <c r="M63" s="210">
        <v>1.0543070752396929E-3</v>
      </c>
      <c r="N63" s="152">
        <v>5.7670349143709547E-4</v>
      </c>
      <c r="O63" s="137"/>
      <c r="P63" s="115"/>
    </row>
    <row r="64" spans="1:16" ht="24" x14ac:dyDescent="0.25">
      <c r="A64" s="198" t="s">
        <v>441</v>
      </c>
      <c r="B64" s="207">
        <v>2597</v>
      </c>
      <c r="C64" s="207">
        <v>3681</v>
      </c>
      <c r="D64" s="207">
        <v>1854</v>
      </c>
      <c r="E64" s="207">
        <v>112</v>
      </c>
      <c r="F64" s="207">
        <v>1887</v>
      </c>
      <c r="G64" s="207">
        <v>52</v>
      </c>
      <c r="H64" s="199">
        <v>7414.7154116918209</v>
      </c>
      <c r="I64" s="199">
        <v>538.67154600000038</v>
      </c>
      <c r="J64" s="199">
        <v>3982.6765889884555</v>
      </c>
      <c r="K64" s="199">
        <v>126.21048299999994</v>
      </c>
      <c r="L64" s="199">
        <v>12062.274029680053</v>
      </c>
      <c r="M64" s="208">
        <v>3.8594799541219124E-2</v>
      </c>
      <c r="N64" s="152">
        <v>9.1506837325988979E-4</v>
      </c>
      <c r="O64" s="137"/>
      <c r="P64" s="115"/>
    </row>
    <row r="65" spans="1:16" x14ac:dyDescent="0.25">
      <c r="A65" s="201" t="s">
        <v>286</v>
      </c>
      <c r="B65" s="209">
        <v>2597</v>
      </c>
      <c r="C65" s="209">
        <v>3681</v>
      </c>
      <c r="D65" s="209">
        <v>1854</v>
      </c>
      <c r="E65" s="209">
        <v>112</v>
      </c>
      <c r="F65" s="209">
        <v>1887</v>
      </c>
      <c r="G65" s="209">
        <v>52</v>
      </c>
      <c r="H65" s="202">
        <v>7414.7154116918209</v>
      </c>
      <c r="I65" s="202">
        <v>538.67154600000038</v>
      </c>
      <c r="J65" s="202">
        <v>3982.6765889884555</v>
      </c>
      <c r="K65" s="202">
        <v>126.21048299999994</v>
      </c>
      <c r="L65" s="202">
        <v>12062.274029680053</v>
      </c>
      <c r="M65" s="210">
        <v>3.8594799541219124E-2</v>
      </c>
      <c r="N65" s="152">
        <v>1.190851146799857E-4</v>
      </c>
      <c r="O65" s="137"/>
      <c r="P65" s="115"/>
    </row>
    <row r="66" spans="1:16" x14ac:dyDescent="0.25">
      <c r="A66" s="198" t="s">
        <v>40</v>
      </c>
      <c r="B66" s="207">
        <v>115</v>
      </c>
      <c r="C66" s="207">
        <v>164</v>
      </c>
      <c r="D66" s="207">
        <v>84</v>
      </c>
      <c r="E66" s="207">
        <v>1</v>
      </c>
      <c r="F66" s="207">
        <v>102</v>
      </c>
      <c r="G66" s="207">
        <v>2</v>
      </c>
      <c r="H66" s="199">
        <v>283.23459536725011</v>
      </c>
      <c r="I66" s="199">
        <v>4.7489359999999996</v>
      </c>
      <c r="J66" s="199">
        <v>179.79239532008049</v>
      </c>
      <c r="K66" s="199">
        <v>3.5617019999999995</v>
      </c>
      <c r="L66" s="199">
        <v>471.33762868733135</v>
      </c>
      <c r="M66" s="208">
        <v>1.5081054576160744E-3</v>
      </c>
      <c r="N66" s="152">
        <v>3.6396405884734875E-4</v>
      </c>
      <c r="O66" s="137"/>
      <c r="P66" s="115"/>
    </row>
    <row r="67" spans="1:16" x14ac:dyDescent="0.25">
      <c r="A67" s="201" t="s">
        <v>291</v>
      </c>
      <c r="B67" s="209">
        <v>115</v>
      </c>
      <c r="C67" s="209">
        <v>164</v>
      </c>
      <c r="D67" s="209">
        <v>84</v>
      </c>
      <c r="E67" s="209">
        <v>1</v>
      </c>
      <c r="F67" s="209">
        <v>102</v>
      </c>
      <c r="G67" s="209">
        <v>2</v>
      </c>
      <c r="H67" s="202">
        <v>283.23459536725011</v>
      </c>
      <c r="I67" s="202">
        <v>4.7489359999999996</v>
      </c>
      <c r="J67" s="202">
        <v>179.79239532008049</v>
      </c>
      <c r="K67" s="202">
        <v>3.5617019999999995</v>
      </c>
      <c r="L67" s="202">
        <v>471.33762868733135</v>
      </c>
      <c r="M67" s="210">
        <v>1.5081054576160744E-3</v>
      </c>
      <c r="N67" s="152">
        <v>1.6119027571995622E-4</v>
      </c>
      <c r="O67" s="137"/>
      <c r="P67" s="115"/>
    </row>
    <row r="68" spans="1:16" x14ac:dyDescent="0.25">
      <c r="A68" s="198" t="s">
        <v>41</v>
      </c>
      <c r="B68" s="207">
        <v>57</v>
      </c>
      <c r="C68" s="207">
        <v>77</v>
      </c>
      <c r="D68" s="207">
        <v>28</v>
      </c>
      <c r="E68" s="207"/>
      <c r="F68" s="207">
        <v>27</v>
      </c>
      <c r="G68" s="207"/>
      <c r="H68" s="199">
        <v>161.40897428569042</v>
      </c>
      <c r="I68" s="199"/>
      <c r="J68" s="199">
        <v>71.737321904751312</v>
      </c>
      <c r="K68" s="199"/>
      <c r="L68" s="199">
        <v>233.14629619044163</v>
      </c>
      <c r="M68" s="208">
        <v>7.4598160704250475E-4</v>
      </c>
      <c r="N68" s="152">
        <v>2.1550443913360111E-4</v>
      </c>
      <c r="O68" s="137"/>
      <c r="P68" s="115"/>
    </row>
    <row r="69" spans="1:16" x14ac:dyDescent="0.25">
      <c r="A69" s="201" t="s">
        <v>290</v>
      </c>
      <c r="B69" s="209">
        <v>57</v>
      </c>
      <c r="C69" s="209">
        <v>77</v>
      </c>
      <c r="D69" s="209">
        <v>28</v>
      </c>
      <c r="E69" s="209"/>
      <c r="F69" s="209">
        <v>27</v>
      </c>
      <c r="G69" s="209"/>
      <c r="H69" s="202">
        <v>161.40897428569042</v>
      </c>
      <c r="I69" s="202"/>
      <c r="J69" s="202">
        <v>71.737321904751312</v>
      </c>
      <c r="K69" s="202"/>
      <c r="L69" s="202">
        <v>233.14629619044163</v>
      </c>
      <c r="M69" s="210">
        <v>7.4598160704250475E-4</v>
      </c>
      <c r="N69" s="152">
        <v>2.4352482969811238E-3</v>
      </c>
      <c r="O69" s="137"/>
      <c r="P69" s="115"/>
    </row>
    <row r="70" spans="1:16" x14ac:dyDescent="0.25">
      <c r="A70" s="198" t="s">
        <v>42</v>
      </c>
      <c r="B70" s="207">
        <v>153</v>
      </c>
      <c r="C70" s="207">
        <v>296</v>
      </c>
      <c r="D70" s="207">
        <v>101</v>
      </c>
      <c r="E70" s="207">
        <v>4</v>
      </c>
      <c r="F70" s="207">
        <v>156</v>
      </c>
      <c r="G70" s="207">
        <v>1</v>
      </c>
      <c r="H70" s="199">
        <v>483.38659245629486</v>
      </c>
      <c r="I70" s="199">
        <v>23.631568000000001</v>
      </c>
      <c r="J70" s="199">
        <v>388.13099923696666</v>
      </c>
      <c r="K70" s="199">
        <v>1.4769730000000001</v>
      </c>
      <c r="L70" s="199">
        <v>896.62613269326221</v>
      </c>
      <c r="M70" s="208">
        <v>2.8688708090669106E-3</v>
      </c>
      <c r="N70" s="152">
        <v>7.0438499117362729E-3</v>
      </c>
      <c r="O70" s="137"/>
      <c r="P70" s="115"/>
    </row>
    <row r="71" spans="1:16" x14ac:dyDescent="0.25">
      <c r="A71" s="201" t="s">
        <v>285</v>
      </c>
      <c r="B71" s="209">
        <v>153</v>
      </c>
      <c r="C71" s="209">
        <v>296</v>
      </c>
      <c r="D71" s="209">
        <v>101</v>
      </c>
      <c r="E71" s="209">
        <v>4</v>
      </c>
      <c r="F71" s="209">
        <v>156</v>
      </c>
      <c r="G71" s="209">
        <v>1</v>
      </c>
      <c r="H71" s="202">
        <v>483.38659245629486</v>
      </c>
      <c r="I71" s="202">
        <v>23.631568000000001</v>
      </c>
      <c r="J71" s="202">
        <v>388.13099923696666</v>
      </c>
      <c r="K71" s="202">
        <v>1.4769730000000001</v>
      </c>
      <c r="L71" s="202">
        <v>896.62613269326221</v>
      </c>
      <c r="M71" s="210">
        <v>2.8688708090669106E-3</v>
      </c>
      <c r="N71" s="152">
        <v>1.0686084237665067E-2</v>
      </c>
      <c r="O71" s="137"/>
      <c r="P71" s="115"/>
    </row>
    <row r="72" spans="1:16" x14ac:dyDescent="0.25">
      <c r="A72" s="198" t="s">
        <v>43</v>
      </c>
      <c r="B72" s="207">
        <v>1047</v>
      </c>
      <c r="C72" s="207">
        <v>1557</v>
      </c>
      <c r="D72" s="207">
        <v>796</v>
      </c>
      <c r="E72" s="207">
        <v>45</v>
      </c>
      <c r="F72" s="207">
        <v>856</v>
      </c>
      <c r="G72" s="207">
        <v>19</v>
      </c>
      <c r="H72" s="199">
        <v>3081.6875823700052</v>
      </c>
      <c r="I72" s="199">
        <v>219.44534000000002</v>
      </c>
      <c r="J72" s="199">
        <v>1687.1020694490242</v>
      </c>
      <c r="K72" s="199">
        <v>42.102885000000008</v>
      </c>
      <c r="L72" s="199">
        <v>5030.3378768190614</v>
      </c>
      <c r="M72" s="208">
        <v>1.6095214012111374E-2</v>
      </c>
      <c r="N72" s="152">
        <v>1.6657274726075689E-2</v>
      </c>
      <c r="O72" s="137"/>
      <c r="P72" s="115"/>
    </row>
    <row r="73" spans="1:16" x14ac:dyDescent="0.25">
      <c r="A73" s="201" t="s">
        <v>284</v>
      </c>
      <c r="B73" s="209">
        <v>1047</v>
      </c>
      <c r="C73" s="209">
        <v>1557</v>
      </c>
      <c r="D73" s="209">
        <v>796</v>
      </c>
      <c r="E73" s="209">
        <v>45</v>
      </c>
      <c r="F73" s="209">
        <v>856</v>
      </c>
      <c r="G73" s="209">
        <v>19</v>
      </c>
      <c r="H73" s="202">
        <v>3081.6875823700052</v>
      </c>
      <c r="I73" s="202">
        <v>219.44534000000002</v>
      </c>
      <c r="J73" s="202">
        <v>1687.1020694490242</v>
      </c>
      <c r="K73" s="202">
        <v>42.102885000000008</v>
      </c>
      <c r="L73" s="202">
        <v>5030.3378768190614</v>
      </c>
      <c r="M73" s="210">
        <v>1.6095214012111374E-2</v>
      </c>
      <c r="N73" s="152">
        <v>2.5223496523618417E-2</v>
      </c>
      <c r="O73" s="137"/>
      <c r="P73" s="115"/>
    </row>
    <row r="74" spans="1:16" ht="24" x14ac:dyDescent="0.25">
      <c r="A74" s="198" t="s">
        <v>149</v>
      </c>
      <c r="B74" s="207">
        <v>49</v>
      </c>
      <c r="C74" s="207">
        <v>70</v>
      </c>
      <c r="D74" s="207">
        <v>44</v>
      </c>
      <c r="E74" s="207">
        <v>1</v>
      </c>
      <c r="F74" s="207">
        <v>56</v>
      </c>
      <c r="G74" s="207"/>
      <c r="H74" s="199">
        <v>133.96624008909779</v>
      </c>
      <c r="I74" s="199">
        <v>4.4074039999999997</v>
      </c>
      <c r="J74" s="199">
        <v>83.728900055686125</v>
      </c>
      <c r="K74" s="199"/>
      <c r="L74" s="199">
        <v>222.10254414478391</v>
      </c>
      <c r="M74" s="208">
        <v>7.1064569978850631E-4</v>
      </c>
      <c r="N74" s="152">
        <v>9.725055671979025E-4</v>
      </c>
      <c r="O74" s="137"/>
      <c r="P74" s="115"/>
    </row>
    <row r="75" spans="1:16" x14ac:dyDescent="0.25">
      <c r="A75" s="201" t="s">
        <v>283</v>
      </c>
      <c r="B75" s="209">
        <v>49</v>
      </c>
      <c r="C75" s="209">
        <v>70</v>
      </c>
      <c r="D75" s="209">
        <v>44</v>
      </c>
      <c r="E75" s="209">
        <v>1</v>
      </c>
      <c r="F75" s="209">
        <v>56</v>
      </c>
      <c r="G75" s="209"/>
      <c r="H75" s="202">
        <v>133.96624008909779</v>
      </c>
      <c r="I75" s="202">
        <v>4.4074039999999997</v>
      </c>
      <c r="J75" s="202">
        <v>83.728900055686125</v>
      </c>
      <c r="K75" s="202"/>
      <c r="L75" s="202">
        <v>222.10254414478391</v>
      </c>
      <c r="M75" s="210">
        <v>7.1064569978850631E-4</v>
      </c>
      <c r="N75" s="152">
        <v>5.4432359043547545E-4</v>
      </c>
      <c r="O75" s="137"/>
      <c r="P75" s="115"/>
    </row>
    <row r="76" spans="1:16" ht="24" x14ac:dyDescent="0.25">
      <c r="A76" s="198" t="s">
        <v>496</v>
      </c>
      <c r="B76" s="207">
        <v>50</v>
      </c>
      <c r="C76" s="207">
        <v>67</v>
      </c>
      <c r="D76" s="207">
        <v>40</v>
      </c>
      <c r="E76" s="207">
        <v>2</v>
      </c>
      <c r="F76" s="207">
        <v>31</v>
      </c>
      <c r="G76" s="207"/>
      <c r="H76" s="199">
        <v>173.49229065875588</v>
      </c>
      <c r="I76" s="199">
        <v>11.011760000000001</v>
      </c>
      <c r="J76" s="199">
        <v>63.338455319863257</v>
      </c>
      <c r="K76" s="199"/>
      <c r="L76" s="199">
        <v>247.84250597861893</v>
      </c>
      <c r="M76" s="208">
        <v>7.9300402332941526E-4</v>
      </c>
      <c r="N76" s="152">
        <v>1.3406652442896792E-3</v>
      </c>
      <c r="O76" s="137"/>
      <c r="P76" s="115"/>
    </row>
    <row r="77" spans="1:16" x14ac:dyDescent="0.25">
      <c r="A77" s="201" t="s">
        <v>282</v>
      </c>
      <c r="B77" s="209">
        <v>50</v>
      </c>
      <c r="C77" s="209">
        <v>67</v>
      </c>
      <c r="D77" s="209">
        <v>40</v>
      </c>
      <c r="E77" s="209">
        <v>2</v>
      </c>
      <c r="F77" s="209">
        <v>31</v>
      </c>
      <c r="G77" s="209"/>
      <c r="H77" s="202">
        <v>173.49229065875588</v>
      </c>
      <c r="I77" s="202">
        <v>11.011760000000001</v>
      </c>
      <c r="J77" s="202">
        <v>63.338455319863257</v>
      </c>
      <c r="K77" s="202"/>
      <c r="L77" s="202">
        <v>247.84250597861893</v>
      </c>
      <c r="M77" s="210">
        <v>7.9300402332941526E-4</v>
      </c>
      <c r="N77" s="152">
        <v>5.8210225345045928E-3</v>
      </c>
      <c r="O77" s="137"/>
      <c r="P77" s="115"/>
    </row>
    <row r="78" spans="1:16" x14ac:dyDescent="0.25">
      <c r="A78" s="198" t="s">
        <v>46</v>
      </c>
      <c r="B78" s="207">
        <v>26</v>
      </c>
      <c r="C78" s="207">
        <v>3</v>
      </c>
      <c r="D78" s="207">
        <v>16</v>
      </c>
      <c r="E78" s="207"/>
      <c r="F78" s="207">
        <v>1</v>
      </c>
      <c r="G78" s="207"/>
      <c r="H78" s="199">
        <v>45.916653999999994</v>
      </c>
      <c r="I78" s="199"/>
      <c r="J78" s="199">
        <v>1.2083330000000001</v>
      </c>
      <c r="K78" s="199"/>
      <c r="L78" s="199">
        <v>47.12498699999999</v>
      </c>
      <c r="M78" s="208">
        <v>1.5078246623914573E-4</v>
      </c>
      <c r="N78" s="152">
        <v>1.2771052545103814E-5</v>
      </c>
      <c r="O78" s="137"/>
      <c r="P78" s="115"/>
    </row>
    <row r="79" spans="1:16" x14ac:dyDescent="0.25">
      <c r="A79" s="201" t="s">
        <v>281</v>
      </c>
      <c r="B79" s="209">
        <v>26</v>
      </c>
      <c r="C79" s="209">
        <v>3</v>
      </c>
      <c r="D79" s="209">
        <v>16</v>
      </c>
      <c r="E79" s="209"/>
      <c r="F79" s="209">
        <v>1</v>
      </c>
      <c r="G79" s="209"/>
      <c r="H79" s="202">
        <v>45.916653999999994</v>
      </c>
      <c r="I79" s="202"/>
      <c r="J79" s="202">
        <v>1.2083330000000001</v>
      </c>
      <c r="K79" s="202"/>
      <c r="L79" s="202">
        <v>47.12498699999999</v>
      </c>
      <c r="M79" s="210">
        <v>1.5078246623914573E-4</v>
      </c>
      <c r="N79" s="152">
        <v>8.4039044477182672E-3</v>
      </c>
      <c r="O79" s="137"/>
      <c r="P79" s="115"/>
    </row>
    <row r="80" spans="1:16" ht="24" x14ac:dyDescent="0.25">
      <c r="A80" s="198" t="s">
        <v>497</v>
      </c>
      <c r="B80" s="207">
        <v>4</v>
      </c>
      <c r="C80" s="207">
        <v>8</v>
      </c>
      <c r="D80" s="207">
        <v>4</v>
      </c>
      <c r="E80" s="207"/>
      <c r="F80" s="207">
        <v>7</v>
      </c>
      <c r="G80" s="207"/>
      <c r="H80" s="199">
        <v>10.372468801148745</v>
      </c>
      <c r="I80" s="199"/>
      <c r="J80" s="199">
        <v>10.372468801148747</v>
      </c>
      <c r="K80" s="199"/>
      <c r="L80" s="199">
        <v>20.744937602297494</v>
      </c>
      <c r="M80" s="208">
        <v>6.6376100085748719E-5</v>
      </c>
      <c r="N80" s="152">
        <v>3.9550223237429032E-4</v>
      </c>
      <c r="O80" s="137"/>
      <c r="P80" s="115"/>
    </row>
    <row r="81" spans="1:16" x14ac:dyDescent="0.25">
      <c r="A81" s="201" t="s">
        <v>280</v>
      </c>
      <c r="B81" s="209">
        <v>4</v>
      </c>
      <c r="C81" s="209">
        <v>8</v>
      </c>
      <c r="D81" s="209">
        <v>4</v>
      </c>
      <c r="E81" s="209"/>
      <c r="F81" s="209">
        <v>7</v>
      </c>
      <c r="G81" s="209"/>
      <c r="H81" s="202">
        <v>10.372468801148745</v>
      </c>
      <c r="I81" s="202"/>
      <c r="J81" s="202">
        <v>10.372468801148747</v>
      </c>
      <c r="K81" s="202"/>
      <c r="L81" s="202">
        <v>20.744937602297494</v>
      </c>
      <c r="M81" s="210">
        <v>6.6376100085748719E-5</v>
      </c>
      <c r="N81" s="152">
        <v>2.7841221392840295E-4</v>
      </c>
      <c r="O81" s="137"/>
      <c r="P81" s="115"/>
    </row>
    <row r="82" spans="1:16" x14ac:dyDescent="0.25">
      <c r="A82" s="198" t="s">
        <v>48</v>
      </c>
      <c r="B82" s="207">
        <v>23</v>
      </c>
      <c r="C82" s="207">
        <v>53</v>
      </c>
      <c r="D82" s="207">
        <v>20</v>
      </c>
      <c r="E82" s="207">
        <v>1</v>
      </c>
      <c r="F82" s="207">
        <v>30</v>
      </c>
      <c r="G82" s="207">
        <v>2</v>
      </c>
      <c r="H82" s="199">
        <v>67.005061457766487</v>
      </c>
      <c r="I82" s="199">
        <v>5.1525400000000001</v>
      </c>
      <c r="J82" s="199">
        <v>42.522442848197969</v>
      </c>
      <c r="K82" s="199">
        <v>2.5762700000000001</v>
      </c>
      <c r="L82" s="199">
        <v>117.25631430596444</v>
      </c>
      <c r="M82" s="208">
        <v>3.7517668181353018E-4</v>
      </c>
      <c r="N82" s="152">
        <v>7.4464005115005877E-4</v>
      </c>
      <c r="O82" s="137"/>
      <c r="P82" s="115"/>
    </row>
    <row r="83" spans="1:16" x14ac:dyDescent="0.25">
      <c r="A83" s="201" t="s">
        <v>278</v>
      </c>
      <c r="B83" s="209">
        <v>23</v>
      </c>
      <c r="C83" s="209">
        <v>53</v>
      </c>
      <c r="D83" s="209">
        <v>20</v>
      </c>
      <c r="E83" s="209">
        <v>1</v>
      </c>
      <c r="F83" s="209">
        <v>30</v>
      </c>
      <c r="G83" s="209">
        <v>2</v>
      </c>
      <c r="H83" s="202">
        <v>67.005061457766487</v>
      </c>
      <c r="I83" s="202">
        <v>5.1525400000000001</v>
      </c>
      <c r="J83" s="202">
        <v>42.522442848197969</v>
      </c>
      <c r="K83" s="202">
        <v>2.5762700000000001</v>
      </c>
      <c r="L83" s="202">
        <v>117.25631430596444</v>
      </c>
      <c r="M83" s="210">
        <v>3.7517668181353018E-4</v>
      </c>
      <c r="N83" s="152">
        <v>4.6762522766416139E-4</v>
      </c>
      <c r="O83" s="137"/>
      <c r="P83" s="115"/>
    </row>
    <row r="84" spans="1:16" ht="24" x14ac:dyDescent="0.25">
      <c r="A84" s="198" t="s">
        <v>49</v>
      </c>
      <c r="B84" s="207">
        <v>902</v>
      </c>
      <c r="C84" s="207">
        <v>1374</v>
      </c>
      <c r="D84" s="207">
        <v>665</v>
      </c>
      <c r="E84" s="207">
        <v>31</v>
      </c>
      <c r="F84" s="207">
        <v>752</v>
      </c>
      <c r="G84" s="207">
        <v>13</v>
      </c>
      <c r="H84" s="199">
        <v>2574.2757458209526</v>
      </c>
      <c r="I84" s="199">
        <v>148.18039200000004</v>
      </c>
      <c r="J84" s="199">
        <v>1556.9367113017274</v>
      </c>
      <c r="K84" s="199">
        <v>29.896043999999996</v>
      </c>
      <c r="L84" s="199">
        <v>4309.2888931226817</v>
      </c>
      <c r="M84" s="208">
        <v>1.3788124907960114E-2</v>
      </c>
      <c r="N84" s="152">
        <v>5.6624745607401564E-3</v>
      </c>
      <c r="O84" s="137"/>
      <c r="P84" s="115"/>
    </row>
    <row r="85" spans="1:16" x14ac:dyDescent="0.25">
      <c r="A85" s="201" t="s">
        <v>277</v>
      </c>
      <c r="B85" s="209">
        <v>902</v>
      </c>
      <c r="C85" s="209">
        <v>1374</v>
      </c>
      <c r="D85" s="209">
        <v>665</v>
      </c>
      <c r="E85" s="209">
        <v>31</v>
      </c>
      <c r="F85" s="209">
        <v>752</v>
      </c>
      <c r="G85" s="209">
        <v>13</v>
      </c>
      <c r="H85" s="202">
        <v>2574.2757458209526</v>
      </c>
      <c r="I85" s="202">
        <v>148.18039200000004</v>
      </c>
      <c r="J85" s="202">
        <v>1556.9367113017274</v>
      </c>
      <c r="K85" s="202">
        <v>29.896043999999996</v>
      </c>
      <c r="L85" s="202">
        <v>4309.2888931226817</v>
      </c>
      <c r="M85" s="210">
        <v>1.3788124907960114E-2</v>
      </c>
      <c r="N85" s="152">
        <v>7.8579003242153084E-3</v>
      </c>
      <c r="O85" s="137"/>
      <c r="P85" s="115"/>
    </row>
    <row r="86" spans="1:16" ht="24" x14ac:dyDescent="0.25">
      <c r="A86" s="198" t="s">
        <v>435</v>
      </c>
      <c r="B86" s="207">
        <v>22</v>
      </c>
      <c r="C86" s="207">
        <v>25</v>
      </c>
      <c r="D86" s="207">
        <v>9</v>
      </c>
      <c r="E86" s="207">
        <v>9</v>
      </c>
      <c r="F86" s="207">
        <v>9</v>
      </c>
      <c r="G86" s="207">
        <v>9</v>
      </c>
      <c r="H86" s="199">
        <v>33.213342219125707</v>
      </c>
      <c r="I86" s="199">
        <v>34.390229999999995</v>
      </c>
      <c r="J86" s="199">
        <v>14.392448294954473</v>
      </c>
      <c r="K86" s="199">
        <v>17.195115000000001</v>
      </c>
      <c r="L86" s="199">
        <v>99.191135514080187</v>
      </c>
      <c r="M86" s="208">
        <v>3.17374815230704E-4</v>
      </c>
      <c r="N86" s="152">
        <v>4.2074807508911193E-4</v>
      </c>
      <c r="O86" s="137"/>
      <c r="P86" s="115"/>
    </row>
    <row r="87" spans="1:16" x14ac:dyDescent="0.25">
      <c r="A87" s="201" t="s">
        <v>267</v>
      </c>
      <c r="B87" s="209">
        <v>22</v>
      </c>
      <c r="C87" s="209">
        <v>25</v>
      </c>
      <c r="D87" s="209">
        <v>9</v>
      </c>
      <c r="E87" s="209">
        <v>9</v>
      </c>
      <c r="F87" s="209">
        <v>9</v>
      </c>
      <c r="G87" s="209">
        <v>9</v>
      </c>
      <c r="H87" s="202">
        <v>33.213342219125707</v>
      </c>
      <c r="I87" s="202">
        <v>34.390229999999995</v>
      </c>
      <c r="J87" s="202">
        <v>14.392448294954473</v>
      </c>
      <c r="K87" s="202">
        <v>17.195115000000001</v>
      </c>
      <c r="L87" s="202">
        <v>99.191135514080187</v>
      </c>
      <c r="M87" s="210">
        <v>3.17374815230704E-4</v>
      </c>
      <c r="N87" s="152">
        <v>3.1338939902447203E-2</v>
      </c>
      <c r="O87" s="137"/>
      <c r="P87" s="115"/>
    </row>
    <row r="88" spans="1:16" x14ac:dyDescent="0.25">
      <c r="A88" s="198" t="s">
        <v>51</v>
      </c>
      <c r="B88" s="207">
        <v>1080</v>
      </c>
      <c r="C88" s="207">
        <v>1702</v>
      </c>
      <c r="D88" s="207">
        <v>834</v>
      </c>
      <c r="E88" s="207">
        <v>39</v>
      </c>
      <c r="F88" s="207">
        <v>970</v>
      </c>
      <c r="G88" s="207">
        <v>15</v>
      </c>
      <c r="H88" s="199">
        <v>3229.2110361102746</v>
      </c>
      <c r="I88" s="199">
        <v>185.90299199999998</v>
      </c>
      <c r="J88" s="199">
        <v>1982.5383338374738</v>
      </c>
      <c r="K88" s="199">
        <v>32.729399999999998</v>
      </c>
      <c r="L88" s="199">
        <v>5430.3817619477686</v>
      </c>
      <c r="M88" s="208">
        <v>1.7375205953617818E-2</v>
      </c>
      <c r="N88" s="152">
        <v>7.642674610646267E-4</v>
      </c>
      <c r="O88" s="137"/>
      <c r="P88" s="115"/>
    </row>
    <row r="89" spans="1:16" x14ac:dyDescent="0.25">
      <c r="A89" s="201" t="s">
        <v>266</v>
      </c>
      <c r="B89" s="209">
        <v>1080</v>
      </c>
      <c r="C89" s="209">
        <v>1702</v>
      </c>
      <c r="D89" s="209">
        <v>834</v>
      </c>
      <c r="E89" s="209">
        <v>39</v>
      </c>
      <c r="F89" s="209">
        <v>970</v>
      </c>
      <c r="G89" s="209">
        <v>15</v>
      </c>
      <c r="H89" s="202">
        <v>3229.2110361102746</v>
      </c>
      <c r="I89" s="202">
        <v>185.90299199999998</v>
      </c>
      <c r="J89" s="202">
        <v>1982.5383338374738</v>
      </c>
      <c r="K89" s="202">
        <v>32.729399999999998</v>
      </c>
      <c r="L89" s="202">
        <v>5430.3817619477686</v>
      </c>
      <c r="M89" s="210">
        <v>1.7375205953617818E-2</v>
      </c>
      <c r="N89" s="152">
        <v>3.1345155131487376E-4</v>
      </c>
      <c r="O89" s="137"/>
      <c r="P89" s="115"/>
    </row>
    <row r="90" spans="1:16" ht="24" x14ac:dyDescent="0.25">
      <c r="A90" s="198" t="s">
        <v>52</v>
      </c>
      <c r="B90" s="207">
        <v>2222</v>
      </c>
      <c r="C90" s="207">
        <v>3790</v>
      </c>
      <c r="D90" s="207">
        <v>1654</v>
      </c>
      <c r="E90" s="207">
        <v>76</v>
      </c>
      <c r="F90" s="207">
        <v>2225</v>
      </c>
      <c r="G90" s="207">
        <v>45</v>
      </c>
      <c r="H90" s="199">
        <v>6206.1435001308155</v>
      </c>
      <c r="I90" s="199">
        <v>353.26765200000023</v>
      </c>
      <c r="J90" s="199">
        <v>4274.1395593170273</v>
      </c>
      <c r="K90" s="199">
        <v>91.540157999999991</v>
      </c>
      <c r="L90" s="199">
        <v>10925.090869447684</v>
      </c>
      <c r="M90" s="208">
        <v>3.4956235535557711E-2</v>
      </c>
      <c r="N90" s="152">
        <v>1.7387829159026917E-3</v>
      </c>
      <c r="O90" s="137"/>
      <c r="P90" s="115"/>
    </row>
    <row r="91" spans="1:16" x14ac:dyDescent="0.25">
      <c r="A91" s="201" t="s">
        <v>260</v>
      </c>
      <c r="B91" s="209">
        <v>2222</v>
      </c>
      <c r="C91" s="209">
        <v>3790</v>
      </c>
      <c r="D91" s="209">
        <v>1654</v>
      </c>
      <c r="E91" s="209">
        <v>76</v>
      </c>
      <c r="F91" s="209">
        <v>2225</v>
      </c>
      <c r="G91" s="209">
        <v>45</v>
      </c>
      <c r="H91" s="202">
        <v>6206.1435001308155</v>
      </c>
      <c r="I91" s="202">
        <v>353.26765200000023</v>
      </c>
      <c r="J91" s="202">
        <v>4274.1395593170273</v>
      </c>
      <c r="K91" s="202">
        <v>91.540157999999991</v>
      </c>
      <c r="L91" s="202">
        <v>10925.090869447684</v>
      </c>
      <c r="M91" s="210">
        <v>3.4956235535557711E-2</v>
      </c>
      <c r="N91" s="152">
        <v>9.4722883089543779E-4</v>
      </c>
      <c r="O91" s="137"/>
      <c r="P91" s="115"/>
    </row>
    <row r="92" spans="1:16" x14ac:dyDescent="0.25">
      <c r="A92" s="198" t="s">
        <v>53</v>
      </c>
      <c r="B92" s="207">
        <v>148</v>
      </c>
      <c r="C92" s="207">
        <v>26</v>
      </c>
      <c r="D92" s="207">
        <v>140</v>
      </c>
      <c r="E92" s="207">
        <v>1</v>
      </c>
      <c r="F92" s="207">
        <v>25</v>
      </c>
      <c r="G92" s="207"/>
      <c r="H92" s="199">
        <v>313.09683387076774</v>
      </c>
      <c r="I92" s="199">
        <v>4.1183399999999999</v>
      </c>
      <c r="J92" s="199">
        <v>26.778018686315686</v>
      </c>
      <c r="K92" s="199"/>
      <c r="L92" s="199">
        <v>343.99319255708332</v>
      </c>
      <c r="M92" s="208">
        <v>1.100650530539868E-3</v>
      </c>
      <c r="N92" s="152">
        <v>5.9390722215117025E-4</v>
      </c>
      <c r="O92" s="137"/>
      <c r="P92" s="115"/>
    </row>
    <row r="93" spans="1:16" x14ac:dyDescent="0.25">
      <c r="A93" s="201" t="s">
        <v>276</v>
      </c>
      <c r="B93" s="209">
        <v>148</v>
      </c>
      <c r="C93" s="209">
        <v>26</v>
      </c>
      <c r="D93" s="209">
        <v>140</v>
      </c>
      <c r="E93" s="209">
        <v>1</v>
      </c>
      <c r="F93" s="209">
        <v>25</v>
      </c>
      <c r="G93" s="209"/>
      <c r="H93" s="202">
        <v>313.09683387076774</v>
      </c>
      <c r="I93" s="202">
        <v>4.1183399999999999</v>
      </c>
      <c r="J93" s="202">
        <v>26.778018686315686</v>
      </c>
      <c r="K93" s="202"/>
      <c r="L93" s="202">
        <v>343.99319255708332</v>
      </c>
      <c r="M93" s="210">
        <v>1.100650530539868E-3</v>
      </c>
      <c r="N93" s="152">
        <v>8.715811813776442E-4</v>
      </c>
      <c r="O93" s="137"/>
      <c r="P93" s="115"/>
    </row>
    <row r="94" spans="1:16" x14ac:dyDescent="0.25">
      <c r="A94" s="198" t="s">
        <v>54</v>
      </c>
      <c r="B94" s="207">
        <v>157</v>
      </c>
      <c r="C94" s="207">
        <v>410</v>
      </c>
      <c r="D94" s="207">
        <v>56</v>
      </c>
      <c r="E94" s="207"/>
      <c r="F94" s="207">
        <v>89</v>
      </c>
      <c r="G94" s="207">
        <v>1</v>
      </c>
      <c r="H94" s="199">
        <v>379.91450000466267</v>
      </c>
      <c r="I94" s="199"/>
      <c r="J94" s="199">
        <v>330.95644588035037</v>
      </c>
      <c r="K94" s="199">
        <v>3.9650340000000002</v>
      </c>
      <c r="L94" s="199">
        <v>714.83597988501265</v>
      </c>
      <c r="M94" s="208">
        <v>2.28720979813827E-3</v>
      </c>
      <c r="N94" s="152">
        <v>1.1226290884241466E-2</v>
      </c>
      <c r="O94" s="137"/>
      <c r="P94" s="115"/>
    </row>
    <row r="95" spans="1:16" x14ac:dyDescent="0.25">
      <c r="A95" s="201" t="s">
        <v>275</v>
      </c>
      <c r="B95" s="209">
        <v>157</v>
      </c>
      <c r="C95" s="209">
        <v>410</v>
      </c>
      <c r="D95" s="209">
        <v>56</v>
      </c>
      <c r="E95" s="209"/>
      <c r="F95" s="209">
        <v>89</v>
      </c>
      <c r="G95" s="209">
        <v>1</v>
      </c>
      <c r="H95" s="202">
        <v>379.91450000466267</v>
      </c>
      <c r="I95" s="202"/>
      <c r="J95" s="202">
        <v>330.95644588035037</v>
      </c>
      <c r="K95" s="202">
        <v>3.9650340000000002</v>
      </c>
      <c r="L95" s="202">
        <v>714.83597988501265</v>
      </c>
      <c r="M95" s="210">
        <v>2.28720979813827E-3</v>
      </c>
      <c r="N95" s="152">
        <v>2.91598578064835E-4</v>
      </c>
      <c r="O95" s="137"/>
      <c r="P95" s="115"/>
    </row>
    <row r="96" spans="1:16" x14ac:dyDescent="0.25">
      <c r="A96" s="198" t="s">
        <v>55</v>
      </c>
      <c r="B96" s="207">
        <v>719</v>
      </c>
      <c r="C96" s="207">
        <v>929</v>
      </c>
      <c r="D96" s="207">
        <v>624</v>
      </c>
      <c r="E96" s="207">
        <v>17</v>
      </c>
      <c r="F96" s="207">
        <v>635</v>
      </c>
      <c r="G96" s="207">
        <v>8</v>
      </c>
      <c r="H96" s="199">
        <v>2004.853972987114</v>
      </c>
      <c r="I96" s="199">
        <v>71.239139999999992</v>
      </c>
      <c r="J96" s="199">
        <v>1052.3107938783091</v>
      </c>
      <c r="K96" s="199">
        <v>16.622466000000003</v>
      </c>
      <c r="L96" s="199">
        <v>3145.0263728654309</v>
      </c>
      <c r="M96" s="208">
        <v>1.0062917001713016E-2</v>
      </c>
      <c r="N96" s="152">
        <v>9.7275231329227753E-3</v>
      </c>
      <c r="O96" s="137"/>
      <c r="P96" s="115"/>
    </row>
    <row r="97" spans="1:16" x14ac:dyDescent="0.25">
      <c r="A97" s="201" t="s">
        <v>274</v>
      </c>
      <c r="B97" s="209">
        <v>719</v>
      </c>
      <c r="C97" s="209">
        <v>929</v>
      </c>
      <c r="D97" s="209">
        <v>624</v>
      </c>
      <c r="E97" s="209">
        <v>17</v>
      </c>
      <c r="F97" s="209">
        <v>635</v>
      </c>
      <c r="G97" s="209">
        <v>8</v>
      </c>
      <c r="H97" s="202">
        <v>2004.853972987114</v>
      </c>
      <c r="I97" s="202">
        <v>71.239139999999992</v>
      </c>
      <c r="J97" s="202">
        <v>1052.3107938783091</v>
      </c>
      <c r="K97" s="202">
        <v>16.622466000000003</v>
      </c>
      <c r="L97" s="202">
        <v>3145.0263728654309</v>
      </c>
      <c r="M97" s="210">
        <v>1.0062917001713016E-2</v>
      </c>
      <c r="N97" s="152">
        <v>3.080916731168475E-4</v>
      </c>
      <c r="O97" s="137"/>
      <c r="P97" s="115"/>
    </row>
    <row r="98" spans="1:16" ht="24" x14ac:dyDescent="0.25">
      <c r="A98" s="198" t="s">
        <v>56</v>
      </c>
      <c r="B98" s="207">
        <v>11</v>
      </c>
      <c r="C98" s="207">
        <v>11</v>
      </c>
      <c r="D98" s="207">
        <v>4</v>
      </c>
      <c r="E98" s="207">
        <v>2</v>
      </c>
      <c r="F98" s="207">
        <v>3</v>
      </c>
      <c r="G98" s="207"/>
      <c r="H98" s="199">
        <v>15.351673019540449</v>
      </c>
      <c r="I98" s="199">
        <v>14.666664000000001</v>
      </c>
      <c r="J98" s="199">
        <v>9.5947956372127798</v>
      </c>
      <c r="K98" s="199"/>
      <c r="L98" s="199">
        <v>39.613132656753223</v>
      </c>
      <c r="M98" s="208">
        <v>1.2674732063997589E-4</v>
      </c>
      <c r="N98" s="152">
        <v>3.5986232218919868E-4</v>
      </c>
      <c r="O98" s="137"/>
      <c r="P98" s="115"/>
    </row>
    <row r="99" spans="1:16" x14ac:dyDescent="0.25">
      <c r="A99" s="201" t="s">
        <v>273</v>
      </c>
      <c r="B99" s="209">
        <v>11</v>
      </c>
      <c r="C99" s="209">
        <v>11</v>
      </c>
      <c r="D99" s="209">
        <v>4</v>
      </c>
      <c r="E99" s="209">
        <v>2</v>
      </c>
      <c r="F99" s="209">
        <v>3</v>
      </c>
      <c r="G99" s="209"/>
      <c r="H99" s="202">
        <v>15.351673019540449</v>
      </c>
      <c r="I99" s="202">
        <v>14.666664000000001</v>
      </c>
      <c r="J99" s="202">
        <v>9.5947956372127798</v>
      </c>
      <c r="K99" s="202"/>
      <c r="L99" s="202">
        <v>39.613132656753223</v>
      </c>
      <c r="M99" s="210">
        <v>1.2674732063997589E-4</v>
      </c>
      <c r="N99" s="152">
        <v>1.6507761568513083E-2</v>
      </c>
      <c r="O99" s="137"/>
      <c r="P99" s="115"/>
    </row>
    <row r="100" spans="1:16" x14ac:dyDescent="0.25">
      <c r="A100" s="198" t="s">
        <v>492</v>
      </c>
      <c r="B100" s="207">
        <v>120</v>
      </c>
      <c r="C100" s="207">
        <v>197</v>
      </c>
      <c r="D100" s="207">
        <v>97</v>
      </c>
      <c r="E100" s="207">
        <v>6</v>
      </c>
      <c r="F100" s="207">
        <v>149</v>
      </c>
      <c r="G100" s="207">
        <v>3</v>
      </c>
      <c r="H100" s="199">
        <v>319.35314389728438</v>
      </c>
      <c r="I100" s="199">
        <v>15.737581999999996</v>
      </c>
      <c r="J100" s="199">
        <v>242.8883066261036</v>
      </c>
      <c r="K100" s="199">
        <v>4.4964519999999997</v>
      </c>
      <c r="L100" s="199">
        <v>582.47548452338822</v>
      </c>
      <c r="M100" s="208">
        <v>1.8637053434153276E-3</v>
      </c>
      <c r="N100" s="152">
        <v>1.2172607618607962E-2</v>
      </c>
      <c r="O100" s="137"/>
      <c r="P100" s="115"/>
    </row>
    <row r="101" spans="1:16" x14ac:dyDescent="0.25">
      <c r="A101" s="201" t="s">
        <v>490</v>
      </c>
      <c r="B101" s="209">
        <v>120</v>
      </c>
      <c r="C101" s="209">
        <v>197</v>
      </c>
      <c r="D101" s="209">
        <v>97</v>
      </c>
      <c r="E101" s="209">
        <v>6</v>
      </c>
      <c r="F101" s="209">
        <v>149</v>
      </c>
      <c r="G101" s="209">
        <v>3</v>
      </c>
      <c r="H101" s="202">
        <v>319.35314389728438</v>
      </c>
      <c r="I101" s="202">
        <v>15.737581999999996</v>
      </c>
      <c r="J101" s="202">
        <v>242.8883066261036</v>
      </c>
      <c r="K101" s="202">
        <v>4.4964519999999997</v>
      </c>
      <c r="L101" s="202">
        <v>582.47548452338822</v>
      </c>
      <c r="M101" s="210">
        <v>1.8637053434153276E-3</v>
      </c>
      <c r="N101" s="152">
        <v>1.9467039053963908E-2</v>
      </c>
      <c r="O101" s="137"/>
      <c r="P101" s="115"/>
    </row>
    <row r="102" spans="1:16" x14ac:dyDescent="0.25">
      <c r="A102" s="198" t="s">
        <v>129</v>
      </c>
      <c r="B102" s="207">
        <v>16</v>
      </c>
      <c r="C102" s="207">
        <v>2</v>
      </c>
      <c r="D102" s="207">
        <v>16</v>
      </c>
      <c r="E102" s="207"/>
      <c r="F102" s="207">
        <v>2</v>
      </c>
      <c r="G102" s="207"/>
      <c r="H102" s="199">
        <v>40.013162415051752</v>
      </c>
      <c r="I102" s="199"/>
      <c r="J102" s="199">
        <v>2.0006581207525875</v>
      </c>
      <c r="K102" s="199"/>
      <c r="L102" s="199">
        <v>42.013820535804342</v>
      </c>
      <c r="M102" s="208">
        <v>1.3442863074991293E-4</v>
      </c>
      <c r="N102" s="152">
        <v>1.2080271747173613E-2</v>
      </c>
      <c r="O102" s="137"/>
      <c r="P102" s="115"/>
    </row>
    <row r="103" spans="1:16" x14ac:dyDescent="0.25">
      <c r="A103" s="201" t="s">
        <v>272</v>
      </c>
      <c r="B103" s="209">
        <v>16</v>
      </c>
      <c r="C103" s="209">
        <v>2</v>
      </c>
      <c r="D103" s="209">
        <v>16</v>
      </c>
      <c r="E103" s="209"/>
      <c r="F103" s="209">
        <v>2</v>
      </c>
      <c r="G103" s="209"/>
      <c r="H103" s="202">
        <v>40.013162415051752</v>
      </c>
      <c r="I103" s="202"/>
      <c r="J103" s="202">
        <v>2.0006581207525875</v>
      </c>
      <c r="K103" s="202"/>
      <c r="L103" s="202">
        <v>42.013820535804342</v>
      </c>
      <c r="M103" s="210">
        <v>1.3442863074991293E-4</v>
      </c>
      <c r="N103" s="152">
        <v>3.4508776123403473E-2</v>
      </c>
      <c r="O103" s="137"/>
      <c r="P103" s="115"/>
    </row>
    <row r="104" spans="1:16" x14ac:dyDescent="0.25">
      <c r="A104" s="198" t="s">
        <v>57</v>
      </c>
      <c r="B104" s="207">
        <v>49</v>
      </c>
      <c r="C104" s="207">
        <v>92</v>
      </c>
      <c r="D104" s="207">
        <v>42</v>
      </c>
      <c r="E104" s="207"/>
      <c r="F104" s="207">
        <v>57</v>
      </c>
      <c r="G104" s="207">
        <v>2</v>
      </c>
      <c r="H104" s="199">
        <v>158.54681241225185</v>
      </c>
      <c r="I104" s="199"/>
      <c r="J104" s="199">
        <v>98.491201650035237</v>
      </c>
      <c r="K104" s="199">
        <v>3.7433610000000002</v>
      </c>
      <c r="L104" s="199">
        <v>260.78137506228717</v>
      </c>
      <c r="M104" s="208">
        <v>8.3440360166311186E-4</v>
      </c>
      <c r="N104" s="152">
        <v>2.6849741582708718E-2</v>
      </c>
      <c r="O104" s="137"/>
      <c r="P104" s="115"/>
    </row>
    <row r="105" spans="1:16" x14ac:dyDescent="0.25">
      <c r="A105" s="201" t="s">
        <v>271</v>
      </c>
      <c r="B105" s="209">
        <v>49</v>
      </c>
      <c r="C105" s="209">
        <v>92</v>
      </c>
      <c r="D105" s="209">
        <v>42</v>
      </c>
      <c r="E105" s="209"/>
      <c r="F105" s="209">
        <v>57</v>
      </c>
      <c r="G105" s="209">
        <v>2</v>
      </c>
      <c r="H105" s="202">
        <v>158.54681241225185</v>
      </c>
      <c r="I105" s="202"/>
      <c r="J105" s="202">
        <v>98.491201650035237</v>
      </c>
      <c r="K105" s="202">
        <v>3.7433610000000002</v>
      </c>
      <c r="L105" s="202">
        <v>260.78137506228717</v>
      </c>
      <c r="M105" s="210">
        <v>8.3440360166311186E-4</v>
      </c>
      <c r="N105" s="152">
        <v>1.3238630644076193E-2</v>
      </c>
      <c r="O105" s="137"/>
      <c r="P105" s="115"/>
    </row>
    <row r="106" spans="1:16" ht="24" x14ac:dyDescent="0.25">
      <c r="A106" s="198" t="s">
        <v>58</v>
      </c>
      <c r="B106" s="207">
        <v>721</v>
      </c>
      <c r="C106" s="207">
        <v>1510</v>
      </c>
      <c r="D106" s="207">
        <v>472</v>
      </c>
      <c r="E106" s="207">
        <v>21</v>
      </c>
      <c r="F106" s="207">
        <v>723</v>
      </c>
      <c r="G106" s="207">
        <v>23</v>
      </c>
      <c r="H106" s="199">
        <v>2137.359695561559</v>
      </c>
      <c r="I106" s="199">
        <v>114.05355400000002</v>
      </c>
      <c r="J106" s="199">
        <v>1597.3503825582814</v>
      </c>
      <c r="K106" s="199">
        <v>55.635880000000007</v>
      </c>
      <c r="L106" s="199">
        <v>3904.3995121198286</v>
      </c>
      <c r="M106" s="208">
        <v>1.2492629178239248E-2</v>
      </c>
      <c r="N106" s="152">
        <v>2.8015431441606378E-4</v>
      </c>
      <c r="O106" s="137"/>
      <c r="P106" s="115"/>
    </row>
    <row r="107" spans="1:16" x14ac:dyDescent="0.25">
      <c r="A107" s="201" t="s">
        <v>270</v>
      </c>
      <c r="B107" s="209">
        <v>721</v>
      </c>
      <c r="C107" s="209">
        <v>1510</v>
      </c>
      <c r="D107" s="209">
        <v>472</v>
      </c>
      <c r="E107" s="209">
        <v>21</v>
      </c>
      <c r="F107" s="209">
        <v>723</v>
      </c>
      <c r="G107" s="209">
        <v>23</v>
      </c>
      <c r="H107" s="202">
        <v>2137.359695561559</v>
      </c>
      <c r="I107" s="202">
        <v>114.05355400000002</v>
      </c>
      <c r="J107" s="202">
        <v>1597.3503825582814</v>
      </c>
      <c r="K107" s="202">
        <v>55.635880000000007</v>
      </c>
      <c r="L107" s="202">
        <v>3904.3995121198286</v>
      </c>
      <c r="M107" s="210">
        <v>1.2492629178239248E-2</v>
      </c>
      <c r="N107" s="152">
        <v>1.6152069943629305E-4</v>
      </c>
      <c r="O107" s="137"/>
      <c r="P107" s="115"/>
    </row>
    <row r="108" spans="1:16" x14ac:dyDescent="0.25">
      <c r="A108" s="198" t="s">
        <v>59</v>
      </c>
      <c r="B108" s="207">
        <v>2060</v>
      </c>
      <c r="C108" s="207">
        <v>3077</v>
      </c>
      <c r="D108" s="207">
        <v>1562</v>
      </c>
      <c r="E108" s="207">
        <v>58</v>
      </c>
      <c r="F108" s="207">
        <v>1723</v>
      </c>
      <c r="G108" s="207">
        <v>30</v>
      </c>
      <c r="H108" s="199">
        <v>5817.4094695410731</v>
      </c>
      <c r="I108" s="199">
        <v>263.8297619999999</v>
      </c>
      <c r="J108" s="199">
        <v>3653.2806194725235</v>
      </c>
      <c r="K108" s="199">
        <v>65.317076999999983</v>
      </c>
      <c r="L108" s="199">
        <v>9799.8369280137849</v>
      </c>
      <c r="M108" s="208">
        <v>3.1355840602085946E-2</v>
      </c>
      <c r="N108" s="152">
        <v>7.1697271597736959E-4</v>
      </c>
      <c r="O108" s="137"/>
      <c r="P108" s="115"/>
    </row>
    <row r="109" spans="1:16" x14ac:dyDescent="0.25">
      <c r="A109" s="201" t="s">
        <v>269</v>
      </c>
      <c r="B109" s="209">
        <v>2060</v>
      </c>
      <c r="C109" s="209">
        <v>3077</v>
      </c>
      <c r="D109" s="209">
        <v>1562</v>
      </c>
      <c r="E109" s="209">
        <v>58</v>
      </c>
      <c r="F109" s="209">
        <v>1723</v>
      </c>
      <c r="G109" s="209">
        <v>30</v>
      </c>
      <c r="H109" s="202">
        <v>5817.4094695410731</v>
      </c>
      <c r="I109" s="202">
        <v>263.8297619999999</v>
      </c>
      <c r="J109" s="202">
        <v>3653.2806194725235</v>
      </c>
      <c r="K109" s="202">
        <v>65.317076999999983</v>
      </c>
      <c r="L109" s="202">
        <v>9799.8369280137849</v>
      </c>
      <c r="M109" s="210">
        <v>3.1355840602085946E-2</v>
      </c>
      <c r="N109" s="152">
        <v>1.516807380129079E-3</v>
      </c>
      <c r="O109" s="137"/>
      <c r="P109" s="115"/>
    </row>
    <row r="110" spans="1:16" x14ac:dyDescent="0.25">
      <c r="A110" s="198" t="s">
        <v>470</v>
      </c>
      <c r="B110" s="207">
        <v>412</v>
      </c>
      <c r="C110" s="207">
        <v>577</v>
      </c>
      <c r="D110" s="207">
        <v>279</v>
      </c>
      <c r="E110" s="207">
        <v>25</v>
      </c>
      <c r="F110" s="207">
        <v>242</v>
      </c>
      <c r="G110" s="207">
        <v>15</v>
      </c>
      <c r="H110" s="199">
        <v>1135.2028249004932</v>
      </c>
      <c r="I110" s="199">
        <v>119.47644</v>
      </c>
      <c r="J110" s="199">
        <v>546.08097975071132</v>
      </c>
      <c r="K110" s="199">
        <v>34.515415999999995</v>
      </c>
      <c r="L110" s="199">
        <v>1835.2756606512035</v>
      </c>
      <c r="M110" s="208">
        <v>5.8722008844621226E-3</v>
      </c>
      <c r="N110" s="152">
        <v>1.2716155471619093E-3</v>
      </c>
      <c r="O110" s="137"/>
      <c r="P110" s="115"/>
    </row>
    <row r="111" spans="1:16" x14ac:dyDescent="0.25">
      <c r="A111" s="201" t="s">
        <v>229</v>
      </c>
      <c r="B111" s="209">
        <v>412</v>
      </c>
      <c r="C111" s="209">
        <v>577</v>
      </c>
      <c r="D111" s="209">
        <v>279</v>
      </c>
      <c r="E111" s="209">
        <v>25</v>
      </c>
      <c r="F111" s="209">
        <v>242</v>
      </c>
      <c r="G111" s="209">
        <v>15</v>
      </c>
      <c r="H111" s="202">
        <v>1135.2028249004932</v>
      </c>
      <c r="I111" s="202">
        <v>119.47644</v>
      </c>
      <c r="J111" s="202">
        <v>546.08097975071132</v>
      </c>
      <c r="K111" s="202">
        <v>34.515415999999995</v>
      </c>
      <c r="L111" s="202">
        <v>1835.2756606512035</v>
      </c>
      <c r="M111" s="210">
        <v>5.8722008844621226E-3</v>
      </c>
      <c r="N111" s="152">
        <v>4.5498211656967522E-3</v>
      </c>
      <c r="O111" s="137"/>
      <c r="P111" s="115"/>
    </row>
    <row r="112" spans="1:16" x14ac:dyDescent="0.25">
      <c r="A112" s="198" t="s">
        <v>439</v>
      </c>
      <c r="B112" s="207">
        <v>2503</v>
      </c>
      <c r="C112" s="207">
        <v>3695</v>
      </c>
      <c r="D112" s="207">
        <v>1802</v>
      </c>
      <c r="E112" s="207">
        <v>128</v>
      </c>
      <c r="F112" s="207">
        <v>2047</v>
      </c>
      <c r="G112" s="207">
        <v>42</v>
      </c>
      <c r="H112" s="199">
        <v>7701.6071579815525</v>
      </c>
      <c r="I112" s="199">
        <v>611.48436799999979</v>
      </c>
      <c r="J112" s="199">
        <v>4528.6798064603599</v>
      </c>
      <c r="K112" s="199">
        <v>101.06122399999997</v>
      </c>
      <c r="L112" s="199">
        <v>12942.832556441768</v>
      </c>
      <c r="M112" s="208">
        <v>4.1412259975384134E-2</v>
      </c>
      <c r="N112" s="152">
        <v>3.0092188892013065E-3</v>
      </c>
      <c r="O112" s="137"/>
      <c r="P112" s="115"/>
    </row>
    <row r="113" spans="1:16" x14ac:dyDescent="0.25">
      <c r="A113" s="201" t="s">
        <v>243</v>
      </c>
      <c r="B113" s="209">
        <v>2503</v>
      </c>
      <c r="C113" s="209">
        <v>3695</v>
      </c>
      <c r="D113" s="209">
        <v>1802</v>
      </c>
      <c r="E113" s="209">
        <v>128</v>
      </c>
      <c r="F113" s="209">
        <v>2047</v>
      </c>
      <c r="G113" s="209">
        <v>42</v>
      </c>
      <c r="H113" s="202">
        <v>7701.6071579815525</v>
      </c>
      <c r="I113" s="202">
        <v>611.48436799999979</v>
      </c>
      <c r="J113" s="202">
        <v>4528.6798064603599</v>
      </c>
      <c r="K113" s="202">
        <v>101.06122399999997</v>
      </c>
      <c r="L113" s="202">
        <v>12942.832556441768</v>
      </c>
      <c r="M113" s="210">
        <v>4.1412259975384134E-2</v>
      </c>
      <c r="N113" s="152">
        <v>5.9486015083927493E-3</v>
      </c>
      <c r="O113" s="137"/>
      <c r="P113" s="115"/>
    </row>
    <row r="114" spans="1:16" x14ac:dyDescent="0.25">
      <c r="A114" s="198" t="s">
        <v>60</v>
      </c>
      <c r="B114" s="207">
        <v>649</v>
      </c>
      <c r="C114" s="207">
        <v>1292</v>
      </c>
      <c r="D114" s="207">
        <v>488</v>
      </c>
      <c r="E114" s="207">
        <v>29</v>
      </c>
      <c r="F114" s="207">
        <v>670</v>
      </c>
      <c r="G114" s="207">
        <v>18</v>
      </c>
      <c r="H114" s="199">
        <v>2059.2848866779445</v>
      </c>
      <c r="I114" s="199">
        <v>145.07121599999999</v>
      </c>
      <c r="J114" s="199">
        <v>1470.1595711592536</v>
      </c>
      <c r="K114" s="199">
        <v>45.670568000000003</v>
      </c>
      <c r="L114" s="199">
        <v>3720.1862418372048</v>
      </c>
      <c r="M114" s="208">
        <v>1.1903215090821201E-2</v>
      </c>
      <c r="N114" s="152">
        <v>9.8118318889656407E-3</v>
      </c>
      <c r="O114" s="137"/>
      <c r="P114" s="115"/>
    </row>
    <row r="115" spans="1:16" x14ac:dyDescent="0.25">
      <c r="A115" s="201" t="s">
        <v>268</v>
      </c>
      <c r="B115" s="209">
        <v>649</v>
      </c>
      <c r="C115" s="209">
        <v>1292</v>
      </c>
      <c r="D115" s="209">
        <v>488</v>
      </c>
      <c r="E115" s="209">
        <v>29</v>
      </c>
      <c r="F115" s="209">
        <v>670</v>
      </c>
      <c r="G115" s="209">
        <v>18</v>
      </c>
      <c r="H115" s="202">
        <v>2059.2848866779445</v>
      </c>
      <c r="I115" s="202">
        <v>145.07121599999999</v>
      </c>
      <c r="J115" s="202">
        <v>1470.1595711592536</v>
      </c>
      <c r="K115" s="202">
        <v>45.670568000000003</v>
      </c>
      <c r="L115" s="202">
        <v>3720.1862418372048</v>
      </c>
      <c r="M115" s="210">
        <v>1.1903215090821201E-2</v>
      </c>
      <c r="N115" s="152">
        <v>1.2771529457194218E-2</v>
      </c>
      <c r="O115" s="137"/>
      <c r="P115" s="115"/>
    </row>
    <row r="116" spans="1:16" x14ac:dyDescent="0.25">
      <c r="A116" s="198" t="s">
        <v>474</v>
      </c>
      <c r="B116" s="207">
        <v>971</v>
      </c>
      <c r="C116" s="207">
        <v>1368</v>
      </c>
      <c r="D116" s="207">
        <v>691</v>
      </c>
      <c r="E116" s="207">
        <v>44</v>
      </c>
      <c r="F116" s="207">
        <v>750</v>
      </c>
      <c r="G116" s="207">
        <v>10</v>
      </c>
      <c r="H116" s="199">
        <v>2747.8568794458429</v>
      </c>
      <c r="I116" s="199">
        <v>215.316024</v>
      </c>
      <c r="J116" s="199">
        <v>1450.9833617225879</v>
      </c>
      <c r="K116" s="199">
        <v>23.069574000000003</v>
      </c>
      <c r="L116" s="199">
        <v>4437.2258391684554</v>
      </c>
      <c r="M116" s="208">
        <v>1.4197475646834297E-2</v>
      </c>
      <c r="N116" s="152">
        <v>5.3494397005902528E-2</v>
      </c>
      <c r="O116" s="137"/>
      <c r="P116" s="115"/>
    </row>
    <row r="117" spans="1:16" x14ac:dyDescent="0.25">
      <c r="A117" s="201" t="s">
        <v>473</v>
      </c>
      <c r="B117" s="209">
        <v>971</v>
      </c>
      <c r="C117" s="209">
        <v>1368</v>
      </c>
      <c r="D117" s="209">
        <v>691</v>
      </c>
      <c r="E117" s="209">
        <v>44</v>
      </c>
      <c r="F117" s="209">
        <v>750</v>
      </c>
      <c r="G117" s="209">
        <v>10</v>
      </c>
      <c r="H117" s="202">
        <v>2747.8568794458429</v>
      </c>
      <c r="I117" s="202">
        <v>215.316024</v>
      </c>
      <c r="J117" s="202">
        <v>1450.9833617225879</v>
      </c>
      <c r="K117" s="202">
        <v>23.069574000000003</v>
      </c>
      <c r="L117" s="202">
        <v>4437.2258391684554</v>
      </c>
      <c r="M117" s="210">
        <v>1.4197475646834297E-2</v>
      </c>
      <c r="N117" s="152">
        <v>3.9489969072003199E-4</v>
      </c>
      <c r="O117" s="137"/>
      <c r="P117" s="115"/>
    </row>
    <row r="118" spans="1:16" x14ac:dyDescent="0.25">
      <c r="A118" s="198" t="s">
        <v>61</v>
      </c>
      <c r="B118" s="207">
        <v>57</v>
      </c>
      <c r="C118" s="207">
        <v>51</v>
      </c>
      <c r="D118" s="207">
        <v>53</v>
      </c>
      <c r="E118" s="207"/>
      <c r="F118" s="207">
        <v>34</v>
      </c>
      <c r="G118" s="207"/>
      <c r="H118" s="199">
        <v>130.42528199596399</v>
      </c>
      <c r="I118" s="199"/>
      <c r="J118" s="199">
        <v>54.159650998324032</v>
      </c>
      <c r="K118" s="199"/>
      <c r="L118" s="199">
        <v>184.58493299428804</v>
      </c>
      <c r="M118" s="208">
        <v>5.9060327013917729E-4</v>
      </c>
      <c r="N118" s="152">
        <v>5.7277446929921176E-4</v>
      </c>
      <c r="O118" s="137"/>
      <c r="P118" s="115"/>
    </row>
    <row r="119" spans="1:16" x14ac:dyDescent="0.25">
      <c r="A119" s="201" t="s">
        <v>264</v>
      </c>
      <c r="B119" s="209">
        <v>57</v>
      </c>
      <c r="C119" s="209">
        <v>51</v>
      </c>
      <c r="D119" s="209">
        <v>53</v>
      </c>
      <c r="E119" s="209"/>
      <c r="F119" s="209">
        <v>34</v>
      </c>
      <c r="G119" s="209"/>
      <c r="H119" s="202">
        <v>130.42528199596399</v>
      </c>
      <c r="I119" s="202"/>
      <c r="J119" s="202">
        <v>54.159650998324032</v>
      </c>
      <c r="K119" s="202"/>
      <c r="L119" s="202">
        <v>184.58493299428804</v>
      </c>
      <c r="M119" s="210">
        <v>5.9060327013917729E-4</v>
      </c>
      <c r="N119" s="152">
        <v>1.2819111407856233E-3</v>
      </c>
      <c r="O119" s="137"/>
      <c r="P119" s="115"/>
    </row>
    <row r="120" spans="1:16" ht="24" x14ac:dyDescent="0.25">
      <c r="A120" s="198" t="s">
        <v>498</v>
      </c>
      <c r="B120" s="207">
        <v>13</v>
      </c>
      <c r="C120" s="207">
        <v>32</v>
      </c>
      <c r="D120" s="207">
        <v>6</v>
      </c>
      <c r="E120" s="207">
        <v>2</v>
      </c>
      <c r="F120" s="207">
        <v>11</v>
      </c>
      <c r="G120" s="207">
        <v>10</v>
      </c>
      <c r="H120" s="199">
        <v>26.852658209962478</v>
      </c>
      <c r="I120" s="199">
        <v>9.7297279999999997</v>
      </c>
      <c r="J120" s="199">
        <v>24.411507463602252</v>
      </c>
      <c r="K120" s="199">
        <v>23.108103999999997</v>
      </c>
      <c r="L120" s="199">
        <v>84.101997673564696</v>
      </c>
      <c r="M120" s="208">
        <v>2.6909517502591532E-4</v>
      </c>
      <c r="N120" s="152">
        <v>2.019039274438614E-4</v>
      </c>
      <c r="O120" s="137"/>
      <c r="P120" s="115"/>
    </row>
    <row r="121" spans="1:16" x14ac:dyDescent="0.25">
      <c r="A121" s="201" t="s">
        <v>263</v>
      </c>
      <c r="B121" s="209">
        <v>13</v>
      </c>
      <c r="C121" s="209">
        <v>32</v>
      </c>
      <c r="D121" s="209">
        <v>6</v>
      </c>
      <c r="E121" s="209">
        <v>2</v>
      </c>
      <c r="F121" s="209">
        <v>11</v>
      </c>
      <c r="G121" s="209">
        <v>10</v>
      </c>
      <c r="H121" s="202">
        <v>26.852658209962478</v>
      </c>
      <c r="I121" s="202">
        <v>9.7297279999999997</v>
      </c>
      <c r="J121" s="202">
        <v>24.411507463602252</v>
      </c>
      <c r="K121" s="202">
        <v>23.108103999999997</v>
      </c>
      <c r="L121" s="202">
        <v>84.101997673564696</v>
      </c>
      <c r="M121" s="210">
        <v>2.6909517502591532E-4</v>
      </c>
      <c r="N121" s="152">
        <v>5.8718394953780765E-3</v>
      </c>
      <c r="O121" s="137"/>
      <c r="P121" s="115"/>
    </row>
    <row r="122" spans="1:16" ht="24" x14ac:dyDescent="0.25">
      <c r="A122" s="198" t="s">
        <v>357</v>
      </c>
      <c r="B122" s="207">
        <v>19</v>
      </c>
      <c r="C122" s="207">
        <v>62</v>
      </c>
      <c r="D122" s="207">
        <v>13</v>
      </c>
      <c r="E122" s="207"/>
      <c r="F122" s="207">
        <v>32</v>
      </c>
      <c r="G122" s="207"/>
      <c r="H122" s="199">
        <v>69.677401877751862</v>
      </c>
      <c r="I122" s="199"/>
      <c r="J122" s="199">
        <v>76.935464573350984</v>
      </c>
      <c r="K122" s="199"/>
      <c r="L122" s="199">
        <v>146.6128664511028</v>
      </c>
      <c r="M122" s="208">
        <v>4.6910675192096701E-4</v>
      </c>
      <c r="N122" s="152">
        <v>1.3125098799710003E-3</v>
      </c>
      <c r="O122" s="137"/>
      <c r="P122" s="115"/>
    </row>
    <row r="123" spans="1:16" x14ac:dyDescent="0.25">
      <c r="A123" s="201" t="s">
        <v>262</v>
      </c>
      <c r="B123" s="209">
        <v>19</v>
      </c>
      <c r="C123" s="209">
        <v>62</v>
      </c>
      <c r="D123" s="209">
        <v>13</v>
      </c>
      <c r="E123" s="209"/>
      <c r="F123" s="209">
        <v>32</v>
      </c>
      <c r="G123" s="209"/>
      <c r="H123" s="202">
        <v>69.677401877751862</v>
      </c>
      <c r="I123" s="202"/>
      <c r="J123" s="202">
        <v>76.935464573350984</v>
      </c>
      <c r="K123" s="202"/>
      <c r="L123" s="202">
        <v>146.6128664511028</v>
      </c>
      <c r="M123" s="210">
        <v>4.6910675192096701E-4</v>
      </c>
      <c r="N123" s="152">
        <v>2.8057587711255817E-2</v>
      </c>
      <c r="O123" s="137"/>
      <c r="P123" s="115"/>
    </row>
    <row r="124" spans="1:16" x14ac:dyDescent="0.25">
      <c r="A124" s="198" t="s">
        <v>64</v>
      </c>
      <c r="B124" s="207">
        <v>89</v>
      </c>
      <c r="C124" s="207">
        <v>50</v>
      </c>
      <c r="D124" s="207">
        <v>74</v>
      </c>
      <c r="E124" s="207">
        <v>3</v>
      </c>
      <c r="F124" s="207">
        <v>42</v>
      </c>
      <c r="G124" s="207">
        <v>2</v>
      </c>
      <c r="H124" s="199">
        <v>219.51644078197188</v>
      </c>
      <c r="I124" s="199">
        <v>8.6874959999999994</v>
      </c>
      <c r="J124" s="199">
        <v>57.492401157183153</v>
      </c>
      <c r="K124" s="199">
        <v>3.2578109999999998</v>
      </c>
      <c r="L124" s="199">
        <v>288.954148939155</v>
      </c>
      <c r="M124" s="208">
        <v>9.2454602071464207E-4</v>
      </c>
      <c r="N124" s="152">
        <v>1.7162782046486326E-3</v>
      </c>
      <c r="O124" s="137"/>
      <c r="P124" s="115"/>
    </row>
    <row r="125" spans="1:16" x14ac:dyDescent="0.25">
      <c r="A125" s="201" t="s">
        <v>261</v>
      </c>
      <c r="B125" s="209">
        <v>89</v>
      </c>
      <c r="C125" s="209">
        <v>50</v>
      </c>
      <c r="D125" s="209">
        <v>74</v>
      </c>
      <c r="E125" s="209">
        <v>3</v>
      </c>
      <c r="F125" s="209">
        <v>42</v>
      </c>
      <c r="G125" s="209">
        <v>2</v>
      </c>
      <c r="H125" s="202">
        <v>219.51644078197188</v>
      </c>
      <c r="I125" s="202">
        <v>8.6874959999999994</v>
      </c>
      <c r="J125" s="202">
        <v>57.492401157183153</v>
      </c>
      <c r="K125" s="202">
        <v>3.2578109999999998</v>
      </c>
      <c r="L125" s="202">
        <v>288.954148939155</v>
      </c>
      <c r="M125" s="210">
        <v>9.2454602071464207E-4</v>
      </c>
      <c r="N125" s="152">
        <v>6.5465069772815195E-4</v>
      </c>
      <c r="O125" s="137"/>
      <c r="P125" s="115"/>
    </row>
    <row r="126" spans="1:16" x14ac:dyDescent="0.25">
      <c r="A126" s="198" t="s">
        <v>144</v>
      </c>
      <c r="B126" s="207">
        <v>12</v>
      </c>
      <c r="C126" s="207">
        <v>12</v>
      </c>
      <c r="D126" s="207">
        <v>5</v>
      </c>
      <c r="E126" s="207"/>
      <c r="F126" s="207">
        <v>7</v>
      </c>
      <c r="G126" s="207"/>
      <c r="H126" s="199">
        <v>29.068976621709957</v>
      </c>
      <c r="I126" s="199"/>
      <c r="J126" s="199">
        <v>20.994260893457191</v>
      </c>
      <c r="K126" s="199"/>
      <c r="L126" s="199">
        <v>50.063237515167152</v>
      </c>
      <c r="M126" s="208">
        <v>1.6018377724863939E-4</v>
      </c>
      <c r="N126" s="152">
        <v>4.1872737008587029E-4</v>
      </c>
      <c r="O126" s="137"/>
      <c r="P126" s="115"/>
    </row>
    <row r="127" spans="1:16" x14ac:dyDescent="0.25">
      <c r="A127" s="201" t="s">
        <v>259</v>
      </c>
      <c r="B127" s="209">
        <v>12</v>
      </c>
      <c r="C127" s="209">
        <v>12</v>
      </c>
      <c r="D127" s="209">
        <v>5</v>
      </c>
      <c r="E127" s="209"/>
      <c r="F127" s="209">
        <v>7</v>
      </c>
      <c r="G127" s="209"/>
      <c r="H127" s="202">
        <v>29.068976621709957</v>
      </c>
      <c r="I127" s="202"/>
      <c r="J127" s="202">
        <v>20.994260893457191</v>
      </c>
      <c r="K127" s="202"/>
      <c r="L127" s="202">
        <v>50.063237515167152</v>
      </c>
      <c r="M127" s="210">
        <v>1.6018377724863939E-4</v>
      </c>
      <c r="N127" s="152">
        <v>8.1048151229816609E-3</v>
      </c>
      <c r="O127" s="137"/>
      <c r="P127" s="115"/>
    </row>
    <row r="128" spans="1:16" x14ac:dyDescent="0.25">
      <c r="A128" s="198" t="s">
        <v>65</v>
      </c>
      <c r="B128" s="207">
        <v>26</v>
      </c>
      <c r="C128" s="207">
        <v>35</v>
      </c>
      <c r="D128" s="207">
        <v>19</v>
      </c>
      <c r="E128" s="207"/>
      <c r="F128" s="207">
        <v>24</v>
      </c>
      <c r="G128" s="207"/>
      <c r="H128" s="199">
        <v>68.060796744138912</v>
      </c>
      <c r="I128" s="199"/>
      <c r="J128" s="199">
        <v>41.07117044904934</v>
      </c>
      <c r="K128" s="199"/>
      <c r="L128" s="199">
        <v>109.1319671931882</v>
      </c>
      <c r="M128" s="208">
        <v>3.4918178670093774E-4</v>
      </c>
      <c r="N128" s="152">
        <v>1.4245983807798169E-2</v>
      </c>
      <c r="O128" s="137"/>
      <c r="P128" s="115"/>
    </row>
    <row r="129" spans="1:16" x14ac:dyDescent="0.25">
      <c r="A129" s="201" t="s">
        <v>298</v>
      </c>
      <c r="B129" s="209">
        <v>26</v>
      </c>
      <c r="C129" s="209">
        <v>35</v>
      </c>
      <c r="D129" s="209">
        <v>19</v>
      </c>
      <c r="E129" s="209"/>
      <c r="F129" s="209">
        <v>24</v>
      </c>
      <c r="G129" s="209"/>
      <c r="H129" s="202">
        <v>68.060796744138912</v>
      </c>
      <c r="I129" s="202"/>
      <c r="J129" s="202">
        <v>41.07117044904934</v>
      </c>
      <c r="K129" s="202"/>
      <c r="L129" s="202">
        <v>109.1319671931882</v>
      </c>
      <c r="M129" s="210">
        <v>3.4918178670093774E-4</v>
      </c>
      <c r="N129" s="152">
        <v>5.6465175595312098E-3</v>
      </c>
      <c r="O129" s="137"/>
      <c r="P129" s="115"/>
    </row>
    <row r="130" spans="1:16" x14ac:dyDescent="0.25">
      <c r="A130" s="198" t="s">
        <v>66</v>
      </c>
      <c r="B130" s="207">
        <v>19</v>
      </c>
      <c r="C130" s="207">
        <v>16</v>
      </c>
      <c r="D130" s="207">
        <v>16</v>
      </c>
      <c r="E130" s="207"/>
      <c r="F130" s="207">
        <v>10</v>
      </c>
      <c r="G130" s="207"/>
      <c r="H130" s="199">
        <v>53.830528712582854</v>
      </c>
      <c r="I130" s="199"/>
      <c r="J130" s="199">
        <v>16.822040222682137</v>
      </c>
      <c r="K130" s="199"/>
      <c r="L130" s="199">
        <v>70.652568935264995</v>
      </c>
      <c r="M130" s="208">
        <v>2.2606199531026954E-4</v>
      </c>
      <c r="N130" s="152">
        <v>2.01213475242556E-4</v>
      </c>
      <c r="O130" s="137"/>
      <c r="P130" s="115"/>
    </row>
    <row r="131" spans="1:16" x14ac:dyDescent="0.25">
      <c r="A131" s="201" t="s">
        <v>258</v>
      </c>
      <c r="B131" s="209">
        <v>19</v>
      </c>
      <c r="C131" s="209">
        <v>16</v>
      </c>
      <c r="D131" s="209">
        <v>16</v>
      </c>
      <c r="E131" s="209"/>
      <c r="F131" s="209">
        <v>10</v>
      </c>
      <c r="G131" s="209"/>
      <c r="H131" s="202">
        <v>53.830528712582854</v>
      </c>
      <c r="I131" s="202"/>
      <c r="J131" s="202">
        <v>16.822040222682137</v>
      </c>
      <c r="K131" s="202"/>
      <c r="L131" s="202">
        <v>70.652568935264995</v>
      </c>
      <c r="M131" s="210">
        <v>2.2606199531026954E-4</v>
      </c>
      <c r="N131" s="152">
        <v>1.9717892033463157E-2</v>
      </c>
      <c r="O131" s="137"/>
      <c r="P131" s="115"/>
    </row>
    <row r="132" spans="1:16" x14ac:dyDescent="0.25">
      <c r="A132" s="198" t="s">
        <v>67</v>
      </c>
      <c r="B132" s="207">
        <v>9</v>
      </c>
      <c r="C132" s="207">
        <v>17</v>
      </c>
      <c r="D132" s="207">
        <v>7</v>
      </c>
      <c r="E132" s="207">
        <v>1</v>
      </c>
      <c r="F132" s="207">
        <v>9</v>
      </c>
      <c r="G132" s="207">
        <v>3</v>
      </c>
      <c r="H132" s="199">
        <v>24.235385821732276</v>
      </c>
      <c r="I132" s="199">
        <v>4.7272720000000001</v>
      </c>
      <c r="J132" s="199">
        <v>15.753000784125978</v>
      </c>
      <c r="K132" s="199">
        <v>5.9090900000000008</v>
      </c>
      <c r="L132" s="199">
        <v>50.624748605858265</v>
      </c>
      <c r="M132" s="208">
        <v>1.6198040431349224E-4</v>
      </c>
      <c r="N132" s="152">
        <v>1.3730698598409157E-3</v>
      </c>
      <c r="O132" s="137"/>
      <c r="P132" s="115"/>
    </row>
    <row r="133" spans="1:16" x14ac:dyDescent="0.25">
      <c r="A133" s="201" t="s">
        <v>257</v>
      </c>
      <c r="B133" s="209">
        <v>9</v>
      </c>
      <c r="C133" s="209">
        <v>17</v>
      </c>
      <c r="D133" s="209">
        <v>7</v>
      </c>
      <c r="E133" s="209">
        <v>1</v>
      </c>
      <c r="F133" s="209">
        <v>9</v>
      </c>
      <c r="G133" s="209">
        <v>3</v>
      </c>
      <c r="H133" s="202">
        <v>24.235385821732276</v>
      </c>
      <c r="I133" s="202">
        <v>4.7272720000000001</v>
      </c>
      <c r="J133" s="202">
        <v>15.753000784125978</v>
      </c>
      <c r="K133" s="202">
        <v>5.9090900000000008</v>
      </c>
      <c r="L133" s="202">
        <v>50.624748605858265</v>
      </c>
      <c r="M133" s="210">
        <v>1.6198040431349224E-4</v>
      </c>
      <c r="N133" s="152">
        <v>8.3821892421930416E-3</v>
      </c>
      <c r="O133" s="137"/>
      <c r="P133" s="115"/>
    </row>
    <row r="134" spans="1:16" x14ac:dyDescent="0.25">
      <c r="A134" s="198" t="s">
        <v>469</v>
      </c>
      <c r="B134" s="207">
        <v>173</v>
      </c>
      <c r="C134" s="207">
        <v>425</v>
      </c>
      <c r="D134" s="207">
        <v>65</v>
      </c>
      <c r="E134" s="207">
        <v>2</v>
      </c>
      <c r="F134" s="207">
        <v>98</v>
      </c>
      <c r="G134" s="207">
        <v>2</v>
      </c>
      <c r="H134" s="199">
        <v>429.73886351500522</v>
      </c>
      <c r="I134" s="199">
        <v>10.31034</v>
      </c>
      <c r="J134" s="199">
        <v>321.44466990922399</v>
      </c>
      <c r="K134" s="199">
        <v>6.8735600000000003</v>
      </c>
      <c r="L134" s="199">
        <v>768.36743342422949</v>
      </c>
      <c r="M134" s="208">
        <v>2.458490579308764E-3</v>
      </c>
      <c r="N134" s="152">
        <v>8.4398480611690956E-3</v>
      </c>
      <c r="O134" s="137"/>
      <c r="P134" s="115"/>
    </row>
    <row r="135" spans="1:16" x14ac:dyDescent="0.25">
      <c r="A135" s="201" t="s">
        <v>295</v>
      </c>
      <c r="B135" s="209">
        <v>173</v>
      </c>
      <c r="C135" s="209">
        <v>425</v>
      </c>
      <c r="D135" s="209">
        <v>65</v>
      </c>
      <c r="E135" s="209">
        <v>2</v>
      </c>
      <c r="F135" s="209">
        <v>98</v>
      </c>
      <c r="G135" s="209">
        <v>2</v>
      </c>
      <c r="H135" s="202">
        <v>429.73886351500522</v>
      </c>
      <c r="I135" s="202">
        <v>10.31034</v>
      </c>
      <c r="J135" s="202">
        <v>321.44466990922399</v>
      </c>
      <c r="K135" s="202">
        <v>6.8735600000000003</v>
      </c>
      <c r="L135" s="202">
        <v>768.36743342422949</v>
      </c>
      <c r="M135" s="210">
        <v>2.458490579308764E-3</v>
      </c>
      <c r="N135" s="153">
        <v>1</v>
      </c>
      <c r="O135" s="137"/>
      <c r="P135" s="115"/>
    </row>
    <row r="136" spans="1:16" x14ac:dyDescent="0.25">
      <c r="A136" s="198" t="s">
        <v>68</v>
      </c>
      <c r="B136" s="207">
        <v>356</v>
      </c>
      <c r="C136" s="207">
        <v>792</v>
      </c>
      <c r="D136" s="207">
        <v>270</v>
      </c>
      <c r="E136" s="207">
        <v>7</v>
      </c>
      <c r="F136" s="207">
        <v>470</v>
      </c>
      <c r="G136" s="207">
        <v>11</v>
      </c>
      <c r="H136" s="199">
        <v>1022.9154663315566</v>
      </c>
      <c r="I136" s="199">
        <v>31.380408000000003</v>
      </c>
      <c r="J136" s="199">
        <v>898.92571283682366</v>
      </c>
      <c r="K136" s="199">
        <v>23.535305999999999</v>
      </c>
      <c r="L136" s="199">
        <v>1976.7568931683772</v>
      </c>
      <c r="M136" s="208">
        <v>6.3248883125879589E-3</v>
      </c>
    </row>
    <row r="137" spans="1:16" x14ac:dyDescent="0.25">
      <c r="A137" s="201" t="s">
        <v>256</v>
      </c>
      <c r="B137" s="209">
        <v>356</v>
      </c>
      <c r="C137" s="209">
        <v>792</v>
      </c>
      <c r="D137" s="209">
        <v>270</v>
      </c>
      <c r="E137" s="209">
        <v>7</v>
      </c>
      <c r="F137" s="209">
        <v>470</v>
      </c>
      <c r="G137" s="209">
        <v>11</v>
      </c>
      <c r="H137" s="202">
        <v>1022.9154663315566</v>
      </c>
      <c r="I137" s="202">
        <v>31.380408000000003</v>
      </c>
      <c r="J137" s="202">
        <v>898.92571283682366</v>
      </c>
      <c r="K137" s="202">
        <v>23.535305999999999</v>
      </c>
      <c r="L137" s="202">
        <v>1976.7568931683772</v>
      </c>
      <c r="M137" s="210">
        <v>6.3248883125879589E-3</v>
      </c>
    </row>
    <row r="138" spans="1:16" x14ac:dyDescent="0.25">
      <c r="A138" s="198" t="s">
        <v>69</v>
      </c>
      <c r="B138" s="207">
        <v>819</v>
      </c>
      <c r="C138" s="207">
        <v>994</v>
      </c>
      <c r="D138" s="207">
        <v>688</v>
      </c>
      <c r="E138" s="207">
        <v>26</v>
      </c>
      <c r="F138" s="207">
        <v>607</v>
      </c>
      <c r="G138" s="207">
        <v>8</v>
      </c>
      <c r="H138" s="199">
        <v>2175.5230494330872</v>
      </c>
      <c r="I138" s="199">
        <v>118.678196</v>
      </c>
      <c r="J138" s="199">
        <v>1167.5057831150059</v>
      </c>
      <c r="K138" s="199">
        <v>18.938010000000002</v>
      </c>
      <c r="L138" s="199">
        <v>3480.6450385481157</v>
      </c>
      <c r="M138" s="208">
        <v>1.1136772154766461E-2</v>
      </c>
    </row>
    <row r="139" spans="1:16" x14ac:dyDescent="0.25">
      <c r="A139" s="201" t="s">
        <v>254</v>
      </c>
      <c r="B139" s="209">
        <v>819</v>
      </c>
      <c r="C139" s="209">
        <v>994</v>
      </c>
      <c r="D139" s="209">
        <v>688</v>
      </c>
      <c r="E139" s="209">
        <v>26</v>
      </c>
      <c r="F139" s="209">
        <v>607</v>
      </c>
      <c r="G139" s="209">
        <v>8</v>
      </c>
      <c r="H139" s="202">
        <v>2175.5230494330872</v>
      </c>
      <c r="I139" s="202">
        <v>118.678196</v>
      </c>
      <c r="J139" s="202">
        <v>1167.5057831150059</v>
      </c>
      <c r="K139" s="202">
        <v>18.938010000000002</v>
      </c>
      <c r="L139" s="202">
        <v>3480.6450385481157</v>
      </c>
      <c r="M139" s="210">
        <v>1.1136772154766461E-2</v>
      </c>
    </row>
    <row r="140" spans="1:16" ht="24" x14ac:dyDescent="0.25">
      <c r="A140" s="198" t="s">
        <v>70</v>
      </c>
      <c r="B140" s="207">
        <v>1032</v>
      </c>
      <c r="C140" s="207">
        <v>1452</v>
      </c>
      <c r="D140" s="207">
        <v>786</v>
      </c>
      <c r="E140" s="207">
        <v>25</v>
      </c>
      <c r="F140" s="207">
        <v>825</v>
      </c>
      <c r="G140" s="207">
        <v>7</v>
      </c>
      <c r="H140" s="199">
        <v>3115.941363552181</v>
      </c>
      <c r="I140" s="199">
        <v>112.61817600000002</v>
      </c>
      <c r="J140" s="199">
        <v>1720.552667466776</v>
      </c>
      <c r="K140" s="199">
        <v>17.916528</v>
      </c>
      <c r="L140" s="199">
        <v>4967.028735018921</v>
      </c>
      <c r="M140" s="208">
        <v>1.5892648257852197E-2</v>
      </c>
    </row>
    <row r="141" spans="1:16" x14ac:dyDescent="0.25">
      <c r="A141" s="201" t="s">
        <v>253</v>
      </c>
      <c r="B141" s="209">
        <v>1032</v>
      </c>
      <c r="C141" s="209">
        <v>1452</v>
      </c>
      <c r="D141" s="209">
        <v>786</v>
      </c>
      <c r="E141" s="209">
        <v>25</v>
      </c>
      <c r="F141" s="209">
        <v>825</v>
      </c>
      <c r="G141" s="209">
        <v>7</v>
      </c>
      <c r="H141" s="202">
        <v>3115.941363552181</v>
      </c>
      <c r="I141" s="202">
        <v>112.61817600000002</v>
      </c>
      <c r="J141" s="202">
        <v>1720.552667466776</v>
      </c>
      <c r="K141" s="202">
        <v>17.916528</v>
      </c>
      <c r="L141" s="202">
        <v>4967.028735018921</v>
      </c>
      <c r="M141" s="210">
        <v>1.5892648257852197E-2</v>
      </c>
    </row>
    <row r="142" spans="1:16" x14ac:dyDescent="0.25">
      <c r="A142" s="198" t="s">
        <v>71</v>
      </c>
      <c r="B142" s="207">
        <v>1709</v>
      </c>
      <c r="C142" s="207">
        <v>2395</v>
      </c>
      <c r="D142" s="207">
        <v>1273</v>
      </c>
      <c r="E142" s="207">
        <v>74</v>
      </c>
      <c r="F142" s="207">
        <v>1391</v>
      </c>
      <c r="G142" s="207">
        <v>42</v>
      </c>
      <c r="H142" s="199">
        <v>4829.5136188392526</v>
      </c>
      <c r="I142" s="199">
        <v>341.79198400000007</v>
      </c>
      <c r="J142" s="199">
        <v>2694.1910331415042</v>
      </c>
      <c r="K142" s="199">
        <v>91.06136800000003</v>
      </c>
      <c r="L142" s="199">
        <v>7956.5580039808046</v>
      </c>
      <c r="M142" s="208">
        <v>2.5458032245505781E-2</v>
      </c>
    </row>
    <row r="143" spans="1:16" x14ac:dyDescent="0.25">
      <c r="A143" s="201" t="s">
        <v>252</v>
      </c>
      <c r="B143" s="209">
        <v>1709</v>
      </c>
      <c r="C143" s="209">
        <v>2395</v>
      </c>
      <c r="D143" s="209">
        <v>1273</v>
      </c>
      <c r="E143" s="209">
        <v>74</v>
      </c>
      <c r="F143" s="209">
        <v>1391</v>
      </c>
      <c r="G143" s="209">
        <v>42</v>
      </c>
      <c r="H143" s="202">
        <v>4829.5136188392526</v>
      </c>
      <c r="I143" s="202">
        <v>341.79198400000007</v>
      </c>
      <c r="J143" s="202">
        <v>2694.1910331415042</v>
      </c>
      <c r="K143" s="202">
        <v>91.06136800000003</v>
      </c>
      <c r="L143" s="202">
        <v>7956.5580039808046</v>
      </c>
      <c r="M143" s="210">
        <v>2.5458032245505781E-2</v>
      </c>
    </row>
    <row r="144" spans="1:16" ht="24" x14ac:dyDescent="0.25">
      <c r="A144" s="198" t="s">
        <v>499</v>
      </c>
      <c r="B144" s="207">
        <v>62</v>
      </c>
      <c r="C144" s="207">
        <v>136</v>
      </c>
      <c r="D144" s="207">
        <v>34</v>
      </c>
      <c r="E144" s="207">
        <v>3</v>
      </c>
      <c r="F144" s="207">
        <v>40</v>
      </c>
      <c r="G144" s="207">
        <v>1</v>
      </c>
      <c r="H144" s="199">
        <v>137.12194655655159</v>
      </c>
      <c r="I144" s="199">
        <v>15.23076</v>
      </c>
      <c r="J144" s="199">
        <v>100.55609414147116</v>
      </c>
      <c r="K144" s="199">
        <v>3.0461520000000002</v>
      </c>
      <c r="L144" s="199">
        <v>255.95495269802251</v>
      </c>
      <c r="M144" s="208">
        <v>8.1896084160048112E-4</v>
      </c>
    </row>
    <row r="145" spans="1:13" x14ac:dyDescent="0.25">
      <c r="A145" s="201" t="s">
        <v>250</v>
      </c>
      <c r="B145" s="209">
        <v>62</v>
      </c>
      <c r="C145" s="209">
        <v>136</v>
      </c>
      <c r="D145" s="209">
        <v>34</v>
      </c>
      <c r="E145" s="209">
        <v>3</v>
      </c>
      <c r="F145" s="209">
        <v>40</v>
      </c>
      <c r="G145" s="209">
        <v>1</v>
      </c>
      <c r="H145" s="202">
        <v>137.12194655655159</v>
      </c>
      <c r="I145" s="202">
        <v>15.23076</v>
      </c>
      <c r="J145" s="202">
        <v>100.55609414147116</v>
      </c>
      <c r="K145" s="202">
        <v>3.0461520000000002</v>
      </c>
      <c r="L145" s="202">
        <v>255.95495269802251</v>
      </c>
      <c r="M145" s="210">
        <v>8.1896084160048112E-4</v>
      </c>
    </row>
    <row r="146" spans="1:13" x14ac:dyDescent="0.25">
      <c r="A146" s="198" t="s">
        <v>73</v>
      </c>
      <c r="B146" s="207">
        <v>86</v>
      </c>
      <c r="C146" s="207">
        <v>6</v>
      </c>
      <c r="D146" s="207">
        <v>80</v>
      </c>
      <c r="E146" s="207">
        <v>1</v>
      </c>
      <c r="F146" s="207">
        <v>6</v>
      </c>
      <c r="G146" s="207"/>
      <c r="H146" s="199">
        <v>163.83411158016466</v>
      </c>
      <c r="I146" s="199">
        <v>2.0219779999999998</v>
      </c>
      <c r="J146" s="199">
        <v>6.0679300585246132</v>
      </c>
      <c r="K146" s="199"/>
      <c r="L146" s="199">
        <v>171.92401963868926</v>
      </c>
      <c r="M146" s="208">
        <v>5.5009304696187816E-4</v>
      </c>
    </row>
    <row r="147" spans="1:13" x14ac:dyDescent="0.25">
      <c r="A147" s="201" t="s">
        <v>246</v>
      </c>
      <c r="B147" s="209">
        <v>86</v>
      </c>
      <c r="C147" s="209">
        <v>6</v>
      </c>
      <c r="D147" s="209">
        <v>80</v>
      </c>
      <c r="E147" s="209">
        <v>1</v>
      </c>
      <c r="F147" s="209">
        <v>6</v>
      </c>
      <c r="G147" s="209"/>
      <c r="H147" s="202">
        <v>163.83411158016466</v>
      </c>
      <c r="I147" s="202">
        <v>2.0219779999999998</v>
      </c>
      <c r="J147" s="202">
        <v>6.0679300585246132</v>
      </c>
      <c r="K147" s="202"/>
      <c r="L147" s="202">
        <v>171.92401963868926</v>
      </c>
      <c r="M147" s="210">
        <v>5.5009304696187816E-4</v>
      </c>
    </row>
    <row r="148" spans="1:13" x14ac:dyDescent="0.25">
      <c r="A148" s="198" t="s">
        <v>74</v>
      </c>
      <c r="B148" s="207">
        <v>109</v>
      </c>
      <c r="C148" s="207">
        <v>103</v>
      </c>
      <c r="D148" s="207">
        <v>81</v>
      </c>
      <c r="E148" s="207"/>
      <c r="F148" s="207">
        <v>58</v>
      </c>
      <c r="G148" s="207"/>
      <c r="H148" s="199">
        <v>269.63796809868956</v>
      </c>
      <c r="I148" s="199"/>
      <c r="J148" s="199">
        <v>109.68324126048385</v>
      </c>
      <c r="K148" s="199"/>
      <c r="L148" s="199">
        <v>379.32120935917391</v>
      </c>
      <c r="M148" s="208">
        <v>1.2136870710222495E-3</v>
      </c>
    </row>
    <row r="149" spans="1:13" x14ac:dyDescent="0.25">
      <c r="A149" s="201" t="s">
        <v>248</v>
      </c>
      <c r="B149" s="209">
        <v>109</v>
      </c>
      <c r="C149" s="209">
        <v>103</v>
      </c>
      <c r="D149" s="209">
        <v>81</v>
      </c>
      <c r="E149" s="209"/>
      <c r="F149" s="209">
        <v>58</v>
      </c>
      <c r="G149" s="209"/>
      <c r="H149" s="202">
        <v>269.63796809868956</v>
      </c>
      <c r="I149" s="202"/>
      <c r="J149" s="202">
        <v>109.68324126048385</v>
      </c>
      <c r="K149" s="202"/>
      <c r="L149" s="202">
        <v>379.32120935917391</v>
      </c>
      <c r="M149" s="210">
        <v>1.2136870710222495E-3</v>
      </c>
    </row>
    <row r="150" spans="1:13" x14ac:dyDescent="0.25">
      <c r="A150" s="198" t="s">
        <v>442</v>
      </c>
      <c r="B150" s="207">
        <v>345</v>
      </c>
      <c r="C150" s="207">
        <v>503</v>
      </c>
      <c r="D150" s="207">
        <v>272</v>
      </c>
      <c r="E150" s="207">
        <v>14</v>
      </c>
      <c r="F150" s="207">
        <v>289</v>
      </c>
      <c r="G150" s="207">
        <v>4</v>
      </c>
      <c r="H150" s="199">
        <v>1093.7616832367044</v>
      </c>
      <c r="I150" s="199">
        <v>62.71382400000001</v>
      </c>
      <c r="J150" s="199">
        <v>692.80665222474556</v>
      </c>
      <c r="K150" s="199">
        <v>9.5434079999999994</v>
      </c>
      <c r="L150" s="199">
        <v>1858.8255674614497</v>
      </c>
      <c r="M150" s="208">
        <v>5.9475518448464937E-3</v>
      </c>
    </row>
    <row r="151" spans="1:13" x14ac:dyDescent="0.25">
      <c r="A151" s="201" t="s">
        <v>279</v>
      </c>
      <c r="B151" s="209">
        <v>345</v>
      </c>
      <c r="C151" s="209">
        <v>503</v>
      </c>
      <c r="D151" s="209">
        <v>272</v>
      </c>
      <c r="E151" s="209">
        <v>14</v>
      </c>
      <c r="F151" s="209">
        <v>289</v>
      </c>
      <c r="G151" s="209">
        <v>4</v>
      </c>
      <c r="H151" s="202">
        <v>1093.7616832367044</v>
      </c>
      <c r="I151" s="202">
        <v>62.71382400000001</v>
      </c>
      <c r="J151" s="202">
        <v>692.80665222474556</v>
      </c>
      <c r="K151" s="202">
        <v>9.5434079999999994</v>
      </c>
      <c r="L151" s="202">
        <v>1858.8255674614497</v>
      </c>
      <c r="M151" s="210">
        <v>5.9475518448464937E-3</v>
      </c>
    </row>
    <row r="152" spans="1:13" x14ac:dyDescent="0.25">
      <c r="A152" s="198" t="s">
        <v>145</v>
      </c>
      <c r="B152" s="207"/>
      <c r="C152" s="207">
        <v>5</v>
      </c>
      <c r="D152" s="207"/>
      <c r="E152" s="207"/>
      <c r="F152" s="207">
        <v>4</v>
      </c>
      <c r="G152" s="207"/>
      <c r="H152" s="199"/>
      <c r="I152" s="199"/>
      <c r="J152" s="199">
        <v>3.9476292518886522</v>
      </c>
      <c r="K152" s="199"/>
      <c r="L152" s="199">
        <v>3.9476292518886522</v>
      </c>
      <c r="M152" s="208">
        <v>1.263094829920197E-5</v>
      </c>
    </row>
    <row r="153" spans="1:13" x14ac:dyDescent="0.25">
      <c r="A153" s="201" t="s">
        <v>247</v>
      </c>
      <c r="B153" s="209"/>
      <c r="C153" s="209">
        <v>5</v>
      </c>
      <c r="D153" s="209"/>
      <c r="E153" s="209"/>
      <c r="F153" s="209">
        <v>4</v>
      </c>
      <c r="G153" s="209"/>
      <c r="H153" s="202"/>
      <c r="I153" s="202"/>
      <c r="J153" s="202">
        <v>3.9476292518886522</v>
      </c>
      <c r="K153" s="202"/>
      <c r="L153" s="202">
        <v>3.9476292518886522</v>
      </c>
      <c r="M153" s="210">
        <v>1.263094829920197E-5</v>
      </c>
    </row>
    <row r="154" spans="1:13" x14ac:dyDescent="0.25">
      <c r="A154" s="198" t="s">
        <v>75</v>
      </c>
      <c r="B154" s="207">
        <v>397</v>
      </c>
      <c r="C154" s="207">
        <v>801</v>
      </c>
      <c r="D154" s="207">
        <v>329</v>
      </c>
      <c r="E154" s="207">
        <v>27</v>
      </c>
      <c r="F154" s="207">
        <v>498</v>
      </c>
      <c r="G154" s="207">
        <v>14</v>
      </c>
      <c r="H154" s="199">
        <v>1303.4259660568728</v>
      </c>
      <c r="I154" s="199">
        <v>132.389982</v>
      </c>
      <c r="J154" s="199">
        <v>1017.3080710687788</v>
      </c>
      <c r="K154" s="199">
        <v>33.746465999999998</v>
      </c>
      <c r="L154" s="199">
        <v>2486.8704851256512</v>
      </c>
      <c r="M154" s="208">
        <v>7.9570624595522235E-3</v>
      </c>
    </row>
    <row r="155" spans="1:13" x14ac:dyDescent="0.25">
      <c r="A155" s="201" t="s">
        <v>245</v>
      </c>
      <c r="B155" s="209">
        <v>397</v>
      </c>
      <c r="C155" s="209">
        <v>801</v>
      </c>
      <c r="D155" s="209">
        <v>329</v>
      </c>
      <c r="E155" s="209">
        <v>27</v>
      </c>
      <c r="F155" s="209">
        <v>498</v>
      </c>
      <c r="G155" s="209">
        <v>14</v>
      </c>
      <c r="H155" s="202">
        <v>1303.4259660568728</v>
      </c>
      <c r="I155" s="202">
        <v>132.389982</v>
      </c>
      <c r="J155" s="202">
        <v>1017.3080710687788</v>
      </c>
      <c r="K155" s="202">
        <v>33.746465999999998</v>
      </c>
      <c r="L155" s="202">
        <v>2486.8704851256512</v>
      </c>
      <c r="M155" s="210">
        <v>7.9570624595522235E-3</v>
      </c>
    </row>
    <row r="156" spans="1:13" x14ac:dyDescent="0.25">
      <c r="A156" s="198" t="s">
        <v>76</v>
      </c>
      <c r="B156" s="207">
        <v>15</v>
      </c>
      <c r="C156" s="207">
        <v>37</v>
      </c>
      <c r="D156" s="207">
        <v>4</v>
      </c>
      <c r="E156" s="207">
        <v>6</v>
      </c>
      <c r="F156" s="207">
        <v>16</v>
      </c>
      <c r="G156" s="207">
        <v>12</v>
      </c>
      <c r="H156" s="199">
        <v>16.211049297656121</v>
      </c>
      <c r="I156" s="199">
        <v>21.333327999999998</v>
      </c>
      <c r="J156" s="199">
        <v>36.474860919726282</v>
      </c>
      <c r="K156" s="199">
        <v>27.999992999999996</v>
      </c>
      <c r="L156" s="199">
        <v>102.01923121738241</v>
      </c>
      <c r="M156" s="208">
        <v>3.2642367173021328E-4</v>
      </c>
    </row>
    <row r="157" spans="1:13" x14ac:dyDescent="0.25">
      <c r="A157" s="201" t="s">
        <v>244</v>
      </c>
      <c r="B157" s="209">
        <v>15</v>
      </c>
      <c r="C157" s="209">
        <v>37</v>
      </c>
      <c r="D157" s="209">
        <v>4</v>
      </c>
      <c r="E157" s="209">
        <v>6</v>
      </c>
      <c r="F157" s="209">
        <v>16</v>
      </c>
      <c r="G157" s="209">
        <v>12</v>
      </c>
      <c r="H157" s="202">
        <v>16.211049297656121</v>
      </c>
      <c r="I157" s="202">
        <v>21.333327999999998</v>
      </c>
      <c r="J157" s="202">
        <v>36.474860919726282</v>
      </c>
      <c r="K157" s="202">
        <v>27.999992999999996</v>
      </c>
      <c r="L157" s="202">
        <v>102.01923121738241</v>
      </c>
      <c r="M157" s="210">
        <v>3.2642367173021328E-4</v>
      </c>
    </row>
    <row r="158" spans="1:13" x14ac:dyDescent="0.25">
      <c r="A158" s="198" t="s">
        <v>77</v>
      </c>
      <c r="B158" s="207">
        <v>12</v>
      </c>
      <c r="C158" s="207">
        <v>42</v>
      </c>
      <c r="D158" s="207">
        <v>6</v>
      </c>
      <c r="E158" s="207"/>
      <c r="F158" s="207">
        <v>9</v>
      </c>
      <c r="G158" s="207"/>
      <c r="H158" s="199">
        <v>64.821323112383837</v>
      </c>
      <c r="I158" s="199"/>
      <c r="J158" s="199">
        <v>45.915103871271882</v>
      </c>
      <c r="K158" s="199"/>
      <c r="L158" s="199">
        <v>110.73642698365572</v>
      </c>
      <c r="M158" s="208">
        <v>3.5431546247655619E-4</v>
      </c>
    </row>
    <row r="159" spans="1:13" x14ac:dyDescent="0.25">
      <c r="A159" s="201" t="s">
        <v>240</v>
      </c>
      <c r="B159" s="209">
        <v>12</v>
      </c>
      <c r="C159" s="209">
        <v>42</v>
      </c>
      <c r="D159" s="209">
        <v>6</v>
      </c>
      <c r="E159" s="209"/>
      <c r="F159" s="209">
        <v>9</v>
      </c>
      <c r="G159" s="209"/>
      <c r="H159" s="202">
        <v>64.821323112383837</v>
      </c>
      <c r="I159" s="202"/>
      <c r="J159" s="202">
        <v>45.915103871271882</v>
      </c>
      <c r="K159" s="202"/>
      <c r="L159" s="202">
        <v>110.73642698365572</v>
      </c>
      <c r="M159" s="210">
        <v>3.5431546247655619E-4</v>
      </c>
    </row>
    <row r="160" spans="1:13" x14ac:dyDescent="0.25">
      <c r="A160" s="198" t="s">
        <v>78</v>
      </c>
      <c r="B160" s="207">
        <v>74</v>
      </c>
      <c r="C160" s="207">
        <v>36</v>
      </c>
      <c r="D160" s="207">
        <v>57</v>
      </c>
      <c r="E160" s="207">
        <v>4</v>
      </c>
      <c r="F160" s="207">
        <v>26</v>
      </c>
      <c r="G160" s="207"/>
      <c r="H160" s="199">
        <v>136.74399022701149</v>
      </c>
      <c r="I160" s="199">
        <v>14.951453999999998</v>
      </c>
      <c r="J160" s="199">
        <v>29.912747862158749</v>
      </c>
      <c r="K160" s="199"/>
      <c r="L160" s="199">
        <v>181.6081920891703</v>
      </c>
      <c r="M160" s="208">
        <v>5.8107880416895653E-4</v>
      </c>
    </row>
    <row r="161" spans="1:13" x14ac:dyDescent="0.25">
      <c r="A161" s="201" t="s">
        <v>239</v>
      </c>
      <c r="B161" s="209">
        <v>74</v>
      </c>
      <c r="C161" s="209">
        <v>36</v>
      </c>
      <c r="D161" s="209">
        <v>57</v>
      </c>
      <c r="E161" s="209">
        <v>4</v>
      </c>
      <c r="F161" s="209">
        <v>26</v>
      </c>
      <c r="G161" s="209"/>
      <c r="H161" s="202">
        <v>136.74399022701149</v>
      </c>
      <c r="I161" s="202">
        <v>14.951453999999998</v>
      </c>
      <c r="J161" s="202">
        <v>29.912747862158749</v>
      </c>
      <c r="K161" s="202"/>
      <c r="L161" s="202">
        <v>181.6081920891703</v>
      </c>
      <c r="M161" s="210">
        <v>5.8107880416895653E-4</v>
      </c>
    </row>
    <row r="162" spans="1:13" x14ac:dyDescent="0.25">
      <c r="A162" s="198" t="s">
        <v>79</v>
      </c>
      <c r="B162" s="207">
        <v>91</v>
      </c>
      <c r="C162" s="207">
        <v>24</v>
      </c>
      <c r="D162" s="207">
        <v>84</v>
      </c>
      <c r="E162" s="207"/>
      <c r="F162" s="207">
        <v>19</v>
      </c>
      <c r="G162" s="207">
        <v>2</v>
      </c>
      <c r="H162" s="199">
        <v>183.24609919486073</v>
      </c>
      <c r="I162" s="199"/>
      <c r="J162" s="199">
        <v>21.378711572733771</v>
      </c>
      <c r="K162" s="199">
        <v>2.0353979999999998</v>
      </c>
      <c r="L162" s="199">
        <v>206.66020876759461</v>
      </c>
      <c r="M162" s="208">
        <v>6.6123595856853285E-4</v>
      </c>
    </row>
    <row r="163" spans="1:13" x14ac:dyDescent="0.25">
      <c r="A163" s="201" t="s">
        <v>238</v>
      </c>
      <c r="B163" s="209">
        <v>91</v>
      </c>
      <c r="C163" s="209">
        <v>24</v>
      </c>
      <c r="D163" s="209">
        <v>84</v>
      </c>
      <c r="E163" s="209"/>
      <c r="F163" s="209">
        <v>19</v>
      </c>
      <c r="G163" s="209">
        <v>2</v>
      </c>
      <c r="H163" s="202">
        <v>183.24609919486073</v>
      </c>
      <c r="I163" s="202"/>
      <c r="J163" s="202">
        <v>21.378711572733771</v>
      </c>
      <c r="K163" s="202">
        <v>2.0353979999999998</v>
      </c>
      <c r="L163" s="202">
        <v>206.66020876759461</v>
      </c>
      <c r="M163" s="210">
        <v>6.6123595856853285E-4</v>
      </c>
    </row>
    <row r="164" spans="1:13" x14ac:dyDescent="0.25">
      <c r="A164" s="198" t="s">
        <v>80</v>
      </c>
      <c r="B164" s="207">
        <v>303</v>
      </c>
      <c r="C164" s="207">
        <v>594</v>
      </c>
      <c r="D164" s="207">
        <v>247</v>
      </c>
      <c r="E164" s="207">
        <v>7</v>
      </c>
      <c r="F164" s="207">
        <v>378</v>
      </c>
      <c r="G164" s="207">
        <v>8</v>
      </c>
      <c r="H164" s="199">
        <v>910.96802439968531</v>
      </c>
      <c r="I164" s="199">
        <v>24.81326</v>
      </c>
      <c r="J164" s="199">
        <v>601.18991932828669</v>
      </c>
      <c r="K164" s="199">
        <v>16.128618999999997</v>
      </c>
      <c r="L164" s="199">
        <v>1553.0998227279686</v>
      </c>
      <c r="M164" s="208">
        <v>4.9693429429806145E-3</v>
      </c>
    </row>
    <row r="165" spans="1:13" x14ac:dyDescent="0.25">
      <c r="A165" s="201" t="s">
        <v>237</v>
      </c>
      <c r="B165" s="209">
        <v>303</v>
      </c>
      <c r="C165" s="209">
        <v>594</v>
      </c>
      <c r="D165" s="209">
        <v>247</v>
      </c>
      <c r="E165" s="209">
        <v>7</v>
      </c>
      <c r="F165" s="209">
        <v>378</v>
      </c>
      <c r="G165" s="209">
        <v>8</v>
      </c>
      <c r="H165" s="202">
        <v>910.96802439968531</v>
      </c>
      <c r="I165" s="202">
        <v>24.81326</v>
      </c>
      <c r="J165" s="202">
        <v>601.18991932828669</v>
      </c>
      <c r="K165" s="202">
        <v>16.128618999999997</v>
      </c>
      <c r="L165" s="202">
        <v>1553.0998227279686</v>
      </c>
      <c r="M165" s="210">
        <v>4.9693429429806145E-3</v>
      </c>
    </row>
    <row r="166" spans="1:13" x14ac:dyDescent="0.25">
      <c r="A166" s="198" t="s">
        <v>81</v>
      </c>
      <c r="B166" s="207">
        <v>580</v>
      </c>
      <c r="C166" s="207">
        <v>829</v>
      </c>
      <c r="D166" s="207">
        <v>411</v>
      </c>
      <c r="E166" s="207">
        <v>20</v>
      </c>
      <c r="F166" s="207">
        <v>441</v>
      </c>
      <c r="G166" s="207">
        <v>14</v>
      </c>
      <c r="H166" s="199">
        <v>1612.7257815828614</v>
      </c>
      <c r="I166" s="199">
        <v>85.555968000000007</v>
      </c>
      <c r="J166" s="199">
        <v>1017.6486897052717</v>
      </c>
      <c r="K166" s="199">
        <v>25.399428</v>
      </c>
      <c r="L166" s="199">
        <v>2741.3298672881328</v>
      </c>
      <c r="M166" s="208">
        <v>8.7712380305746251E-3</v>
      </c>
    </row>
    <row r="167" spans="1:13" x14ac:dyDescent="0.25">
      <c r="A167" s="201" t="s">
        <v>236</v>
      </c>
      <c r="B167" s="209">
        <v>580</v>
      </c>
      <c r="C167" s="209">
        <v>829</v>
      </c>
      <c r="D167" s="209">
        <v>411</v>
      </c>
      <c r="E167" s="209">
        <v>20</v>
      </c>
      <c r="F167" s="209">
        <v>441</v>
      </c>
      <c r="G167" s="209">
        <v>14</v>
      </c>
      <c r="H167" s="202">
        <v>1612.7257815828614</v>
      </c>
      <c r="I167" s="202">
        <v>85.555968000000007</v>
      </c>
      <c r="J167" s="202">
        <v>1017.6486897052717</v>
      </c>
      <c r="K167" s="202">
        <v>25.399428</v>
      </c>
      <c r="L167" s="202">
        <v>2741.3298672881328</v>
      </c>
      <c r="M167" s="210">
        <v>8.7712380305746251E-3</v>
      </c>
    </row>
    <row r="168" spans="1:13" ht="24" x14ac:dyDescent="0.25">
      <c r="A168" s="198" t="s">
        <v>500</v>
      </c>
      <c r="B168" s="207">
        <v>12</v>
      </c>
      <c r="C168" s="207">
        <v>45</v>
      </c>
      <c r="D168" s="207">
        <v>9</v>
      </c>
      <c r="E168" s="207"/>
      <c r="F168" s="207">
        <v>20</v>
      </c>
      <c r="G168" s="207"/>
      <c r="H168" s="199">
        <v>40.399242510701875</v>
      </c>
      <c r="I168" s="199"/>
      <c r="J168" s="199">
        <v>46.170562869373569</v>
      </c>
      <c r="K168" s="199"/>
      <c r="L168" s="199">
        <v>86.569805380075451</v>
      </c>
      <c r="M168" s="208">
        <v>2.7699124366974674E-4</v>
      </c>
    </row>
    <row r="169" spans="1:13" x14ac:dyDescent="0.25">
      <c r="A169" s="201" t="s">
        <v>235</v>
      </c>
      <c r="B169" s="209">
        <v>12</v>
      </c>
      <c r="C169" s="209">
        <v>45</v>
      </c>
      <c r="D169" s="209">
        <v>9</v>
      </c>
      <c r="E169" s="209"/>
      <c r="F169" s="209">
        <v>20</v>
      </c>
      <c r="G169" s="209"/>
      <c r="H169" s="202">
        <v>40.399242510701875</v>
      </c>
      <c r="I169" s="202"/>
      <c r="J169" s="202">
        <v>46.170562869373569</v>
      </c>
      <c r="K169" s="202"/>
      <c r="L169" s="202">
        <v>86.569805380075451</v>
      </c>
      <c r="M169" s="210">
        <v>2.7699124366974674E-4</v>
      </c>
    </row>
    <row r="170" spans="1:13" x14ac:dyDescent="0.25">
      <c r="A170" s="198" t="s">
        <v>83</v>
      </c>
      <c r="B170" s="207">
        <v>1645</v>
      </c>
      <c r="C170" s="207">
        <v>3622</v>
      </c>
      <c r="D170" s="207">
        <v>1130</v>
      </c>
      <c r="E170" s="207">
        <v>86</v>
      </c>
      <c r="F170" s="207">
        <v>1873</v>
      </c>
      <c r="G170" s="207">
        <v>41</v>
      </c>
      <c r="H170" s="199">
        <v>5055.5717222958101</v>
      </c>
      <c r="I170" s="199">
        <v>398.0166959999998</v>
      </c>
      <c r="J170" s="199">
        <v>4202.6551121311704</v>
      </c>
      <c r="K170" s="199">
        <v>95.470220999999981</v>
      </c>
      <c r="L170" s="199">
        <v>9751.7137514270398</v>
      </c>
      <c r="M170" s="208">
        <v>3.1201864299683756E-2</v>
      </c>
    </row>
    <row r="171" spans="1:13" x14ac:dyDescent="0.25">
      <c r="A171" s="201" t="s">
        <v>242</v>
      </c>
      <c r="B171" s="209">
        <v>1645</v>
      </c>
      <c r="C171" s="209">
        <v>3622</v>
      </c>
      <c r="D171" s="209">
        <v>1130</v>
      </c>
      <c r="E171" s="209">
        <v>86</v>
      </c>
      <c r="F171" s="209">
        <v>1873</v>
      </c>
      <c r="G171" s="209">
        <v>41</v>
      </c>
      <c r="H171" s="202">
        <v>5055.5717222958101</v>
      </c>
      <c r="I171" s="202">
        <v>398.0166959999998</v>
      </c>
      <c r="J171" s="202">
        <v>4202.6551121311704</v>
      </c>
      <c r="K171" s="202">
        <v>95.470220999999981</v>
      </c>
      <c r="L171" s="202">
        <v>9751.7137514270398</v>
      </c>
      <c r="M171" s="210">
        <v>3.1201864299683756E-2</v>
      </c>
    </row>
    <row r="172" spans="1:13" ht="24" x14ac:dyDescent="0.25">
      <c r="A172" s="198" t="s">
        <v>493</v>
      </c>
      <c r="B172" s="207">
        <v>57</v>
      </c>
      <c r="C172" s="207">
        <v>105</v>
      </c>
      <c r="D172" s="207">
        <v>47</v>
      </c>
      <c r="E172" s="207">
        <v>2</v>
      </c>
      <c r="F172" s="207">
        <v>72</v>
      </c>
      <c r="G172" s="207">
        <v>2</v>
      </c>
      <c r="H172" s="199">
        <v>140.09796134999152</v>
      </c>
      <c r="I172" s="199">
        <v>8.6979839999999999</v>
      </c>
      <c r="J172" s="199">
        <v>105.61230932537819</v>
      </c>
      <c r="K172" s="199">
        <v>3.2617440000000002</v>
      </c>
      <c r="L172" s="199">
        <v>257.66999867537004</v>
      </c>
      <c r="M172" s="208">
        <v>8.244483521260116E-4</v>
      </c>
    </row>
    <row r="173" spans="1:13" x14ac:dyDescent="0.25">
      <c r="A173" s="201" t="s">
        <v>232</v>
      </c>
      <c r="B173" s="209">
        <v>57</v>
      </c>
      <c r="C173" s="209">
        <v>105</v>
      </c>
      <c r="D173" s="209">
        <v>47</v>
      </c>
      <c r="E173" s="209">
        <v>2</v>
      </c>
      <c r="F173" s="209">
        <v>72</v>
      </c>
      <c r="G173" s="209">
        <v>2</v>
      </c>
      <c r="H173" s="202">
        <v>140.09796134999152</v>
      </c>
      <c r="I173" s="202">
        <v>8.6979839999999999</v>
      </c>
      <c r="J173" s="202">
        <v>105.61230932537819</v>
      </c>
      <c r="K173" s="202">
        <v>3.2617440000000002</v>
      </c>
      <c r="L173" s="202">
        <v>257.66999867537004</v>
      </c>
      <c r="M173" s="210">
        <v>8.244483521260116E-4</v>
      </c>
    </row>
    <row r="174" spans="1:13" x14ac:dyDescent="0.25">
      <c r="A174" s="198" t="s">
        <v>85</v>
      </c>
      <c r="B174" s="207">
        <v>19</v>
      </c>
      <c r="C174" s="207">
        <v>24</v>
      </c>
      <c r="D174" s="207">
        <v>15</v>
      </c>
      <c r="E174" s="207">
        <v>2</v>
      </c>
      <c r="F174" s="207">
        <v>16</v>
      </c>
      <c r="G174" s="207"/>
      <c r="H174" s="199">
        <v>51.784935641150184</v>
      </c>
      <c r="I174" s="199">
        <v>9.8285680000000006</v>
      </c>
      <c r="J174" s="199">
        <v>27.125442478697714</v>
      </c>
      <c r="K174" s="199"/>
      <c r="L174" s="199">
        <v>88.738946119847853</v>
      </c>
      <c r="M174" s="208">
        <v>2.8393168888117326E-4</v>
      </c>
    </row>
    <row r="175" spans="1:13" x14ac:dyDescent="0.25">
      <c r="A175" s="201" t="s">
        <v>231</v>
      </c>
      <c r="B175" s="209">
        <v>19</v>
      </c>
      <c r="C175" s="209">
        <v>24</v>
      </c>
      <c r="D175" s="209">
        <v>15</v>
      </c>
      <c r="E175" s="209">
        <v>2</v>
      </c>
      <c r="F175" s="209">
        <v>16</v>
      </c>
      <c r="G175" s="209"/>
      <c r="H175" s="202">
        <v>51.784935641150184</v>
      </c>
      <c r="I175" s="202">
        <v>9.8285680000000006</v>
      </c>
      <c r="J175" s="202">
        <v>27.125442478697714</v>
      </c>
      <c r="K175" s="202"/>
      <c r="L175" s="202">
        <v>88.738946119847853</v>
      </c>
      <c r="M175" s="210">
        <v>2.8393168888117326E-4</v>
      </c>
    </row>
    <row r="176" spans="1:13" ht="24" x14ac:dyDescent="0.25">
      <c r="A176" s="198" t="s">
        <v>86</v>
      </c>
      <c r="B176" s="207">
        <v>163</v>
      </c>
      <c r="C176" s="207">
        <v>112</v>
      </c>
      <c r="D176" s="207">
        <v>120</v>
      </c>
      <c r="E176" s="207">
        <v>1</v>
      </c>
      <c r="F176" s="207">
        <v>64</v>
      </c>
      <c r="G176" s="207">
        <v>2</v>
      </c>
      <c r="H176" s="199">
        <v>391.26386399308387</v>
      </c>
      <c r="I176" s="199">
        <v>4.6808480000000001</v>
      </c>
      <c r="J176" s="199">
        <v>113.82221497980623</v>
      </c>
      <c r="K176" s="199">
        <v>4.6808480000000001</v>
      </c>
      <c r="L176" s="199">
        <v>514.44777497289101</v>
      </c>
      <c r="M176" s="208">
        <v>1.6460419238238432E-3</v>
      </c>
    </row>
    <row r="177" spans="1:13" x14ac:dyDescent="0.25">
      <c r="A177" s="201" t="s">
        <v>230</v>
      </c>
      <c r="B177" s="209">
        <v>163</v>
      </c>
      <c r="C177" s="209">
        <v>112</v>
      </c>
      <c r="D177" s="209">
        <v>120</v>
      </c>
      <c r="E177" s="209">
        <v>1</v>
      </c>
      <c r="F177" s="209">
        <v>64</v>
      </c>
      <c r="G177" s="209">
        <v>2</v>
      </c>
      <c r="H177" s="202">
        <v>391.26386399308387</v>
      </c>
      <c r="I177" s="202">
        <v>4.6808480000000001</v>
      </c>
      <c r="J177" s="202">
        <v>113.82221497980623</v>
      </c>
      <c r="K177" s="202">
        <v>4.6808480000000001</v>
      </c>
      <c r="L177" s="202">
        <v>514.44777497289101</v>
      </c>
      <c r="M177" s="210">
        <v>1.6460419238238432E-3</v>
      </c>
    </row>
    <row r="178" spans="1:13" x14ac:dyDescent="0.25">
      <c r="A178" s="198" t="s">
        <v>87</v>
      </c>
      <c r="B178" s="207">
        <v>55</v>
      </c>
      <c r="C178" s="207">
        <v>118</v>
      </c>
      <c r="D178" s="207">
        <v>30</v>
      </c>
      <c r="E178" s="207">
        <v>15</v>
      </c>
      <c r="F178" s="207">
        <v>63</v>
      </c>
      <c r="G178" s="207">
        <v>21</v>
      </c>
      <c r="H178" s="199">
        <v>112.12131054405441</v>
      </c>
      <c r="I178" s="199">
        <v>58.478832000000011</v>
      </c>
      <c r="J178" s="199">
        <v>110.90260064683646</v>
      </c>
      <c r="K178" s="199">
        <v>37.767578999999991</v>
      </c>
      <c r="L178" s="199">
        <v>319.27032219089062</v>
      </c>
      <c r="M178" s="208">
        <v>1.0215465221647521E-3</v>
      </c>
    </row>
    <row r="179" spans="1:13" x14ac:dyDescent="0.25">
      <c r="A179" s="201" t="s">
        <v>234</v>
      </c>
      <c r="B179" s="209">
        <v>55</v>
      </c>
      <c r="C179" s="209">
        <v>118</v>
      </c>
      <c r="D179" s="209">
        <v>30</v>
      </c>
      <c r="E179" s="209">
        <v>15</v>
      </c>
      <c r="F179" s="209">
        <v>63</v>
      </c>
      <c r="G179" s="209">
        <v>21</v>
      </c>
      <c r="H179" s="202">
        <v>112.12131054405441</v>
      </c>
      <c r="I179" s="202">
        <v>58.478832000000011</v>
      </c>
      <c r="J179" s="202">
        <v>110.90260064683646</v>
      </c>
      <c r="K179" s="202">
        <v>37.767578999999991</v>
      </c>
      <c r="L179" s="202">
        <v>319.27032219089062</v>
      </c>
      <c r="M179" s="210">
        <v>1.0215465221647521E-3</v>
      </c>
    </row>
    <row r="180" spans="1:13" x14ac:dyDescent="0.25">
      <c r="A180" s="198" t="s">
        <v>88</v>
      </c>
      <c r="B180" s="207">
        <v>23</v>
      </c>
      <c r="C180" s="207">
        <v>63</v>
      </c>
      <c r="D180" s="207">
        <v>15</v>
      </c>
      <c r="E180" s="207">
        <v>2</v>
      </c>
      <c r="F180" s="207">
        <v>32</v>
      </c>
      <c r="G180" s="207"/>
      <c r="H180" s="199">
        <v>77.379783490483163</v>
      </c>
      <c r="I180" s="199">
        <v>11.862064</v>
      </c>
      <c r="J180" s="199">
        <v>74.403637971618437</v>
      </c>
      <c r="K180" s="199"/>
      <c r="L180" s="199">
        <v>163.64548546210162</v>
      </c>
      <c r="M180" s="208">
        <v>5.2360481047725182E-4</v>
      </c>
    </row>
    <row r="181" spans="1:13" x14ac:dyDescent="0.25">
      <c r="A181" s="201" t="s">
        <v>233</v>
      </c>
      <c r="B181" s="209">
        <v>23</v>
      </c>
      <c r="C181" s="209">
        <v>63</v>
      </c>
      <c r="D181" s="209">
        <v>15</v>
      </c>
      <c r="E181" s="209">
        <v>2</v>
      </c>
      <c r="F181" s="209">
        <v>32</v>
      </c>
      <c r="G181" s="209"/>
      <c r="H181" s="202">
        <v>77.379783490483163</v>
      </c>
      <c r="I181" s="202">
        <v>11.862064</v>
      </c>
      <c r="J181" s="202">
        <v>74.403637971618437</v>
      </c>
      <c r="K181" s="202"/>
      <c r="L181" s="202">
        <v>163.64548546210162</v>
      </c>
      <c r="M181" s="210">
        <v>5.2360481047725182E-4</v>
      </c>
    </row>
    <row r="182" spans="1:13" ht="24" x14ac:dyDescent="0.25">
      <c r="A182" s="198" t="s">
        <v>89</v>
      </c>
      <c r="B182" s="207">
        <v>78</v>
      </c>
      <c r="C182" s="207">
        <v>68</v>
      </c>
      <c r="D182" s="207">
        <v>52</v>
      </c>
      <c r="E182" s="207">
        <v>5</v>
      </c>
      <c r="F182" s="207">
        <v>33</v>
      </c>
      <c r="G182" s="207">
        <v>2</v>
      </c>
      <c r="H182" s="199">
        <v>215.40068945820641</v>
      </c>
      <c r="I182" s="199">
        <v>25.614020000000004</v>
      </c>
      <c r="J182" s="199">
        <v>79.153265403316794</v>
      </c>
      <c r="K182" s="199">
        <v>5.1228040000000004</v>
      </c>
      <c r="L182" s="199">
        <v>325.29077886152317</v>
      </c>
      <c r="M182" s="208">
        <v>1.0408097487982979E-3</v>
      </c>
    </row>
    <row r="183" spans="1:13" x14ac:dyDescent="0.25">
      <c r="A183" s="201" t="s">
        <v>228</v>
      </c>
      <c r="B183" s="209">
        <v>78</v>
      </c>
      <c r="C183" s="209">
        <v>68</v>
      </c>
      <c r="D183" s="209">
        <v>52</v>
      </c>
      <c r="E183" s="209">
        <v>5</v>
      </c>
      <c r="F183" s="209">
        <v>33</v>
      </c>
      <c r="G183" s="209">
        <v>2</v>
      </c>
      <c r="H183" s="202">
        <v>215.40068945820641</v>
      </c>
      <c r="I183" s="202">
        <v>25.614020000000004</v>
      </c>
      <c r="J183" s="202">
        <v>79.153265403316794</v>
      </c>
      <c r="K183" s="202">
        <v>5.1228040000000004</v>
      </c>
      <c r="L183" s="202">
        <v>325.29077886152317</v>
      </c>
      <c r="M183" s="210">
        <v>1.0408097487982979E-3</v>
      </c>
    </row>
    <row r="184" spans="1:13" x14ac:dyDescent="0.25">
      <c r="A184" s="198" t="s">
        <v>90</v>
      </c>
      <c r="B184" s="207">
        <v>786</v>
      </c>
      <c r="C184" s="207">
        <v>1193</v>
      </c>
      <c r="D184" s="207">
        <v>565</v>
      </c>
      <c r="E184" s="207">
        <v>22</v>
      </c>
      <c r="F184" s="207">
        <v>645</v>
      </c>
      <c r="G184" s="207">
        <v>19</v>
      </c>
      <c r="H184" s="199">
        <v>2156.1904391790613</v>
      </c>
      <c r="I184" s="199">
        <v>108.72203999999999</v>
      </c>
      <c r="J184" s="199">
        <v>1310.5754683635766</v>
      </c>
      <c r="K184" s="199">
        <v>38.829299999999996</v>
      </c>
      <c r="L184" s="199">
        <v>3614.3172475426063</v>
      </c>
      <c r="M184" s="208">
        <v>1.156447360622413E-2</v>
      </c>
    </row>
    <row r="185" spans="1:13" x14ac:dyDescent="0.25">
      <c r="A185" s="201" t="s">
        <v>227</v>
      </c>
      <c r="B185" s="209">
        <v>786</v>
      </c>
      <c r="C185" s="209">
        <v>1193</v>
      </c>
      <c r="D185" s="209">
        <v>565</v>
      </c>
      <c r="E185" s="209">
        <v>22</v>
      </c>
      <c r="F185" s="209">
        <v>645</v>
      </c>
      <c r="G185" s="209">
        <v>19</v>
      </c>
      <c r="H185" s="202">
        <v>2156.1904391790613</v>
      </c>
      <c r="I185" s="202">
        <v>108.72203999999999</v>
      </c>
      <c r="J185" s="202">
        <v>1310.5754683635766</v>
      </c>
      <c r="K185" s="202">
        <v>38.829299999999996</v>
      </c>
      <c r="L185" s="202">
        <v>3614.3172475426063</v>
      </c>
      <c r="M185" s="210">
        <v>1.156447360622413E-2</v>
      </c>
    </row>
    <row r="186" spans="1:13" x14ac:dyDescent="0.25">
      <c r="A186" s="198" t="s">
        <v>91</v>
      </c>
      <c r="B186" s="207">
        <v>94</v>
      </c>
      <c r="C186" s="207">
        <v>26</v>
      </c>
      <c r="D186" s="207">
        <v>92</v>
      </c>
      <c r="E186" s="207"/>
      <c r="F186" s="207">
        <v>26</v>
      </c>
      <c r="G186" s="207"/>
      <c r="H186" s="199">
        <v>188.06186335074324</v>
      </c>
      <c r="I186" s="199"/>
      <c r="J186" s="199">
        <v>26.008555569783638</v>
      </c>
      <c r="K186" s="199"/>
      <c r="L186" s="199">
        <v>214.07041892052689</v>
      </c>
      <c r="M186" s="208">
        <v>6.849458804876516E-4</v>
      </c>
    </row>
    <row r="187" spans="1:13" x14ac:dyDescent="0.25">
      <c r="A187" s="201" t="s">
        <v>226</v>
      </c>
      <c r="B187" s="209">
        <v>94</v>
      </c>
      <c r="C187" s="209">
        <v>26</v>
      </c>
      <c r="D187" s="209">
        <v>92</v>
      </c>
      <c r="E187" s="209"/>
      <c r="F187" s="209">
        <v>26</v>
      </c>
      <c r="G187" s="209"/>
      <c r="H187" s="202">
        <v>188.06186335074324</v>
      </c>
      <c r="I187" s="202"/>
      <c r="J187" s="202">
        <v>26.008555569783638</v>
      </c>
      <c r="K187" s="202"/>
      <c r="L187" s="202">
        <v>214.07041892052689</v>
      </c>
      <c r="M187" s="210">
        <v>6.849458804876516E-4</v>
      </c>
    </row>
    <row r="188" spans="1:13" x14ac:dyDescent="0.25">
      <c r="A188" s="198" t="s">
        <v>437</v>
      </c>
      <c r="B188" s="207">
        <v>961</v>
      </c>
      <c r="C188" s="207">
        <v>329</v>
      </c>
      <c r="D188" s="207">
        <v>895</v>
      </c>
      <c r="E188" s="207">
        <v>8</v>
      </c>
      <c r="F188" s="207">
        <v>303</v>
      </c>
      <c r="G188" s="207">
        <v>2</v>
      </c>
      <c r="H188" s="199">
        <v>1940.2854890467204</v>
      </c>
      <c r="I188" s="199">
        <v>16.525216</v>
      </c>
      <c r="J188" s="199">
        <v>329.57991001379446</v>
      </c>
      <c r="K188" s="199">
        <v>3.0984780000000001</v>
      </c>
      <c r="L188" s="199">
        <v>2289.4890930605311</v>
      </c>
      <c r="M188" s="208">
        <v>7.3255152702597455E-3</v>
      </c>
    </row>
    <row r="189" spans="1:13" x14ac:dyDescent="0.25">
      <c r="A189" s="201" t="s">
        <v>249</v>
      </c>
      <c r="B189" s="209">
        <v>961</v>
      </c>
      <c r="C189" s="209">
        <v>329</v>
      </c>
      <c r="D189" s="209">
        <v>895</v>
      </c>
      <c r="E189" s="209">
        <v>8</v>
      </c>
      <c r="F189" s="209">
        <v>303</v>
      </c>
      <c r="G189" s="209">
        <v>2</v>
      </c>
      <c r="H189" s="202">
        <v>1940.2854890467204</v>
      </c>
      <c r="I189" s="202">
        <v>16.525216</v>
      </c>
      <c r="J189" s="202">
        <v>329.57991001379446</v>
      </c>
      <c r="K189" s="202">
        <v>3.0984780000000001</v>
      </c>
      <c r="L189" s="202">
        <v>2289.4890930605311</v>
      </c>
      <c r="M189" s="210">
        <v>7.3255152702597455E-3</v>
      </c>
    </row>
    <row r="190" spans="1:13" x14ac:dyDescent="0.25">
      <c r="A190" s="198" t="s">
        <v>541</v>
      </c>
      <c r="B190" s="207">
        <v>22</v>
      </c>
      <c r="C190" s="207">
        <v>15</v>
      </c>
      <c r="D190" s="207">
        <v>21</v>
      </c>
      <c r="E190" s="207"/>
      <c r="F190" s="207">
        <v>12</v>
      </c>
      <c r="G190" s="207"/>
      <c r="H190" s="199">
        <v>63.950204205127221</v>
      </c>
      <c r="I190" s="199"/>
      <c r="J190" s="199">
        <v>16.538845915119111</v>
      </c>
      <c r="K190" s="199"/>
      <c r="L190" s="199">
        <v>80.489050120246347</v>
      </c>
      <c r="M190" s="208">
        <v>2.5753508393279678E-4</v>
      </c>
    </row>
    <row r="191" spans="1:13" x14ac:dyDescent="0.25">
      <c r="A191" s="201" t="s">
        <v>225</v>
      </c>
      <c r="B191" s="209">
        <v>22</v>
      </c>
      <c r="C191" s="209">
        <v>15</v>
      </c>
      <c r="D191" s="209">
        <v>21</v>
      </c>
      <c r="E191" s="209"/>
      <c r="F191" s="209">
        <v>12</v>
      </c>
      <c r="G191" s="209"/>
      <c r="H191" s="202">
        <v>63.950204205127221</v>
      </c>
      <c r="I191" s="202"/>
      <c r="J191" s="202">
        <v>16.538845915119111</v>
      </c>
      <c r="K191" s="202"/>
      <c r="L191" s="202">
        <v>80.489050120246347</v>
      </c>
      <c r="M191" s="210">
        <v>2.5753508393279678E-4</v>
      </c>
    </row>
    <row r="192" spans="1:13" x14ac:dyDescent="0.25">
      <c r="A192" s="198" t="s">
        <v>93</v>
      </c>
      <c r="B192" s="207">
        <v>29</v>
      </c>
      <c r="C192" s="207">
        <v>40</v>
      </c>
      <c r="D192" s="207">
        <v>17</v>
      </c>
      <c r="E192" s="207">
        <v>3</v>
      </c>
      <c r="F192" s="207">
        <v>20</v>
      </c>
      <c r="G192" s="207">
        <v>1</v>
      </c>
      <c r="H192" s="199">
        <v>57.534517433338408</v>
      </c>
      <c r="I192" s="199">
        <v>10.823528</v>
      </c>
      <c r="J192" s="199">
        <v>38.356344955558939</v>
      </c>
      <c r="K192" s="199">
        <v>2.7058819999999999</v>
      </c>
      <c r="L192" s="199">
        <v>109.42027238889732</v>
      </c>
      <c r="M192" s="208">
        <v>3.5010425631219896E-4</v>
      </c>
    </row>
    <row r="193" spans="1:13" x14ac:dyDescent="0.25">
      <c r="A193" s="201" t="s">
        <v>224</v>
      </c>
      <c r="B193" s="209">
        <v>29</v>
      </c>
      <c r="C193" s="209">
        <v>40</v>
      </c>
      <c r="D193" s="209">
        <v>17</v>
      </c>
      <c r="E193" s="209">
        <v>3</v>
      </c>
      <c r="F193" s="209">
        <v>20</v>
      </c>
      <c r="G193" s="209">
        <v>1</v>
      </c>
      <c r="H193" s="202">
        <v>57.534517433338408</v>
      </c>
      <c r="I193" s="202">
        <v>10.823528</v>
      </c>
      <c r="J193" s="202">
        <v>38.356344955558939</v>
      </c>
      <c r="K193" s="202">
        <v>2.7058819999999999</v>
      </c>
      <c r="L193" s="202">
        <v>109.42027238889732</v>
      </c>
      <c r="M193" s="210">
        <v>3.5010425631219896E-4</v>
      </c>
    </row>
    <row r="194" spans="1:13" x14ac:dyDescent="0.25">
      <c r="A194" s="198" t="s">
        <v>94</v>
      </c>
      <c r="B194" s="207">
        <v>1184</v>
      </c>
      <c r="C194" s="207">
        <v>1621</v>
      </c>
      <c r="D194" s="207">
        <v>887</v>
      </c>
      <c r="E194" s="207">
        <v>53</v>
      </c>
      <c r="F194" s="207">
        <v>977</v>
      </c>
      <c r="G194" s="207">
        <v>14</v>
      </c>
      <c r="H194" s="199">
        <v>3284.4479345922723</v>
      </c>
      <c r="I194" s="199">
        <v>249.71785399999993</v>
      </c>
      <c r="J194" s="199">
        <v>1983.936728783822</v>
      </c>
      <c r="K194" s="199">
        <v>28.433220999999993</v>
      </c>
      <c r="L194" s="199">
        <v>5546.5357383761302</v>
      </c>
      <c r="M194" s="208">
        <v>1.7746855563396002E-2</v>
      </c>
    </row>
    <row r="195" spans="1:13" x14ac:dyDescent="0.25">
      <c r="A195" s="201" t="s">
        <v>223</v>
      </c>
      <c r="B195" s="209">
        <v>1184</v>
      </c>
      <c r="C195" s="209">
        <v>1621</v>
      </c>
      <c r="D195" s="209">
        <v>887</v>
      </c>
      <c r="E195" s="209">
        <v>53</v>
      </c>
      <c r="F195" s="209">
        <v>977</v>
      </c>
      <c r="G195" s="209">
        <v>14</v>
      </c>
      <c r="H195" s="202">
        <v>3284.4479345922723</v>
      </c>
      <c r="I195" s="202">
        <v>249.71785399999993</v>
      </c>
      <c r="J195" s="202">
        <v>1983.936728783822</v>
      </c>
      <c r="K195" s="202">
        <v>28.433220999999993</v>
      </c>
      <c r="L195" s="202">
        <v>5546.5357383761302</v>
      </c>
      <c r="M195" s="210">
        <v>1.7746855563396002E-2</v>
      </c>
    </row>
    <row r="196" spans="1:13" x14ac:dyDescent="0.25">
      <c r="A196" s="198" t="s">
        <v>95</v>
      </c>
      <c r="B196" s="207">
        <v>756</v>
      </c>
      <c r="C196" s="207">
        <v>1330</v>
      </c>
      <c r="D196" s="207">
        <v>578</v>
      </c>
      <c r="E196" s="207">
        <v>17</v>
      </c>
      <c r="F196" s="207">
        <v>765</v>
      </c>
      <c r="G196" s="207">
        <v>17</v>
      </c>
      <c r="H196" s="199">
        <v>2271.6547261201417</v>
      </c>
      <c r="I196" s="199">
        <v>86.317175999999989</v>
      </c>
      <c r="J196" s="199">
        <v>1508.8433947922979</v>
      </c>
      <c r="K196" s="199">
        <v>36.619408</v>
      </c>
      <c r="L196" s="199">
        <v>3903.4347049124121</v>
      </c>
      <c r="M196" s="208">
        <v>1.2489542153298965E-2</v>
      </c>
    </row>
    <row r="197" spans="1:13" x14ac:dyDescent="0.25">
      <c r="A197" s="201" t="s">
        <v>221</v>
      </c>
      <c r="B197" s="209">
        <v>756</v>
      </c>
      <c r="C197" s="209">
        <v>1330</v>
      </c>
      <c r="D197" s="209">
        <v>578</v>
      </c>
      <c r="E197" s="209">
        <v>17</v>
      </c>
      <c r="F197" s="209">
        <v>765</v>
      </c>
      <c r="G197" s="209">
        <v>17</v>
      </c>
      <c r="H197" s="202">
        <v>2271.6547261201417</v>
      </c>
      <c r="I197" s="202">
        <v>86.317175999999989</v>
      </c>
      <c r="J197" s="202">
        <v>1508.8433947922979</v>
      </c>
      <c r="K197" s="202">
        <v>36.619408</v>
      </c>
      <c r="L197" s="202">
        <v>3903.4347049124121</v>
      </c>
      <c r="M197" s="210">
        <v>1.2489542153298965E-2</v>
      </c>
    </row>
    <row r="198" spans="1:13" x14ac:dyDescent="0.25">
      <c r="A198" s="198" t="s">
        <v>96</v>
      </c>
      <c r="B198" s="207">
        <v>1500</v>
      </c>
      <c r="C198" s="207">
        <v>1766</v>
      </c>
      <c r="D198" s="207">
        <v>1155</v>
      </c>
      <c r="E198" s="207">
        <v>42</v>
      </c>
      <c r="F198" s="207">
        <v>917</v>
      </c>
      <c r="G198" s="207">
        <v>22</v>
      </c>
      <c r="H198" s="199">
        <v>4046.9875272252025</v>
      </c>
      <c r="I198" s="199">
        <v>194.59247199999993</v>
      </c>
      <c r="J198" s="199">
        <v>1840.8444232478255</v>
      </c>
      <c r="K198" s="199">
        <v>48.64811799999999</v>
      </c>
      <c r="L198" s="199">
        <v>6131.0725404730119</v>
      </c>
      <c r="M198" s="208">
        <v>1.9617156357913171E-2</v>
      </c>
    </row>
    <row r="199" spans="1:13" x14ac:dyDescent="0.25">
      <c r="A199" s="201" t="s">
        <v>220</v>
      </c>
      <c r="B199" s="209">
        <v>1500</v>
      </c>
      <c r="C199" s="209">
        <v>1766</v>
      </c>
      <c r="D199" s="209">
        <v>1155</v>
      </c>
      <c r="E199" s="209">
        <v>42</v>
      </c>
      <c r="F199" s="209">
        <v>917</v>
      </c>
      <c r="G199" s="209">
        <v>22</v>
      </c>
      <c r="H199" s="202">
        <v>4046.9875272252025</v>
      </c>
      <c r="I199" s="202">
        <v>194.59247199999993</v>
      </c>
      <c r="J199" s="202">
        <v>1840.8444232478255</v>
      </c>
      <c r="K199" s="202">
        <v>48.64811799999999</v>
      </c>
      <c r="L199" s="202">
        <v>6131.0725404730119</v>
      </c>
      <c r="M199" s="210">
        <v>1.9617156357913171E-2</v>
      </c>
    </row>
    <row r="200" spans="1:13" x14ac:dyDescent="0.25">
      <c r="A200" s="198" t="s">
        <v>97</v>
      </c>
      <c r="B200" s="207">
        <v>905</v>
      </c>
      <c r="C200" s="207">
        <v>1711</v>
      </c>
      <c r="D200" s="207">
        <v>658</v>
      </c>
      <c r="E200" s="207">
        <v>31</v>
      </c>
      <c r="F200" s="207">
        <v>1099</v>
      </c>
      <c r="G200" s="207">
        <v>21</v>
      </c>
      <c r="H200" s="199">
        <v>2405.5402918288996</v>
      </c>
      <c r="I200" s="199">
        <v>145.26366800000002</v>
      </c>
      <c r="J200" s="199">
        <v>2007.0994075785934</v>
      </c>
      <c r="K200" s="199">
        <v>40.072736000000006</v>
      </c>
      <c r="L200" s="199">
        <v>4597.97610340747</v>
      </c>
      <c r="M200" s="208">
        <v>1.4711816824064817E-2</v>
      </c>
    </row>
    <row r="201" spans="1:13" x14ac:dyDescent="0.25">
      <c r="A201" s="201" t="s">
        <v>219</v>
      </c>
      <c r="B201" s="209">
        <v>905</v>
      </c>
      <c r="C201" s="209">
        <v>1711</v>
      </c>
      <c r="D201" s="209">
        <v>658</v>
      </c>
      <c r="E201" s="209">
        <v>31</v>
      </c>
      <c r="F201" s="209">
        <v>1099</v>
      </c>
      <c r="G201" s="209">
        <v>21</v>
      </c>
      <c r="H201" s="202">
        <v>2405.5402918288996</v>
      </c>
      <c r="I201" s="202">
        <v>145.26366800000002</v>
      </c>
      <c r="J201" s="202">
        <v>2007.0994075785934</v>
      </c>
      <c r="K201" s="202">
        <v>40.072736000000006</v>
      </c>
      <c r="L201" s="202">
        <v>4597.97610340747</v>
      </c>
      <c r="M201" s="210">
        <v>1.4711816824064817E-2</v>
      </c>
    </row>
    <row r="202" spans="1:13" x14ac:dyDescent="0.25">
      <c r="A202" s="198" t="s">
        <v>98</v>
      </c>
      <c r="B202" s="207">
        <v>2107</v>
      </c>
      <c r="C202" s="207">
        <v>3179</v>
      </c>
      <c r="D202" s="207">
        <v>1660</v>
      </c>
      <c r="E202" s="207">
        <v>74</v>
      </c>
      <c r="F202" s="207">
        <v>1835</v>
      </c>
      <c r="G202" s="207">
        <v>27</v>
      </c>
      <c r="H202" s="199">
        <v>6434.7126855185879</v>
      </c>
      <c r="I202" s="199">
        <v>332.51651399999997</v>
      </c>
      <c r="J202" s="199">
        <v>3556.1595047442443</v>
      </c>
      <c r="K202" s="199">
        <v>60.919056000000005</v>
      </c>
      <c r="L202" s="199">
        <v>10384.307760262684</v>
      </c>
      <c r="M202" s="208">
        <v>3.3225930317576695E-2</v>
      </c>
    </row>
    <row r="203" spans="1:13" x14ac:dyDescent="0.25">
      <c r="A203" s="201" t="s">
        <v>218</v>
      </c>
      <c r="B203" s="209">
        <v>2107</v>
      </c>
      <c r="C203" s="209">
        <v>3179</v>
      </c>
      <c r="D203" s="209">
        <v>1660</v>
      </c>
      <c r="E203" s="209">
        <v>74</v>
      </c>
      <c r="F203" s="209">
        <v>1835</v>
      </c>
      <c r="G203" s="209">
        <v>27</v>
      </c>
      <c r="H203" s="202">
        <v>6434.7126855185879</v>
      </c>
      <c r="I203" s="202">
        <v>332.51651399999997</v>
      </c>
      <c r="J203" s="202">
        <v>3556.1595047442443</v>
      </c>
      <c r="K203" s="202">
        <v>60.919056000000005</v>
      </c>
      <c r="L203" s="202">
        <v>10384.307760262684</v>
      </c>
      <c r="M203" s="210">
        <v>3.3225930317576695E-2</v>
      </c>
    </row>
    <row r="204" spans="1:13" x14ac:dyDescent="0.25">
      <c r="A204" s="198" t="s">
        <v>99</v>
      </c>
      <c r="B204" s="207">
        <v>1808</v>
      </c>
      <c r="C204" s="207">
        <v>2407</v>
      </c>
      <c r="D204" s="207">
        <v>1373</v>
      </c>
      <c r="E204" s="207">
        <v>74</v>
      </c>
      <c r="F204" s="207">
        <v>1391</v>
      </c>
      <c r="G204" s="207">
        <v>28</v>
      </c>
      <c r="H204" s="199">
        <v>5411.428204002953</v>
      </c>
      <c r="I204" s="199">
        <v>367.75166999999988</v>
      </c>
      <c r="J204" s="199">
        <v>2813.3980575706132</v>
      </c>
      <c r="K204" s="199">
        <v>65.57809499999999</v>
      </c>
      <c r="L204" s="199">
        <v>8658.1560265736007</v>
      </c>
      <c r="M204" s="208">
        <v>2.7702885494060515E-2</v>
      </c>
    </row>
    <row r="205" spans="1:13" x14ac:dyDescent="0.25">
      <c r="A205" s="201" t="s">
        <v>217</v>
      </c>
      <c r="B205" s="209">
        <v>1808</v>
      </c>
      <c r="C205" s="209">
        <v>2407</v>
      </c>
      <c r="D205" s="209">
        <v>1373</v>
      </c>
      <c r="E205" s="209">
        <v>74</v>
      </c>
      <c r="F205" s="209">
        <v>1391</v>
      </c>
      <c r="G205" s="209">
        <v>28</v>
      </c>
      <c r="H205" s="202">
        <v>5411.428204002953</v>
      </c>
      <c r="I205" s="202">
        <v>367.75166999999988</v>
      </c>
      <c r="J205" s="202">
        <v>2813.3980575706132</v>
      </c>
      <c r="K205" s="202">
        <v>65.57809499999999</v>
      </c>
      <c r="L205" s="202">
        <v>8658.1560265736007</v>
      </c>
      <c r="M205" s="210">
        <v>2.7702885494060515E-2</v>
      </c>
    </row>
    <row r="206" spans="1:13" x14ac:dyDescent="0.25">
      <c r="A206" s="198" t="s">
        <v>100</v>
      </c>
      <c r="B206" s="207">
        <v>717</v>
      </c>
      <c r="C206" s="207">
        <v>1419</v>
      </c>
      <c r="D206" s="207">
        <v>585</v>
      </c>
      <c r="E206" s="207">
        <v>17</v>
      </c>
      <c r="F206" s="207">
        <v>806</v>
      </c>
      <c r="G206" s="207">
        <v>12</v>
      </c>
      <c r="H206" s="199">
        <v>2268.7891630303811</v>
      </c>
      <c r="I206" s="199">
        <v>80.261789999999991</v>
      </c>
      <c r="J206" s="199">
        <v>1547.4903252404754</v>
      </c>
      <c r="K206" s="199">
        <v>22.007265</v>
      </c>
      <c r="L206" s="199">
        <v>3918.5485432708556</v>
      </c>
      <c r="M206" s="208">
        <v>1.2537900825992623E-2</v>
      </c>
    </row>
    <row r="207" spans="1:13" x14ac:dyDescent="0.25">
      <c r="A207" s="201" t="s">
        <v>216</v>
      </c>
      <c r="B207" s="209">
        <v>717</v>
      </c>
      <c r="C207" s="209">
        <v>1419</v>
      </c>
      <c r="D207" s="209">
        <v>585</v>
      </c>
      <c r="E207" s="209">
        <v>17</v>
      </c>
      <c r="F207" s="209">
        <v>806</v>
      </c>
      <c r="G207" s="209">
        <v>12</v>
      </c>
      <c r="H207" s="202">
        <v>2268.7891630303811</v>
      </c>
      <c r="I207" s="202">
        <v>80.261789999999991</v>
      </c>
      <c r="J207" s="202">
        <v>1547.4903252404754</v>
      </c>
      <c r="K207" s="202">
        <v>22.007265</v>
      </c>
      <c r="L207" s="202">
        <v>3918.5485432708556</v>
      </c>
      <c r="M207" s="210">
        <v>1.2537900825992623E-2</v>
      </c>
    </row>
    <row r="208" spans="1:13" x14ac:dyDescent="0.25">
      <c r="A208" s="198" t="s">
        <v>101</v>
      </c>
      <c r="B208" s="207">
        <v>6</v>
      </c>
      <c r="C208" s="207">
        <v>30</v>
      </c>
      <c r="D208" s="207">
        <v>6</v>
      </c>
      <c r="E208" s="207"/>
      <c r="F208" s="207">
        <v>10</v>
      </c>
      <c r="G208" s="207">
        <v>1</v>
      </c>
      <c r="H208" s="199">
        <v>45.488627580987291</v>
      </c>
      <c r="I208" s="199"/>
      <c r="J208" s="199">
        <v>37.907189650822744</v>
      </c>
      <c r="K208" s="199">
        <v>3.789472</v>
      </c>
      <c r="L208" s="199">
        <v>87.185289231810046</v>
      </c>
      <c r="M208" s="208">
        <v>2.7896056353597632E-4</v>
      </c>
    </row>
    <row r="209" spans="1:13" x14ac:dyDescent="0.25">
      <c r="A209" s="201" t="s">
        <v>213</v>
      </c>
      <c r="B209" s="209">
        <v>6</v>
      </c>
      <c r="C209" s="209">
        <v>30</v>
      </c>
      <c r="D209" s="209">
        <v>6</v>
      </c>
      <c r="E209" s="209"/>
      <c r="F209" s="209">
        <v>10</v>
      </c>
      <c r="G209" s="209">
        <v>1</v>
      </c>
      <c r="H209" s="202">
        <v>45.488627580987291</v>
      </c>
      <c r="I209" s="202"/>
      <c r="J209" s="202">
        <v>37.907189650822744</v>
      </c>
      <c r="K209" s="202">
        <v>3.789472</v>
      </c>
      <c r="L209" s="202">
        <v>87.185289231810046</v>
      </c>
      <c r="M209" s="210">
        <v>2.7896056353597632E-4</v>
      </c>
    </row>
    <row r="210" spans="1:13" ht="24" x14ac:dyDescent="0.25">
      <c r="A210" s="198" t="s">
        <v>130</v>
      </c>
      <c r="B210" s="207">
        <v>9</v>
      </c>
      <c r="C210" s="207">
        <v>19</v>
      </c>
      <c r="D210" s="207">
        <v>9</v>
      </c>
      <c r="E210" s="207"/>
      <c r="F210" s="207">
        <v>16</v>
      </c>
      <c r="G210" s="207"/>
      <c r="H210" s="199">
        <v>18.672808460138111</v>
      </c>
      <c r="I210" s="199"/>
      <c r="J210" s="199">
        <v>16.598051964567208</v>
      </c>
      <c r="K210" s="199"/>
      <c r="L210" s="199">
        <v>35.270860424705326</v>
      </c>
      <c r="M210" s="208">
        <v>1.1285366129042652E-4</v>
      </c>
    </row>
    <row r="211" spans="1:13" x14ac:dyDescent="0.25">
      <c r="A211" s="201" t="s">
        <v>212</v>
      </c>
      <c r="B211" s="209">
        <v>9</v>
      </c>
      <c r="C211" s="209">
        <v>19</v>
      </c>
      <c r="D211" s="209">
        <v>9</v>
      </c>
      <c r="E211" s="209"/>
      <c r="F211" s="209">
        <v>16</v>
      </c>
      <c r="G211" s="209"/>
      <c r="H211" s="202">
        <v>18.672808460138111</v>
      </c>
      <c r="I211" s="202"/>
      <c r="J211" s="202">
        <v>16.598051964567208</v>
      </c>
      <c r="K211" s="202"/>
      <c r="L211" s="202">
        <v>35.270860424705326</v>
      </c>
      <c r="M211" s="210">
        <v>1.1285366129042652E-4</v>
      </c>
    </row>
    <row r="212" spans="1:13" ht="24" x14ac:dyDescent="0.25">
      <c r="A212" s="198" t="s">
        <v>468</v>
      </c>
      <c r="B212" s="207">
        <v>27</v>
      </c>
      <c r="C212" s="207">
        <v>99</v>
      </c>
      <c r="D212" s="207">
        <v>17</v>
      </c>
      <c r="E212" s="207">
        <v>3</v>
      </c>
      <c r="F212" s="207">
        <v>44</v>
      </c>
      <c r="G212" s="207">
        <v>2</v>
      </c>
      <c r="H212" s="199">
        <v>90.947436836528766</v>
      </c>
      <c r="I212" s="199">
        <v>20.16</v>
      </c>
      <c r="J212" s="199">
        <v>122.94746090864071</v>
      </c>
      <c r="K212" s="199">
        <v>6.72</v>
      </c>
      <c r="L212" s="199">
        <v>240.77489774516951</v>
      </c>
      <c r="M212" s="208">
        <v>7.7039030038342075E-4</v>
      </c>
    </row>
    <row r="213" spans="1:13" x14ac:dyDescent="0.25">
      <c r="A213" s="201" t="s">
        <v>211</v>
      </c>
      <c r="B213" s="209">
        <v>27</v>
      </c>
      <c r="C213" s="209">
        <v>99</v>
      </c>
      <c r="D213" s="209">
        <v>17</v>
      </c>
      <c r="E213" s="209">
        <v>3</v>
      </c>
      <c r="F213" s="209">
        <v>44</v>
      </c>
      <c r="G213" s="209">
        <v>2</v>
      </c>
      <c r="H213" s="202">
        <v>90.947436836528766</v>
      </c>
      <c r="I213" s="202">
        <v>20.16</v>
      </c>
      <c r="J213" s="202">
        <v>122.94746090864071</v>
      </c>
      <c r="K213" s="202">
        <v>6.72</v>
      </c>
      <c r="L213" s="202">
        <v>240.77489774516951</v>
      </c>
      <c r="M213" s="210">
        <v>7.7039030038342075E-4</v>
      </c>
    </row>
    <row r="214" spans="1:13" ht="24" x14ac:dyDescent="0.25">
      <c r="A214" s="198" t="s">
        <v>103</v>
      </c>
      <c r="B214" s="207">
        <v>156</v>
      </c>
      <c r="C214" s="207">
        <v>150</v>
      </c>
      <c r="D214" s="207">
        <v>132</v>
      </c>
      <c r="E214" s="207">
        <v>7</v>
      </c>
      <c r="F214" s="207">
        <v>119</v>
      </c>
      <c r="G214" s="207">
        <v>2</v>
      </c>
      <c r="H214" s="199">
        <v>351.4079704007774</v>
      </c>
      <c r="I214" s="199">
        <v>26.512631999999996</v>
      </c>
      <c r="J214" s="199">
        <v>193.38488937149702</v>
      </c>
      <c r="K214" s="199">
        <v>3.3140789999999996</v>
      </c>
      <c r="L214" s="199">
        <v>574.61957077227567</v>
      </c>
      <c r="M214" s="208">
        <v>1.8385693354212084E-3</v>
      </c>
    </row>
    <row r="215" spans="1:13" x14ac:dyDescent="0.25">
      <c r="A215" s="201" t="s">
        <v>210</v>
      </c>
      <c r="B215" s="209">
        <v>156</v>
      </c>
      <c r="C215" s="209">
        <v>150</v>
      </c>
      <c r="D215" s="209">
        <v>132</v>
      </c>
      <c r="E215" s="209">
        <v>7</v>
      </c>
      <c r="F215" s="209">
        <v>119</v>
      </c>
      <c r="G215" s="209">
        <v>2</v>
      </c>
      <c r="H215" s="202">
        <v>351.4079704007774</v>
      </c>
      <c r="I215" s="202">
        <v>26.512631999999996</v>
      </c>
      <c r="J215" s="202">
        <v>193.38488937149702</v>
      </c>
      <c r="K215" s="202">
        <v>3.3140789999999996</v>
      </c>
      <c r="L215" s="202">
        <v>574.61957077227567</v>
      </c>
      <c r="M215" s="210">
        <v>1.8385693354212084E-3</v>
      </c>
    </row>
    <row r="216" spans="1:13" x14ac:dyDescent="0.25">
      <c r="A216" s="198" t="s">
        <v>104</v>
      </c>
      <c r="B216" s="207">
        <v>209</v>
      </c>
      <c r="C216" s="207">
        <v>55</v>
      </c>
      <c r="D216" s="207">
        <v>188</v>
      </c>
      <c r="E216" s="207"/>
      <c r="F216" s="207">
        <v>53</v>
      </c>
      <c r="G216" s="207"/>
      <c r="H216" s="199">
        <v>425.4160595194179</v>
      </c>
      <c r="I216" s="199"/>
      <c r="J216" s="199">
        <v>60.626926356631976</v>
      </c>
      <c r="K216" s="199"/>
      <c r="L216" s="199">
        <v>486.04298587605024</v>
      </c>
      <c r="M216" s="208">
        <v>1.5551571421893262E-3</v>
      </c>
    </row>
    <row r="217" spans="1:13" x14ac:dyDescent="0.25">
      <c r="A217" s="201" t="s">
        <v>209</v>
      </c>
      <c r="B217" s="209">
        <v>209</v>
      </c>
      <c r="C217" s="209">
        <v>55</v>
      </c>
      <c r="D217" s="209">
        <v>188</v>
      </c>
      <c r="E217" s="209"/>
      <c r="F217" s="209">
        <v>53</v>
      </c>
      <c r="G217" s="209"/>
      <c r="H217" s="202">
        <v>425.4160595194179</v>
      </c>
      <c r="I217" s="202"/>
      <c r="J217" s="202">
        <v>60.626926356631976</v>
      </c>
      <c r="K217" s="202"/>
      <c r="L217" s="202">
        <v>486.04298587605024</v>
      </c>
      <c r="M217" s="210">
        <v>1.5551571421893262E-3</v>
      </c>
    </row>
    <row r="218" spans="1:13" x14ac:dyDescent="0.25">
      <c r="A218" s="198" t="s">
        <v>434</v>
      </c>
      <c r="B218" s="207">
        <v>590</v>
      </c>
      <c r="C218" s="207">
        <v>601</v>
      </c>
      <c r="D218" s="207">
        <v>483</v>
      </c>
      <c r="E218" s="207">
        <v>7</v>
      </c>
      <c r="F218" s="207">
        <v>456</v>
      </c>
      <c r="G218" s="207">
        <v>11</v>
      </c>
      <c r="H218" s="199">
        <v>1150.6484816178722</v>
      </c>
      <c r="I218" s="199">
        <v>23.994498000000004</v>
      </c>
      <c r="J218" s="199">
        <v>567.97520853582944</v>
      </c>
      <c r="K218" s="199">
        <v>17.450544000000004</v>
      </c>
      <c r="L218" s="199">
        <v>1760.0687321537112</v>
      </c>
      <c r="M218" s="208">
        <v>5.6315666290696915E-3</v>
      </c>
    </row>
    <row r="219" spans="1:13" x14ac:dyDescent="0.25">
      <c r="A219" s="201" t="s">
        <v>208</v>
      </c>
      <c r="B219" s="209">
        <v>590</v>
      </c>
      <c r="C219" s="209">
        <v>601</v>
      </c>
      <c r="D219" s="209">
        <v>483</v>
      </c>
      <c r="E219" s="209">
        <v>7</v>
      </c>
      <c r="F219" s="209">
        <v>456</v>
      </c>
      <c r="G219" s="209">
        <v>11</v>
      </c>
      <c r="H219" s="202">
        <v>1150.6484816178722</v>
      </c>
      <c r="I219" s="202">
        <v>23.994498000000004</v>
      </c>
      <c r="J219" s="202">
        <v>567.97520853582944</v>
      </c>
      <c r="K219" s="202">
        <v>17.450544000000004</v>
      </c>
      <c r="L219" s="202">
        <v>1760.0687321537112</v>
      </c>
      <c r="M219" s="210">
        <v>5.6315666290696915E-3</v>
      </c>
    </row>
    <row r="220" spans="1:13" x14ac:dyDescent="0.25">
      <c r="A220" s="198" t="s">
        <v>105</v>
      </c>
      <c r="B220" s="207">
        <v>150</v>
      </c>
      <c r="C220" s="207">
        <v>251</v>
      </c>
      <c r="D220" s="207">
        <v>90</v>
      </c>
      <c r="E220" s="207">
        <v>10</v>
      </c>
      <c r="F220" s="207">
        <v>119</v>
      </c>
      <c r="G220" s="207">
        <v>7</v>
      </c>
      <c r="H220" s="199">
        <v>460.97861050232757</v>
      </c>
      <c r="I220" s="199">
        <v>57.697839999999999</v>
      </c>
      <c r="J220" s="199">
        <v>287.41738666862</v>
      </c>
      <c r="K220" s="199">
        <v>20.194243999999998</v>
      </c>
      <c r="L220" s="199">
        <v>826.28808117094775</v>
      </c>
      <c r="M220" s="208">
        <v>2.6438151527334525E-3</v>
      </c>
    </row>
    <row r="221" spans="1:13" x14ac:dyDescent="0.25">
      <c r="A221" s="201" t="s">
        <v>207</v>
      </c>
      <c r="B221" s="209">
        <v>150</v>
      </c>
      <c r="C221" s="209">
        <v>251</v>
      </c>
      <c r="D221" s="209">
        <v>90</v>
      </c>
      <c r="E221" s="209">
        <v>10</v>
      </c>
      <c r="F221" s="209">
        <v>119</v>
      </c>
      <c r="G221" s="209">
        <v>7</v>
      </c>
      <c r="H221" s="202">
        <v>460.97861050232757</v>
      </c>
      <c r="I221" s="202">
        <v>57.697839999999999</v>
      </c>
      <c r="J221" s="202">
        <v>287.41738666862</v>
      </c>
      <c r="K221" s="202">
        <v>20.194243999999998</v>
      </c>
      <c r="L221" s="202">
        <v>826.28808117094775</v>
      </c>
      <c r="M221" s="210">
        <v>2.6438151527334525E-3</v>
      </c>
    </row>
    <row r="222" spans="1:13" ht="24" x14ac:dyDescent="0.25">
      <c r="A222" s="198" t="s">
        <v>106</v>
      </c>
      <c r="B222" s="207">
        <v>289</v>
      </c>
      <c r="C222" s="207">
        <v>472</v>
      </c>
      <c r="D222" s="207">
        <v>181</v>
      </c>
      <c r="E222" s="207">
        <v>38</v>
      </c>
      <c r="F222" s="207">
        <v>263</v>
      </c>
      <c r="G222" s="207">
        <v>18</v>
      </c>
      <c r="H222" s="199">
        <v>883.76617676731496</v>
      </c>
      <c r="I222" s="199">
        <v>206.41950000000003</v>
      </c>
      <c r="J222" s="199">
        <v>616.70910777532299</v>
      </c>
      <c r="K222" s="199">
        <v>48.164549999999998</v>
      </c>
      <c r="L222" s="199">
        <v>1755.0593345426387</v>
      </c>
      <c r="M222" s="208">
        <v>5.615538416135225E-3</v>
      </c>
    </row>
    <row r="223" spans="1:13" x14ac:dyDescent="0.25">
      <c r="A223" s="201" t="s">
        <v>206</v>
      </c>
      <c r="B223" s="209">
        <v>289</v>
      </c>
      <c r="C223" s="209">
        <v>472</v>
      </c>
      <c r="D223" s="209">
        <v>181</v>
      </c>
      <c r="E223" s="209">
        <v>38</v>
      </c>
      <c r="F223" s="209">
        <v>263</v>
      </c>
      <c r="G223" s="209">
        <v>18</v>
      </c>
      <c r="H223" s="202">
        <v>883.76617676731496</v>
      </c>
      <c r="I223" s="202">
        <v>206.41950000000003</v>
      </c>
      <c r="J223" s="202">
        <v>616.70910777532299</v>
      </c>
      <c r="K223" s="202">
        <v>48.164549999999998</v>
      </c>
      <c r="L223" s="202">
        <v>1755.0593345426387</v>
      </c>
      <c r="M223" s="210">
        <v>5.615538416135225E-3</v>
      </c>
    </row>
    <row r="224" spans="1:13" ht="24" x14ac:dyDescent="0.25">
      <c r="A224" s="198" t="s">
        <v>107</v>
      </c>
      <c r="B224" s="207">
        <v>508</v>
      </c>
      <c r="C224" s="207">
        <v>879</v>
      </c>
      <c r="D224" s="207">
        <v>420</v>
      </c>
      <c r="E224" s="207">
        <v>43</v>
      </c>
      <c r="F224" s="207">
        <v>624</v>
      </c>
      <c r="G224" s="207">
        <v>15</v>
      </c>
      <c r="H224" s="199">
        <v>1431.8231221795818</v>
      </c>
      <c r="I224" s="199">
        <v>205.39195999999998</v>
      </c>
      <c r="J224" s="199">
        <v>1059.6401643475306</v>
      </c>
      <c r="K224" s="199">
        <v>35.037452000000002</v>
      </c>
      <c r="L224" s="199">
        <v>2731.8926985271096</v>
      </c>
      <c r="M224" s="208">
        <v>8.741042593489368E-3</v>
      </c>
    </row>
    <row r="225" spans="1:13" x14ac:dyDescent="0.25">
      <c r="A225" s="201" t="s">
        <v>205</v>
      </c>
      <c r="B225" s="209">
        <v>508</v>
      </c>
      <c r="C225" s="209">
        <v>879</v>
      </c>
      <c r="D225" s="209">
        <v>420</v>
      </c>
      <c r="E225" s="209">
        <v>43</v>
      </c>
      <c r="F225" s="209">
        <v>624</v>
      </c>
      <c r="G225" s="209">
        <v>15</v>
      </c>
      <c r="H225" s="202">
        <v>1431.8231221795818</v>
      </c>
      <c r="I225" s="202">
        <v>205.39195999999998</v>
      </c>
      <c r="J225" s="202">
        <v>1059.6401643475306</v>
      </c>
      <c r="K225" s="202">
        <v>35.037452000000002</v>
      </c>
      <c r="L225" s="202">
        <v>2731.8926985271096</v>
      </c>
      <c r="M225" s="210">
        <v>8.741042593489368E-3</v>
      </c>
    </row>
    <row r="226" spans="1:13" x14ac:dyDescent="0.25">
      <c r="A226" s="198" t="s">
        <v>108</v>
      </c>
      <c r="B226" s="207">
        <v>1110</v>
      </c>
      <c r="C226" s="207">
        <v>1821</v>
      </c>
      <c r="D226" s="207">
        <v>935</v>
      </c>
      <c r="E226" s="207">
        <v>16</v>
      </c>
      <c r="F226" s="207">
        <v>1357</v>
      </c>
      <c r="G226" s="207">
        <v>23</v>
      </c>
      <c r="H226" s="199">
        <v>2564.2498559705259</v>
      </c>
      <c r="I226" s="199">
        <v>47.977643999999998</v>
      </c>
      <c r="J226" s="199">
        <v>1933.4660306410665</v>
      </c>
      <c r="K226" s="199">
        <v>38.164034999999998</v>
      </c>
      <c r="L226" s="199">
        <v>4583.8575656115745</v>
      </c>
      <c r="M226" s="208">
        <v>1.4666642743729141E-2</v>
      </c>
    </row>
    <row r="227" spans="1:13" x14ac:dyDescent="0.25">
      <c r="A227" s="201" t="s">
        <v>204</v>
      </c>
      <c r="B227" s="209">
        <v>1110</v>
      </c>
      <c r="C227" s="209">
        <v>1821</v>
      </c>
      <c r="D227" s="209">
        <v>935</v>
      </c>
      <c r="E227" s="209">
        <v>16</v>
      </c>
      <c r="F227" s="209">
        <v>1357</v>
      </c>
      <c r="G227" s="209">
        <v>23</v>
      </c>
      <c r="H227" s="202">
        <v>2564.2498559705259</v>
      </c>
      <c r="I227" s="202">
        <v>47.977643999999998</v>
      </c>
      <c r="J227" s="202">
        <v>1933.4660306410665</v>
      </c>
      <c r="K227" s="202">
        <v>38.164034999999998</v>
      </c>
      <c r="L227" s="202">
        <v>4583.8575656115745</v>
      </c>
      <c r="M227" s="210">
        <v>1.4666642743729141E-2</v>
      </c>
    </row>
    <row r="228" spans="1:13" x14ac:dyDescent="0.25">
      <c r="A228" s="198" t="s">
        <v>109</v>
      </c>
      <c r="B228" s="207">
        <v>2882</v>
      </c>
      <c r="C228" s="207">
        <v>5381</v>
      </c>
      <c r="D228" s="207">
        <v>2160</v>
      </c>
      <c r="E228" s="207">
        <v>121</v>
      </c>
      <c r="F228" s="207">
        <v>2888</v>
      </c>
      <c r="G228" s="207">
        <v>68</v>
      </c>
      <c r="H228" s="199">
        <v>9157.1365857199416</v>
      </c>
      <c r="I228" s="199">
        <v>620.42996400000004</v>
      </c>
      <c r="J228" s="199">
        <v>6229.5712366473917</v>
      </c>
      <c r="K228" s="199">
        <v>163.83648400000013</v>
      </c>
      <c r="L228" s="199">
        <v>16170.974270367165</v>
      </c>
      <c r="M228" s="208">
        <v>5.1741115217193205E-2</v>
      </c>
    </row>
    <row r="229" spans="1:13" x14ac:dyDescent="0.25">
      <c r="A229" s="201" t="s">
        <v>203</v>
      </c>
      <c r="B229" s="209">
        <v>2882</v>
      </c>
      <c r="C229" s="209">
        <v>5381</v>
      </c>
      <c r="D229" s="209">
        <v>2160</v>
      </c>
      <c r="E229" s="209">
        <v>121</v>
      </c>
      <c r="F229" s="209">
        <v>2888</v>
      </c>
      <c r="G229" s="209">
        <v>68</v>
      </c>
      <c r="H229" s="202">
        <v>9157.1365857199416</v>
      </c>
      <c r="I229" s="202">
        <v>620.42996400000004</v>
      </c>
      <c r="J229" s="202">
        <v>6229.5712366473917</v>
      </c>
      <c r="K229" s="202">
        <v>163.83648400000013</v>
      </c>
      <c r="L229" s="202">
        <v>16170.974270367165</v>
      </c>
      <c r="M229" s="210">
        <v>5.1741115217193205E-2</v>
      </c>
    </row>
    <row r="230" spans="1:13" x14ac:dyDescent="0.25">
      <c r="A230" s="198" t="s">
        <v>110</v>
      </c>
      <c r="B230" s="207">
        <v>22</v>
      </c>
      <c r="C230" s="207">
        <v>37</v>
      </c>
      <c r="D230" s="207">
        <v>9</v>
      </c>
      <c r="E230" s="207">
        <v>7</v>
      </c>
      <c r="F230" s="207">
        <v>15</v>
      </c>
      <c r="G230" s="207">
        <v>10</v>
      </c>
      <c r="H230" s="199">
        <v>32.385693607784418</v>
      </c>
      <c r="I230" s="199">
        <v>25.106380000000001</v>
      </c>
      <c r="J230" s="199">
        <v>31.140090007485018</v>
      </c>
      <c r="K230" s="199">
        <v>22.595742000000001</v>
      </c>
      <c r="L230" s="199">
        <v>111.22790561526944</v>
      </c>
      <c r="M230" s="208">
        <v>3.5588801166746751E-4</v>
      </c>
    </row>
    <row r="231" spans="1:13" x14ac:dyDescent="0.25">
      <c r="A231" s="201" t="s">
        <v>202</v>
      </c>
      <c r="B231" s="209">
        <v>22</v>
      </c>
      <c r="C231" s="209">
        <v>37</v>
      </c>
      <c r="D231" s="209">
        <v>9</v>
      </c>
      <c r="E231" s="209">
        <v>7</v>
      </c>
      <c r="F231" s="209">
        <v>15</v>
      </c>
      <c r="G231" s="209">
        <v>10</v>
      </c>
      <c r="H231" s="202">
        <v>32.385693607784418</v>
      </c>
      <c r="I231" s="202">
        <v>25.106380000000001</v>
      </c>
      <c r="J231" s="202">
        <v>31.140090007485018</v>
      </c>
      <c r="K231" s="202">
        <v>22.595742000000001</v>
      </c>
      <c r="L231" s="202">
        <v>111.22790561526944</v>
      </c>
      <c r="M231" s="210">
        <v>3.5588801166746751E-4</v>
      </c>
    </row>
    <row r="232" spans="1:13" x14ac:dyDescent="0.25">
      <c r="A232" s="198" t="s">
        <v>111</v>
      </c>
      <c r="B232" s="207">
        <v>32</v>
      </c>
      <c r="C232" s="207">
        <v>65</v>
      </c>
      <c r="D232" s="207">
        <v>21</v>
      </c>
      <c r="E232" s="207">
        <v>5</v>
      </c>
      <c r="F232" s="207">
        <v>46</v>
      </c>
      <c r="G232" s="207">
        <v>4</v>
      </c>
      <c r="H232" s="199">
        <v>80.082586558150112</v>
      </c>
      <c r="I232" s="199">
        <v>22.823520000000002</v>
      </c>
      <c r="J232" s="199">
        <v>86.946808263134415</v>
      </c>
      <c r="K232" s="199">
        <v>5.7058800000000005</v>
      </c>
      <c r="L232" s="199">
        <v>195.55879482128455</v>
      </c>
      <c r="M232" s="208">
        <v>6.257155546357683E-4</v>
      </c>
    </row>
    <row r="233" spans="1:13" x14ac:dyDescent="0.25">
      <c r="A233" s="201" t="s">
        <v>201</v>
      </c>
      <c r="B233" s="209">
        <v>32</v>
      </c>
      <c r="C233" s="209">
        <v>65</v>
      </c>
      <c r="D233" s="209">
        <v>21</v>
      </c>
      <c r="E233" s="209">
        <v>5</v>
      </c>
      <c r="F233" s="209">
        <v>46</v>
      </c>
      <c r="G233" s="209">
        <v>4</v>
      </c>
      <c r="H233" s="202">
        <v>80.082586558150112</v>
      </c>
      <c r="I233" s="202">
        <v>22.823520000000002</v>
      </c>
      <c r="J233" s="202">
        <v>86.946808263134415</v>
      </c>
      <c r="K233" s="202">
        <v>5.7058800000000005</v>
      </c>
      <c r="L233" s="202">
        <v>195.55879482128455</v>
      </c>
      <c r="M233" s="210">
        <v>6.257155546357683E-4</v>
      </c>
    </row>
    <row r="234" spans="1:13" x14ac:dyDescent="0.25">
      <c r="A234" s="198" t="s">
        <v>112</v>
      </c>
      <c r="B234" s="207">
        <v>55</v>
      </c>
      <c r="C234" s="207">
        <v>210</v>
      </c>
      <c r="D234" s="207">
        <v>23</v>
      </c>
      <c r="E234" s="207">
        <v>7</v>
      </c>
      <c r="F234" s="207">
        <v>54</v>
      </c>
      <c r="G234" s="207">
        <v>1</v>
      </c>
      <c r="H234" s="199">
        <v>186.16487330276894</v>
      </c>
      <c r="I234" s="199">
        <v>61.833323999999998</v>
      </c>
      <c r="J234" s="199">
        <v>172.86738235257116</v>
      </c>
      <c r="K234" s="199">
        <v>4.4166660000000002</v>
      </c>
      <c r="L234" s="199">
        <v>425.28224565534003</v>
      </c>
      <c r="M234" s="208">
        <v>1.3607453270519608E-3</v>
      </c>
    </row>
    <row r="235" spans="1:13" x14ac:dyDescent="0.25">
      <c r="A235" s="201" t="s">
        <v>197</v>
      </c>
      <c r="B235" s="209">
        <v>55</v>
      </c>
      <c r="C235" s="209">
        <v>210</v>
      </c>
      <c r="D235" s="209">
        <v>23</v>
      </c>
      <c r="E235" s="209">
        <v>7</v>
      </c>
      <c r="F235" s="209">
        <v>54</v>
      </c>
      <c r="G235" s="209">
        <v>1</v>
      </c>
      <c r="H235" s="202">
        <v>186.16487330276894</v>
      </c>
      <c r="I235" s="202">
        <v>61.833323999999998</v>
      </c>
      <c r="J235" s="202">
        <v>172.86738235257116</v>
      </c>
      <c r="K235" s="202">
        <v>4.4166660000000002</v>
      </c>
      <c r="L235" s="202">
        <v>425.28224565534003</v>
      </c>
      <c r="M235" s="210">
        <v>1.3607453270519608E-3</v>
      </c>
    </row>
    <row r="236" spans="1:13" x14ac:dyDescent="0.25">
      <c r="A236" s="198" t="s">
        <v>113</v>
      </c>
      <c r="B236" s="207"/>
      <c r="C236" s="207">
        <v>34</v>
      </c>
      <c r="D236" s="207"/>
      <c r="E236" s="207"/>
      <c r="F236" s="207">
        <v>20</v>
      </c>
      <c r="G236" s="207">
        <v>3</v>
      </c>
      <c r="H236" s="199"/>
      <c r="I236" s="199"/>
      <c r="J236" s="199">
        <v>33.055560323264913</v>
      </c>
      <c r="K236" s="199">
        <v>5.3125</v>
      </c>
      <c r="L236" s="199">
        <v>38.368060323264913</v>
      </c>
      <c r="M236" s="208">
        <v>1.2276355132690434E-4</v>
      </c>
    </row>
    <row r="237" spans="1:13" x14ac:dyDescent="0.25">
      <c r="A237" s="201" t="s">
        <v>198</v>
      </c>
      <c r="B237" s="209"/>
      <c r="C237" s="209">
        <v>34</v>
      </c>
      <c r="D237" s="209"/>
      <c r="E237" s="209"/>
      <c r="F237" s="209">
        <v>20</v>
      </c>
      <c r="G237" s="209">
        <v>3</v>
      </c>
      <c r="H237" s="202"/>
      <c r="I237" s="202"/>
      <c r="J237" s="202">
        <v>33.055560323264913</v>
      </c>
      <c r="K237" s="202">
        <v>5.3125</v>
      </c>
      <c r="L237" s="202">
        <v>38.368060323264913</v>
      </c>
      <c r="M237" s="210">
        <v>1.2276355132690434E-4</v>
      </c>
    </row>
    <row r="238" spans="1:13" x14ac:dyDescent="0.25">
      <c r="A238" s="198" t="s">
        <v>114</v>
      </c>
      <c r="B238" s="207">
        <v>492</v>
      </c>
      <c r="C238" s="207">
        <v>801</v>
      </c>
      <c r="D238" s="207">
        <v>377</v>
      </c>
      <c r="E238" s="207">
        <v>7</v>
      </c>
      <c r="F238" s="207">
        <v>555</v>
      </c>
      <c r="G238" s="207">
        <v>12</v>
      </c>
      <c r="H238" s="199">
        <v>1134.0398765348125</v>
      </c>
      <c r="I238" s="199">
        <v>29.006015999999999</v>
      </c>
      <c r="J238" s="199">
        <v>793.82791357436952</v>
      </c>
      <c r="K238" s="199">
        <v>17.849855999999999</v>
      </c>
      <c r="L238" s="199">
        <v>1974.7236621091897</v>
      </c>
      <c r="M238" s="208">
        <v>6.3183827279065605E-3</v>
      </c>
    </row>
    <row r="239" spans="1:13" x14ac:dyDescent="0.25">
      <c r="A239" s="201" t="s">
        <v>195</v>
      </c>
      <c r="B239" s="209">
        <v>492</v>
      </c>
      <c r="C239" s="209">
        <v>801</v>
      </c>
      <c r="D239" s="209">
        <v>377</v>
      </c>
      <c r="E239" s="209">
        <v>7</v>
      </c>
      <c r="F239" s="209">
        <v>555</v>
      </c>
      <c r="G239" s="209">
        <v>12</v>
      </c>
      <c r="H239" s="202">
        <v>1134.0398765348125</v>
      </c>
      <c r="I239" s="202">
        <v>29.006015999999999</v>
      </c>
      <c r="J239" s="202">
        <v>793.82791357436952</v>
      </c>
      <c r="K239" s="202">
        <v>17.849855999999999</v>
      </c>
      <c r="L239" s="202">
        <v>1974.7236621091897</v>
      </c>
      <c r="M239" s="210">
        <v>6.3183827279065605E-3</v>
      </c>
    </row>
    <row r="240" spans="1:13" x14ac:dyDescent="0.25">
      <c r="A240" s="198" t="s">
        <v>115</v>
      </c>
      <c r="B240" s="207">
        <v>71</v>
      </c>
      <c r="C240" s="207">
        <v>209</v>
      </c>
      <c r="D240" s="207">
        <v>45</v>
      </c>
      <c r="E240" s="207">
        <v>1</v>
      </c>
      <c r="F240" s="207">
        <v>92</v>
      </c>
      <c r="G240" s="207">
        <v>2</v>
      </c>
      <c r="H240" s="199">
        <v>198.39361499647055</v>
      </c>
      <c r="I240" s="199">
        <v>5.7435879999999999</v>
      </c>
      <c r="J240" s="199">
        <v>191.30812874659642</v>
      </c>
      <c r="K240" s="199">
        <v>5.7435879999999999</v>
      </c>
      <c r="L240" s="199">
        <v>401.18891974306763</v>
      </c>
      <c r="M240" s="208">
        <v>1.2836556272509626E-3</v>
      </c>
    </row>
    <row r="241" spans="1:13" x14ac:dyDescent="0.25">
      <c r="A241" s="201" t="s">
        <v>194</v>
      </c>
      <c r="B241" s="209">
        <v>71</v>
      </c>
      <c r="C241" s="209">
        <v>209</v>
      </c>
      <c r="D241" s="209">
        <v>45</v>
      </c>
      <c r="E241" s="209">
        <v>1</v>
      </c>
      <c r="F241" s="209">
        <v>92</v>
      </c>
      <c r="G241" s="209">
        <v>2</v>
      </c>
      <c r="H241" s="202">
        <v>198.39361499647055</v>
      </c>
      <c r="I241" s="202">
        <v>5.7435879999999999</v>
      </c>
      <c r="J241" s="202">
        <v>191.30812874659642</v>
      </c>
      <c r="K241" s="202">
        <v>5.7435879999999999</v>
      </c>
      <c r="L241" s="202">
        <v>401.18891974306763</v>
      </c>
      <c r="M241" s="210">
        <v>1.2836556272509626E-3</v>
      </c>
    </row>
    <row r="242" spans="1:13" x14ac:dyDescent="0.25">
      <c r="A242" s="198" t="s">
        <v>116</v>
      </c>
      <c r="B242" s="207">
        <v>1877</v>
      </c>
      <c r="C242" s="207">
        <v>2767</v>
      </c>
      <c r="D242" s="207">
        <v>1427</v>
      </c>
      <c r="E242" s="207">
        <v>85</v>
      </c>
      <c r="F242" s="207">
        <v>1446</v>
      </c>
      <c r="G242" s="207">
        <v>33</v>
      </c>
      <c r="H242" s="199">
        <v>5677.4986873278558</v>
      </c>
      <c r="I242" s="199">
        <v>414.82909199999995</v>
      </c>
      <c r="J242" s="199">
        <v>3158.0281814093423</v>
      </c>
      <c r="K242" s="199">
        <v>71.747169999999983</v>
      </c>
      <c r="L242" s="199">
        <v>9322.1031307371195</v>
      </c>
      <c r="M242" s="208">
        <v>2.9827269779155691E-2</v>
      </c>
    </row>
    <row r="243" spans="1:13" x14ac:dyDescent="0.25">
      <c r="A243" s="201" t="s">
        <v>193</v>
      </c>
      <c r="B243" s="209">
        <v>1877</v>
      </c>
      <c r="C243" s="209">
        <v>2767</v>
      </c>
      <c r="D243" s="209">
        <v>1427</v>
      </c>
      <c r="E243" s="209">
        <v>85</v>
      </c>
      <c r="F243" s="209">
        <v>1446</v>
      </c>
      <c r="G243" s="209">
        <v>33</v>
      </c>
      <c r="H243" s="202">
        <v>5677.4986873278558</v>
      </c>
      <c r="I243" s="202">
        <v>414.82909199999995</v>
      </c>
      <c r="J243" s="202">
        <v>3158.0281814093423</v>
      </c>
      <c r="K243" s="202">
        <v>71.747169999999983</v>
      </c>
      <c r="L243" s="202">
        <v>9322.1031307371195</v>
      </c>
      <c r="M243" s="210">
        <v>2.9827269779155691E-2</v>
      </c>
    </row>
    <row r="244" spans="1:13" x14ac:dyDescent="0.25">
      <c r="A244" s="198" t="s">
        <v>117</v>
      </c>
      <c r="B244" s="207">
        <v>79</v>
      </c>
      <c r="C244" s="207">
        <v>202</v>
      </c>
      <c r="D244" s="207">
        <v>64</v>
      </c>
      <c r="E244" s="207">
        <v>4</v>
      </c>
      <c r="F244" s="207">
        <v>136</v>
      </c>
      <c r="G244" s="207">
        <v>5</v>
      </c>
      <c r="H244" s="199">
        <v>229.58531210279776</v>
      </c>
      <c r="I244" s="199">
        <v>11.516390000000001</v>
      </c>
      <c r="J244" s="199">
        <v>207.99065403372271</v>
      </c>
      <c r="K244" s="199">
        <v>9.2131120000000006</v>
      </c>
      <c r="L244" s="199">
        <v>458.30546813652018</v>
      </c>
      <c r="M244" s="208">
        <v>1.4664073812160573E-3</v>
      </c>
    </row>
    <row r="245" spans="1:13" x14ac:dyDescent="0.25">
      <c r="A245" s="201" t="s">
        <v>192</v>
      </c>
      <c r="B245" s="209">
        <v>79</v>
      </c>
      <c r="C245" s="209">
        <v>202</v>
      </c>
      <c r="D245" s="209">
        <v>64</v>
      </c>
      <c r="E245" s="209">
        <v>4</v>
      </c>
      <c r="F245" s="209">
        <v>136</v>
      </c>
      <c r="G245" s="209">
        <v>5</v>
      </c>
      <c r="H245" s="202">
        <v>229.58531210279776</v>
      </c>
      <c r="I245" s="202">
        <v>11.516390000000001</v>
      </c>
      <c r="J245" s="202">
        <v>207.99065403372271</v>
      </c>
      <c r="K245" s="202">
        <v>9.2131120000000006</v>
      </c>
      <c r="L245" s="202">
        <v>458.30546813652018</v>
      </c>
      <c r="M245" s="210">
        <v>1.4664073812160573E-3</v>
      </c>
    </row>
    <row r="246" spans="1:13" x14ac:dyDescent="0.25">
      <c r="A246" s="198" t="s">
        <v>380</v>
      </c>
      <c r="B246" s="207">
        <v>34</v>
      </c>
      <c r="C246" s="207">
        <v>69</v>
      </c>
      <c r="D246" s="207">
        <v>18</v>
      </c>
      <c r="E246" s="207">
        <v>10</v>
      </c>
      <c r="F246" s="207">
        <v>38</v>
      </c>
      <c r="G246" s="207">
        <v>7</v>
      </c>
      <c r="H246" s="199">
        <v>54.54465786450541</v>
      </c>
      <c r="I246" s="199">
        <v>42.707298000000002</v>
      </c>
      <c r="J246" s="199">
        <v>65.701519700426971</v>
      </c>
      <c r="K246" s="199">
        <v>15.073164000000002</v>
      </c>
      <c r="L246" s="199">
        <v>178.02663956493225</v>
      </c>
      <c r="M246" s="208">
        <v>5.6961916551548266E-4</v>
      </c>
    </row>
    <row r="247" spans="1:13" x14ac:dyDescent="0.25">
      <c r="A247" s="201" t="s">
        <v>379</v>
      </c>
      <c r="B247" s="209">
        <v>34</v>
      </c>
      <c r="C247" s="209">
        <v>69</v>
      </c>
      <c r="D247" s="209">
        <v>18</v>
      </c>
      <c r="E247" s="209">
        <v>10</v>
      </c>
      <c r="F247" s="209">
        <v>38</v>
      </c>
      <c r="G247" s="209">
        <v>7</v>
      </c>
      <c r="H247" s="202">
        <v>54.54465786450541</v>
      </c>
      <c r="I247" s="202">
        <v>42.707298000000002</v>
      </c>
      <c r="J247" s="202">
        <v>65.701519700426971</v>
      </c>
      <c r="K247" s="202">
        <v>15.073164000000002</v>
      </c>
      <c r="L247" s="202">
        <v>178.02663956493225</v>
      </c>
      <c r="M247" s="210">
        <v>5.6961916551548266E-4</v>
      </c>
    </row>
    <row r="248" spans="1:13" x14ac:dyDescent="0.25">
      <c r="A248" s="198" t="s">
        <v>131</v>
      </c>
      <c r="B248" s="207">
        <v>33</v>
      </c>
      <c r="C248" s="207">
        <v>12</v>
      </c>
      <c r="D248" s="207">
        <v>22</v>
      </c>
      <c r="E248" s="207">
        <v>5</v>
      </c>
      <c r="F248" s="207">
        <v>10</v>
      </c>
      <c r="G248" s="207"/>
      <c r="H248" s="199">
        <v>59.954619263058881</v>
      </c>
      <c r="I248" s="199">
        <v>18</v>
      </c>
      <c r="J248" s="199">
        <v>14.433519452217883</v>
      </c>
      <c r="K248" s="199"/>
      <c r="L248" s="199">
        <v>92.388138715276796</v>
      </c>
      <c r="M248" s="208">
        <v>2.9560775065537394E-4</v>
      </c>
    </row>
    <row r="249" spans="1:13" x14ac:dyDescent="0.25">
      <c r="A249" s="201" t="s">
        <v>251</v>
      </c>
      <c r="B249" s="209">
        <v>33</v>
      </c>
      <c r="C249" s="209">
        <v>12</v>
      </c>
      <c r="D249" s="209">
        <v>22</v>
      </c>
      <c r="E249" s="209">
        <v>5</v>
      </c>
      <c r="F249" s="209">
        <v>10</v>
      </c>
      <c r="G249" s="209"/>
      <c r="H249" s="202">
        <v>59.954619263058881</v>
      </c>
      <c r="I249" s="202">
        <v>18</v>
      </c>
      <c r="J249" s="202">
        <v>14.433519452217883</v>
      </c>
      <c r="K249" s="202"/>
      <c r="L249" s="202">
        <v>92.388138715276796</v>
      </c>
      <c r="M249" s="210">
        <v>2.9560775065537394E-4</v>
      </c>
    </row>
    <row r="250" spans="1:13" ht="24" x14ac:dyDescent="0.25">
      <c r="A250" s="198" t="s">
        <v>440</v>
      </c>
      <c r="B250" s="207">
        <v>353</v>
      </c>
      <c r="C250" s="207">
        <v>1101</v>
      </c>
      <c r="D250" s="207">
        <v>305</v>
      </c>
      <c r="E250" s="207">
        <v>3</v>
      </c>
      <c r="F250" s="207">
        <v>771</v>
      </c>
      <c r="G250" s="207">
        <v>6</v>
      </c>
      <c r="H250" s="199">
        <v>868.93763888817512</v>
      </c>
      <c r="I250" s="199">
        <v>8.8187999999999995</v>
      </c>
      <c r="J250" s="199">
        <v>1153.437525732267</v>
      </c>
      <c r="K250" s="199">
        <v>9.921149999999999</v>
      </c>
      <c r="L250" s="199">
        <v>2041.1151146204336</v>
      </c>
      <c r="M250" s="208">
        <v>6.5308107323290227E-3</v>
      </c>
    </row>
    <row r="251" spans="1:13" x14ac:dyDescent="0.25">
      <c r="A251" s="201" t="s">
        <v>191</v>
      </c>
      <c r="B251" s="209">
        <v>353</v>
      </c>
      <c r="C251" s="209">
        <v>1101</v>
      </c>
      <c r="D251" s="209">
        <v>305</v>
      </c>
      <c r="E251" s="209">
        <v>3</v>
      </c>
      <c r="F251" s="209">
        <v>771</v>
      </c>
      <c r="G251" s="209">
        <v>6</v>
      </c>
      <c r="H251" s="202">
        <v>868.93763888817512</v>
      </c>
      <c r="I251" s="202">
        <v>8.8187999999999995</v>
      </c>
      <c r="J251" s="202">
        <v>1153.437525732267</v>
      </c>
      <c r="K251" s="202">
        <v>9.921149999999999</v>
      </c>
      <c r="L251" s="202">
        <v>2041.1151146204336</v>
      </c>
      <c r="M251" s="210">
        <v>6.5308107323290227E-3</v>
      </c>
    </row>
    <row r="252" spans="1:13" x14ac:dyDescent="0.25">
      <c r="A252" s="198" t="s">
        <v>119</v>
      </c>
      <c r="B252" s="207">
        <v>909</v>
      </c>
      <c r="C252" s="207">
        <v>1315</v>
      </c>
      <c r="D252" s="207">
        <v>707</v>
      </c>
      <c r="E252" s="207">
        <v>42</v>
      </c>
      <c r="F252" s="207">
        <v>775</v>
      </c>
      <c r="G252" s="207">
        <v>14</v>
      </c>
      <c r="H252" s="199">
        <v>2532.9766700408563</v>
      </c>
      <c r="I252" s="199">
        <v>197.41120400000005</v>
      </c>
      <c r="J252" s="199">
        <v>1472.4692445265403</v>
      </c>
      <c r="K252" s="199">
        <v>34.984263999999996</v>
      </c>
      <c r="L252" s="199">
        <v>4237.8413825673588</v>
      </c>
      <c r="M252" s="208">
        <v>1.3559519394537289E-2</v>
      </c>
    </row>
    <row r="253" spans="1:13" x14ac:dyDescent="0.25">
      <c r="A253" s="201" t="s">
        <v>190</v>
      </c>
      <c r="B253" s="209">
        <v>909</v>
      </c>
      <c r="C253" s="209">
        <v>1315</v>
      </c>
      <c r="D253" s="209">
        <v>707</v>
      </c>
      <c r="E253" s="209">
        <v>42</v>
      </c>
      <c r="F253" s="209">
        <v>775</v>
      </c>
      <c r="G253" s="209">
        <v>14</v>
      </c>
      <c r="H253" s="202">
        <v>2532.9766700408563</v>
      </c>
      <c r="I253" s="202">
        <v>197.41120400000005</v>
      </c>
      <c r="J253" s="202">
        <v>1472.4692445265403</v>
      </c>
      <c r="K253" s="202">
        <v>34.984263999999996</v>
      </c>
      <c r="L253" s="202">
        <v>4237.8413825673588</v>
      </c>
      <c r="M253" s="210">
        <v>1.3559519394537289E-2</v>
      </c>
    </row>
    <row r="254" spans="1:13" ht="24" x14ac:dyDescent="0.25">
      <c r="A254" s="198" t="s">
        <v>120</v>
      </c>
      <c r="B254" s="207">
        <v>373</v>
      </c>
      <c r="C254" s="207">
        <v>564</v>
      </c>
      <c r="D254" s="207">
        <v>275</v>
      </c>
      <c r="E254" s="207">
        <v>11</v>
      </c>
      <c r="F254" s="207">
        <v>304</v>
      </c>
      <c r="G254" s="207">
        <v>4</v>
      </c>
      <c r="H254" s="199">
        <v>1114.1496207946677</v>
      </c>
      <c r="I254" s="199">
        <v>54.582485999999996</v>
      </c>
      <c r="J254" s="199">
        <v>649.92061213022282</v>
      </c>
      <c r="K254" s="199">
        <v>9.0970809999999993</v>
      </c>
      <c r="L254" s="199">
        <v>1827.749799924896</v>
      </c>
      <c r="M254" s="208">
        <v>5.848120923636139E-3</v>
      </c>
    </row>
    <row r="255" spans="1:13" x14ac:dyDescent="0.25">
      <c r="A255" s="201" t="s">
        <v>189</v>
      </c>
      <c r="B255" s="209">
        <v>373</v>
      </c>
      <c r="C255" s="209">
        <v>564</v>
      </c>
      <c r="D255" s="209">
        <v>275</v>
      </c>
      <c r="E255" s="209">
        <v>11</v>
      </c>
      <c r="F255" s="209">
        <v>304</v>
      </c>
      <c r="G255" s="209">
        <v>4</v>
      </c>
      <c r="H255" s="202">
        <v>1114.1496207946677</v>
      </c>
      <c r="I255" s="202">
        <v>54.582485999999996</v>
      </c>
      <c r="J255" s="202">
        <v>649.92061213022282</v>
      </c>
      <c r="K255" s="202">
        <v>9.0970809999999993</v>
      </c>
      <c r="L255" s="202">
        <v>1827.749799924896</v>
      </c>
      <c r="M255" s="210">
        <v>5.848120923636139E-3</v>
      </c>
    </row>
    <row r="256" spans="1:13" ht="24" x14ac:dyDescent="0.25">
      <c r="A256" s="198" t="s">
        <v>501</v>
      </c>
      <c r="B256" s="207">
        <v>14</v>
      </c>
      <c r="C256" s="207">
        <v>8</v>
      </c>
      <c r="D256" s="207">
        <v>9</v>
      </c>
      <c r="E256" s="207"/>
      <c r="F256" s="207">
        <v>6</v>
      </c>
      <c r="G256" s="207">
        <v>1</v>
      </c>
      <c r="H256" s="199">
        <v>26.49443433541094</v>
      </c>
      <c r="I256" s="199"/>
      <c r="J256" s="199">
        <v>9.1711503468730182</v>
      </c>
      <c r="K256" s="199">
        <v>2</v>
      </c>
      <c r="L256" s="199">
        <v>37.665584682283956</v>
      </c>
      <c r="M256" s="208">
        <v>1.2051589002526763E-4</v>
      </c>
    </row>
    <row r="257" spans="1:13" x14ac:dyDescent="0.25">
      <c r="A257" s="201" t="s">
        <v>188</v>
      </c>
      <c r="B257" s="209">
        <v>14</v>
      </c>
      <c r="C257" s="209">
        <v>8</v>
      </c>
      <c r="D257" s="209">
        <v>9</v>
      </c>
      <c r="E257" s="209"/>
      <c r="F257" s="209">
        <v>6</v>
      </c>
      <c r="G257" s="209">
        <v>1</v>
      </c>
      <c r="H257" s="202">
        <v>26.49443433541094</v>
      </c>
      <c r="I257" s="202"/>
      <c r="J257" s="202">
        <v>9.1711503468730182</v>
      </c>
      <c r="K257" s="202">
        <v>2</v>
      </c>
      <c r="L257" s="202">
        <v>37.665584682283956</v>
      </c>
      <c r="M257" s="210">
        <v>1.2051589002526763E-4</v>
      </c>
    </row>
    <row r="258" spans="1:13" x14ac:dyDescent="0.25">
      <c r="A258" s="198" t="s">
        <v>122</v>
      </c>
      <c r="B258" s="207">
        <v>1006</v>
      </c>
      <c r="C258" s="207">
        <v>2178</v>
      </c>
      <c r="D258" s="207">
        <v>752</v>
      </c>
      <c r="E258" s="207">
        <v>28</v>
      </c>
      <c r="F258" s="207">
        <v>1170</v>
      </c>
      <c r="G258" s="207">
        <v>22</v>
      </c>
      <c r="H258" s="199">
        <v>3094.5770337103422</v>
      </c>
      <c r="I258" s="199">
        <v>140.97904599999998</v>
      </c>
      <c r="J258" s="199">
        <v>2616.9531493156805</v>
      </c>
      <c r="K258" s="199">
        <v>51.869648999999995</v>
      </c>
      <c r="L258" s="199">
        <v>5904.3788780260647</v>
      </c>
      <c r="M258" s="208">
        <v>1.8891820783719059E-2</v>
      </c>
    </row>
    <row r="259" spans="1:13" x14ac:dyDescent="0.25">
      <c r="A259" s="201" t="s">
        <v>184</v>
      </c>
      <c r="B259" s="209">
        <v>1006</v>
      </c>
      <c r="C259" s="209">
        <v>2178</v>
      </c>
      <c r="D259" s="209">
        <v>752</v>
      </c>
      <c r="E259" s="209">
        <v>28</v>
      </c>
      <c r="F259" s="209">
        <v>1170</v>
      </c>
      <c r="G259" s="209">
        <v>22</v>
      </c>
      <c r="H259" s="202">
        <v>3094.5770337103422</v>
      </c>
      <c r="I259" s="202">
        <v>140.97904599999998</v>
      </c>
      <c r="J259" s="202">
        <v>2616.9531493156805</v>
      </c>
      <c r="K259" s="202">
        <v>51.869648999999995</v>
      </c>
      <c r="L259" s="202">
        <v>5904.3788780260647</v>
      </c>
      <c r="M259" s="210">
        <v>1.8891820783719059E-2</v>
      </c>
    </row>
    <row r="260" spans="1:13" x14ac:dyDescent="0.25">
      <c r="A260" s="198" t="s">
        <v>123</v>
      </c>
      <c r="B260" s="207">
        <v>114</v>
      </c>
      <c r="C260" s="207">
        <v>60</v>
      </c>
      <c r="D260" s="207">
        <v>90</v>
      </c>
      <c r="E260" s="207">
        <v>6</v>
      </c>
      <c r="F260" s="207">
        <v>38</v>
      </c>
      <c r="G260" s="207">
        <v>1</v>
      </c>
      <c r="H260" s="199">
        <v>263.52333522731823</v>
      </c>
      <c r="I260" s="199">
        <v>20.605248</v>
      </c>
      <c r="J260" s="199">
        <v>67.016710251774867</v>
      </c>
      <c r="K260" s="199">
        <v>2.289472</v>
      </c>
      <c r="L260" s="199">
        <v>353.43476547909319</v>
      </c>
      <c r="M260" s="208">
        <v>1.1308600593055182E-3</v>
      </c>
    </row>
    <row r="261" spans="1:13" x14ac:dyDescent="0.25">
      <c r="A261" s="201" t="s">
        <v>183</v>
      </c>
      <c r="B261" s="209">
        <v>114</v>
      </c>
      <c r="C261" s="209">
        <v>60</v>
      </c>
      <c r="D261" s="209">
        <v>90</v>
      </c>
      <c r="E261" s="209">
        <v>6</v>
      </c>
      <c r="F261" s="209">
        <v>38</v>
      </c>
      <c r="G261" s="209">
        <v>1</v>
      </c>
      <c r="H261" s="202">
        <v>263.52333522731823</v>
      </c>
      <c r="I261" s="202">
        <v>20.605248</v>
      </c>
      <c r="J261" s="202">
        <v>67.016710251774867</v>
      </c>
      <c r="K261" s="202">
        <v>2.289472</v>
      </c>
      <c r="L261" s="202">
        <v>353.43476547909319</v>
      </c>
      <c r="M261" s="210">
        <v>1.1308600593055182E-3</v>
      </c>
    </row>
    <row r="262" spans="1:13" x14ac:dyDescent="0.25">
      <c r="A262" s="198" t="s">
        <v>124</v>
      </c>
      <c r="B262" s="207">
        <v>634</v>
      </c>
      <c r="C262" s="207">
        <v>752</v>
      </c>
      <c r="D262" s="207">
        <v>486</v>
      </c>
      <c r="E262" s="207">
        <v>18</v>
      </c>
      <c r="F262" s="207">
        <v>472</v>
      </c>
      <c r="G262" s="207">
        <v>11</v>
      </c>
      <c r="H262" s="199">
        <v>1695.2020326047814</v>
      </c>
      <c r="I262" s="199">
        <v>82.336583999999988</v>
      </c>
      <c r="J262" s="199">
        <v>900.18483119855068</v>
      </c>
      <c r="K262" s="199">
        <v>23.702956000000004</v>
      </c>
      <c r="L262" s="199">
        <v>2701.4264038033439</v>
      </c>
      <c r="M262" s="208">
        <v>8.6435617590518311E-3</v>
      </c>
    </row>
    <row r="263" spans="1:13" x14ac:dyDescent="0.25">
      <c r="A263" s="201" t="s">
        <v>178</v>
      </c>
      <c r="B263" s="209">
        <v>634</v>
      </c>
      <c r="C263" s="209">
        <v>752</v>
      </c>
      <c r="D263" s="209">
        <v>486</v>
      </c>
      <c r="E263" s="209">
        <v>18</v>
      </c>
      <c r="F263" s="209">
        <v>472</v>
      </c>
      <c r="G263" s="209">
        <v>11</v>
      </c>
      <c r="H263" s="202">
        <v>1695.2020326047814</v>
      </c>
      <c r="I263" s="202">
        <v>82.336583999999988</v>
      </c>
      <c r="J263" s="202">
        <v>900.18483119855068</v>
      </c>
      <c r="K263" s="202">
        <v>23.702956000000004</v>
      </c>
      <c r="L263" s="202">
        <v>2701.4264038033439</v>
      </c>
      <c r="M263" s="210">
        <v>8.6435617590518311E-3</v>
      </c>
    </row>
    <row r="264" spans="1:13" ht="24" x14ac:dyDescent="0.25">
      <c r="A264" s="198" t="s">
        <v>125</v>
      </c>
      <c r="B264" s="207">
        <v>604</v>
      </c>
      <c r="C264" s="207">
        <v>929</v>
      </c>
      <c r="D264" s="207">
        <v>464</v>
      </c>
      <c r="E264" s="207">
        <v>11</v>
      </c>
      <c r="F264" s="207">
        <v>556</v>
      </c>
      <c r="G264" s="207">
        <v>11</v>
      </c>
      <c r="H264" s="199">
        <v>1783.1453841225498</v>
      </c>
      <c r="I264" s="199">
        <v>51.426479999999998</v>
      </c>
      <c r="J264" s="199">
        <v>1049.0584667273693</v>
      </c>
      <c r="K264" s="199">
        <v>24.488799999999998</v>
      </c>
      <c r="L264" s="199">
        <v>2908.1191308499388</v>
      </c>
      <c r="M264" s="208">
        <v>9.3049017640428177E-3</v>
      </c>
    </row>
    <row r="265" spans="1:13" x14ac:dyDescent="0.25">
      <c r="A265" s="201" t="s">
        <v>176</v>
      </c>
      <c r="B265" s="209">
        <v>604</v>
      </c>
      <c r="C265" s="209">
        <v>929</v>
      </c>
      <c r="D265" s="209">
        <v>464</v>
      </c>
      <c r="E265" s="209">
        <v>11</v>
      </c>
      <c r="F265" s="209">
        <v>556</v>
      </c>
      <c r="G265" s="209">
        <v>11</v>
      </c>
      <c r="H265" s="202">
        <v>1783.1453841225498</v>
      </c>
      <c r="I265" s="202">
        <v>51.426479999999998</v>
      </c>
      <c r="J265" s="202">
        <v>1049.0584667273693</v>
      </c>
      <c r="K265" s="202">
        <v>24.488799999999998</v>
      </c>
      <c r="L265" s="202">
        <v>2908.1191308499388</v>
      </c>
      <c r="M265" s="210">
        <v>9.3049017640428177E-3</v>
      </c>
    </row>
    <row r="266" spans="1:13" x14ac:dyDescent="0.25">
      <c r="A266" s="204" t="s">
        <v>13</v>
      </c>
      <c r="B266" s="211">
        <v>65240</v>
      </c>
      <c r="C266" s="211">
        <v>102262</v>
      </c>
      <c r="D266" s="211">
        <v>49116</v>
      </c>
      <c r="E266" s="211">
        <v>2455</v>
      </c>
      <c r="F266" s="211">
        <v>57230</v>
      </c>
      <c r="G266" s="211">
        <v>1352</v>
      </c>
      <c r="H266" s="205">
        <v>183845.07368974132</v>
      </c>
      <c r="I266" s="205">
        <v>11519.249422000001</v>
      </c>
      <c r="J266" s="205">
        <v>114218.58528795127</v>
      </c>
      <c r="K266" s="205">
        <v>2953.3444909999971</v>
      </c>
      <c r="L266" s="205">
        <v>312536.25289069273</v>
      </c>
      <c r="M266" s="212">
        <v>1</v>
      </c>
    </row>
    <row r="268" spans="1:13" x14ac:dyDescent="0.25">
      <c r="A268" s="5"/>
    </row>
    <row r="269" spans="1:13" x14ac:dyDescent="0.25">
      <c r="A269" t="s">
        <v>486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7">
    <tabColor theme="9" tint="0.59999389629810485"/>
  </sheetPr>
  <dimension ref="A1:I265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48.5703125" customWidth="1"/>
    <col min="2" max="9" width="17.42578125" customWidth="1"/>
  </cols>
  <sheetData>
    <row r="1" spans="1:9" x14ac:dyDescent="0.25">
      <c r="A1" s="213"/>
      <c r="B1" s="214" t="s">
        <v>12</v>
      </c>
      <c r="C1" s="214"/>
      <c r="D1" s="214"/>
      <c r="E1" s="214"/>
      <c r="F1" s="214"/>
      <c r="G1" s="214"/>
      <c r="H1" s="214"/>
      <c r="I1" s="214"/>
    </row>
    <row r="2" spans="1:9" ht="15" customHeight="1" x14ac:dyDescent="0.25">
      <c r="A2" s="215"/>
      <c r="B2" s="289" t="s">
        <v>14</v>
      </c>
      <c r="C2" s="289"/>
      <c r="D2" s="289"/>
      <c r="E2" s="289"/>
      <c r="F2" s="289"/>
      <c r="G2" s="289"/>
      <c r="H2" s="289"/>
      <c r="I2" s="289"/>
    </row>
    <row r="3" spans="1:9" ht="24" x14ac:dyDescent="0.25">
      <c r="A3" s="216" t="s">
        <v>12</v>
      </c>
      <c r="B3" s="216" t="s">
        <v>403</v>
      </c>
      <c r="C3" s="216" t="s">
        <v>404</v>
      </c>
      <c r="D3" s="216" t="s">
        <v>405</v>
      </c>
      <c r="E3" s="216" t="s">
        <v>406</v>
      </c>
      <c r="F3" s="216" t="s">
        <v>407</v>
      </c>
      <c r="G3" s="216" t="s">
        <v>408</v>
      </c>
      <c r="H3" s="216" t="s">
        <v>409</v>
      </c>
      <c r="I3" s="216" t="s">
        <v>410</v>
      </c>
    </row>
    <row r="4" spans="1:9" ht="15" customHeight="1" x14ac:dyDescent="0.25">
      <c r="A4" s="198" t="s">
        <v>378</v>
      </c>
      <c r="B4" s="207">
        <v>5166</v>
      </c>
      <c r="C4" s="207">
        <v>1746</v>
      </c>
      <c r="D4" s="217">
        <v>0.33797909407665505</v>
      </c>
      <c r="E4" s="218">
        <v>2.1670940766550522</v>
      </c>
      <c r="F4" s="218">
        <v>4.3155779999999995</v>
      </c>
      <c r="G4" s="207">
        <v>30140</v>
      </c>
      <c r="H4" s="207">
        <v>65316.215470383271</v>
      </c>
      <c r="I4" s="208">
        <v>3.9184358110147456E-2</v>
      </c>
    </row>
    <row r="5" spans="1:9" ht="15" customHeight="1" x14ac:dyDescent="0.25">
      <c r="A5" s="201" t="s">
        <v>377</v>
      </c>
      <c r="B5" s="209">
        <v>5166</v>
      </c>
      <c r="C5" s="209">
        <v>1746</v>
      </c>
      <c r="D5" s="219">
        <v>0.33797909407665505</v>
      </c>
      <c r="E5" s="220">
        <v>2.1670940766550522</v>
      </c>
      <c r="F5" s="220">
        <v>4.3155779999999995</v>
      </c>
      <c r="G5" s="209">
        <v>30140</v>
      </c>
      <c r="H5" s="209">
        <v>65316.215470383271</v>
      </c>
      <c r="I5" s="210">
        <v>3.9184358110147456E-2</v>
      </c>
    </row>
    <row r="6" spans="1:9" ht="15" customHeight="1" x14ac:dyDescent="0.25">
      <c r="A6" s="198" t="s">
        <v>15</v>
      </c>
      <c r="B6" s="207">
        <v>265</v>
      </c>
      <c r="C6" s="207">
        <v>177</v>
      </c>
      <c r="D6" s="217">
        <v>0.66792452830188676</v>
      </c>
      <c r="E6" s="218">
        <v>1.4940053908355797</v>
      </c>
      <c r="F6" s="218">
        <v>4.5550842500000002</v>
      </c>
      <c r="G6" s="207">
        <v>3225</v>
      </c>
      <c r="H6" s="207">
        <v>4818.1673854447445</v>
      </c>
      <c r="I6" s="208">
        <v>2.8905042171573306E-3</v>
      </c>
    </row>
    <row r="7" spans="1:9" ht="15" customHeight="1" x14ac:dyDescent="0.25">
      <c r="A7" s="201" t="s">
        <v>320</v>
      </c>
      <c r="B7" s="209">
        <v>265</v>
      </c>
      <c r="C7" s="209">
        <v>177</v>
      </c>
      <c r="D7" s="219">
        <v>0.66792452830188676</v>
      </c>
      <c r="E7" s="220">
        <v>1.4940053908355797</v>
      </c>
      <c r="F7" s="220">
        <v>4.5550842500000002</v>
      </c>
      <c r="G7" s="209">
        <v>3225</v>
      </c>
      <c r="H7" s="209">
        <v>4818.1673854447445</v>
      </c>
      <c r="I7" s="210">
        <v>2.8905042171573306E-3</v>
      </c>
    </row>
    <row r="8" spans="1:9" ht="15" customHeight="1" x14ac:dyDescent="0.25">
      <c r="A8" s="198" t="s">
        <v>16</v>
      </c>
      <c r="B8" s="207">
        <v>18</v>
      </c>
      <c r="C8" s="207">
        <v>18</v>
      </c>
      <c r="D8" s="217">
        <v>1</v>
      </c>
      <c r="E8" s="218">
        <v>1</v>
      </c>
      <c r="F8" s="218">
        <v>4.2638885000000002</v>
      </c>
      <c r="G8" s="207">
        <v>307</v>
      </c>
      <c r="H8" s="207">
        <v>307</v>
      </c>
      <c r="I8" s="208">
        <v>1.8417475435743706E-4</v>
      </c>
    </row>
    <row r="9" spans="1:9" ht="15" customHeight="1" x14ac:dyDescent="0.25">
      <c r="A9" s="201" t="s">
        <v>319</v>
      </c>
      <c r="B9" s="209">
        <v>18</v>
      </c>
      <c r="C9" s="209">
        <v>18</v>
      </c>
      <c r="D9" s="219">
        <v>1</v>
      </c>
      <c r="E9" s="220">
        <v>1</v>
      </c>
      <c r="F9" s="220">
        <v>4.2638885000000002</v>
      </c>
      <c r="G9" s="209">
        <v>307</v>
      </c>
      <c r="H9" s="209">
        <v>307</v>
      </c>
      <c r="I9" s="210">
        <v>1.8417475435743706E-4</v>
      </c>
    </row>
    <row r="10" spans="1:9" ht="15" customHeight="1" x14ac:dyDescent="0.25">
      <c r="A10" s="198" t="s">
        <v>489</v>
      </c>
      <c r="B10" s="207">
        <v>526</v>
      </c>
      <c r="C10" s="207">
        <v>314</v>
      </c>
      <c r="D10" s="217">
        <v>0.59695817490494296</v>
      </c>
      <c r="E10" s="218">
        <v>1.6387767517653449</v>
      </c>
      <c r="F10" s="218">
        <v>4.3821647500000003</v>
      </c>
      <c r="G10" s="207">
        <v>5504</v>
      </c>
      <c r="H10" s="207">
        <v>9019.827241716459</v>
      </c>
      <c r="I10" s="208">
        <v>5.4111546142985275E-3</v>
      </c>
    </row>
    <row r="11" spans="1:9" ht="15" customHeight="1" x14ac:dyDescent="0.25">
      <c r="A11" s="201" t="s">
        <v>488</v>
      </c>
      <c r="B11" s="209">
        <v>526</v>
      </c>
      <c r="C11" s="209">
        <v>314</v>
      </c>
      <c r="D11" s="219">
        <v>0.59695817490494296</v>
      </c>
      <c r="E11" s="220">
        <v>1.6387767517653449</v>
      </c>
      <c r="F11" s="220">
        <v>4.3821647500000003</v>
      </c>
      <c r="G11" s="209">
        <v>5504</v>
      </c>
      <c r="H11" s="209">
        <v>9019.827241716459</v>
      </c>
      <c r="I11" s="210">
        <v>5.4111546142985275E-3</v>
      </c>
    </row>
    <row r="12" spans="1:9" ht="15" customHeight="1" x14ac:dyDescent="0.25">
      <c r="A12" s="198" t="s">
        <v>17</v>
      </c>
      <c r="B12" s="207">
        <v>334</v>
      </c>
      <c r="C12" s="207">
        <v>208</v>
      </c>
      <c r="D12" s="217">
        <v>0.6227544910179641</v>
      </c>
      <c r="E12" s="218">
        <v>1.5861522668947818</v>
      </c>
      <c r="F12" s="218">
        <v>4.2415857499999996</v>
      </c>
      <c r="G12" s="207">
        <v>3529</v>
      </c>
      <c r="H12" s="207">
        <v>5597.5313498716851</v>
      </c>
      <c r="I12" s="208">
        <v>3.35805850609339E-3</v>
      </c>
    </row>
    <row r="13" spans="1:9" ht="15" customHeight="1" x14ac:dyDescent="0.25">
      <c r="A13" s="201" t="s">
        <v>318</v>
      </c>
      <c r="B13" s="209">
        <v>334</v>
      </c>
      <c r="C13" s="209">
        <v>208</v>
      </c>
      <c r="D13" s="219">
        <v>0.6227544910179641</v>
      </c>
      <c r="E13" s="220">
        <v>1.5861522668947818</v>
      </c>
      <c r="F13" s="220">
        <v>4.2415857499999996</v>
      </c>
      <c r="G13" s="209">
        <v>3529</v>
      </c>
      <c r="H13" s="209">
        <v>5597.5313498716851</v>
      </c>
      <c r="I13" s="210">
        <v>3.35805850609339E-3</v>
      </c>
    </row>
    <row r="14" spans="1:9" ht="15" customHeight="1" x14ac:dyDescent="0.25">
      <c r="A14" s="198" t="s">
        <v>494</v>
      </c>
      <c r="B14" s="207">
        <v>129</v>
      </c>
      <c r="C14" s="207">
        <v>56</v>
      </c>
      <c r="D14" s="217">
        <v>0.43410852713178294</v>
      </c>
      <c r="E14" s="218">
        <v>1.9709900332225914</v>
      </c>
      <c r="F14" s="218">
        <v>4.54910675</v>
      </c>
      <c r="G14" s="207">
        <v>1019</v>
      </c>
      <c r="H14" s="207">
        <v>2008.4388438538206</v>
      </c>
      <c r="I14" s="208">
        <v>1.2048981456309847E-3</v>
      </c>
    </row>
    <row r="15" spans="1:9" ht="15" customHeight="1" x14ac:dyDescent="0.25">
      <c r="A15" s="201" t="s">
        <v>316</v>
      </c>
      <c r="B15" s="209">
        <v>129</v>
      </c>
      <c r="C15" s="209">
        <v>56</v>
      </c>
      <c r="D15" s="219">
        <v>0.43410852713178294</v>
      </c>
      <c r="E15" s="220">
        <v>1.9709900332225914</v>
      </c>
      <c r="F15" s="220">
        <v>4.54910675</v>
      </c>
      <c r="G15" s="209">
        <v>1019</v>
      </c>
      <c r="H15" s="209">
        <v>2008.4388438538206</v>
      </c>
      <c r="I15" s="210">
        <v>1.2048981456309847E-3</v>
      </c>
    </row>
    <row r="16" spans="1:9" ht="15" customHeight="1" x14ac:dyDescent="0.25">
      <c r="A16" s="198" t="s">
        <v>19</v>
      </c>
      <c r="B16" s="207">
        <v>1198</v>
      </c>
      <c r="C16" s="207">
        <v>359</v>
      </c>
      <c r="D16" s="217">
        <v>0.29966611018363942</v>
      </c>
      <c r="E16" s="218">
        <v>2.2452525637968042</v>
      </c>
      <c r="F16" s="218">
        <v>4.1740942500000005</v>
      </c>
      <c r="G16" s="207">
        <v>5994</v>
      </c>
      <c r="H16" s="207">
        <v>13458.043867398044</v>
      </c>
      <c r="I16" s="208">
        <v>8.073719620226863E-3</v>
      </c>
    </row>
    <row r="17" spans="1:9" ht="15" customHeight="1" x14ac:dyDescent="0.25">
      <c r="A17" s="201" t="s">
        <v>315</v>
      </c>
      <c r="B17" s="209">
        <v>1198</v>
      </c>
      <c r="C17" s="209">
        <v>359</v>
      </c>
      <c r="D17" s="219">
        <v>0.29966611018363942</v>
      </c>
      <c r="E17" s="220">
        <v>2.2452525637968042</v>
      </c>
      <c r="F17" s="220">
        <v>4.1740942500000005</v>
      </c>
      <c r="G17" s="209">
        <v>5994</v>
      </c>
      <c r="H17" s="209">
        <v>13458.043867398044</v>
      </c>
      <c r="I17" s="210">
        <v>8.073719620226863E-3</v>
      </c>
    </row>
    <row r="18" spans="1:9" ht="15" customHeight="1" x14ac:dyDescent="0.25">
      <c r="A18" s="198" t="s">
        <v>148</v>
      </c>
      <c r="B18" s="207">
        <v>2870</v>
      </c>
      <c r="C18" s="207">
        <v>1021</v>
      </c>
      <c r="D18" s="217">
        <v>0.3557491289198606</v>
      </c>
      <c r="E18" s="218">
        <v>2.1308432055749127</v>
      </c>
      <c r="F18" s="218">
        <v>4.3988734999999997</v>
      </c>
      <c r="G18" s="207">
        <v>17965</v>
      </c>
      <c r="H18" s="207">
        <v>38280.598188153308</v>
      </c>
      <c r="I18" s="208">
        <v>2.2965210970550116E-2</v>
      </c>
    </row>
    <row r="19" spans="1:9" ht="15" customHeight="1" x14ac:dyDescent="0.25">
      <c r="A19" s="201" t="s">
        <v>174</v>
      </c>
      <c r="B19" s="209">
        <v>2870</v>
      </c>
      <c r="C19" s="209">
        <v>1021</v>
      </c>
      <c r="D19" s="219">
        <v>0.3557491289198606</v>
      </c>
      <c r="E19" s="220">
        <v>2.1308432055749127</v>
      </c>
      <c r="F19" s="220">
        <v>4.3988734999999997</v>
      </c>
      <c r="G19" s="209">
        <v>17965</v>
      </c>
      <c r="H19" s="209">
        <v>38280.598188153308</v>
      </c>
      <c r="I19" s="210">
        <v>2.2965210970550116E-2</v>
      </c>
    </row>
    <row r="20" spans="1:9" ht="15" customHeight="1" x14ac:dyDescent="0.25">
      <c r="A20" s="198" t="s">
        <v>20</v>
      </c>
      <c r="B20" s="207">
        <v>9</v>
      </c>
      <c r="C20" s="207">
        <v>5</v>
      </c>
      <c r="D20" s="217">
        <v>0.55555555555555558</v>
      </c>
      <c r="E20" s="218">
        <v>1.7232380952380952</v>
      </c>
      <c r="F20" s="218">
        <v>4.1500000000000004</v>
      </c>
      <c r="G20" s="207">
        <v>83</v>
      </c>
      <c r="H20" s="207">
        <v>143.02876190476189</v>
      </c>
      <c r="I20" s="208">
        <v>8.5805495406703164E-5</v>
      </c>
    </row>
    <row r="21" spans="1:9" ht="15" customHeight="1" x14ac:dyDescent="0.25">
      <c r="A21" s="201" t="s">
        <v>314</v>
      </c>
      <c r="B21" s="209">
        <v>9</v>
      </c>
      <c r="C21" s="209">
        <v>5</v>
      </c>
      <c r="D21" s="219">
        <v>0.55555555555555558</v>
      </c>
      <c r="E21" s="220">
        <v>1.7232380952380952</v>
      </c>
      <c r="F21" s="220">
        <v>4.1500000000000004</v>
      </c>
      <c r="G21" s="209">
        <v>83</v>
      </c>
      <c r="H21" s="209">
        <v>143.02876190476189</v>
      </c>
      <c r="I21" s="210">
        <v>8.5805495406703164E-5</v>
      </c>
    </row>
    <row r="22" spans="1:9" ht="15" customHeight="1" x14ac:dyDescent="0.25">
      <c r="A22" s="198" t="s">
        <v>21</v>
      </c>
      <c r="B22" s="207">
        <v>4017</v>
      </c>
      <c r="C22" s="207">
        <v>1267</v>
      </c>
      <c r="D22" s="217">
        <v>0.31540950958426689</v>
      </c>
      <c r="E22" s="218">
        <v>2.2131360290195241</v>
      </c>
      <c r="F22" s="218">
        <v>4.2397387499999999</v>
      </c>
      <c r="G22" s="207">
        <v>21487</v>
      </c>
      <c r="H22" s="207">
        <v>47553.653855542514</v>
      </c>
      <c r="I22" s="208">
        <v>2.852828181642714E-2</v>
      </c>
    </row>
    <row r="23" spans="1:9" ht="15" customHeight="1" x14ac:dyDescent="0.25">
      <c r="A23" s="201" t="s">
        <v>313</v>
      </c>
      <c r="B23" s="209">
        <v>4017</v>
      </c>
      <c r="C23" s="209">
        <v>1267</v>
      </c>
      <c r="D23" s="219">
        <v>0.31540950958426689</v>
      </c>
      <c r="E23" s="220">
        <v>2.2131360290195241</v>
      </c>
      <c r="F23" s="220">
        <v>4.2397387499999999</v>
      </c>
      <c r="G23" s="209">
        <v>21487</v>
      </c>
      <c r="H23" s="209">
        <v>47553.653855542514</v>
      </c>
      <c r="I23" s="210">
        <v>2.852828181642714E-2</v>
      </c>
    </row>
    <row r="24" spans="1:9" ht="15" customHeight="1" x14ac:dyDescent="0.25">
      <c r="A24" s="198" t="s">
        <v>22</v>
      </c>
      <c r="B24" s="207">
        <v>1896</v>
      </c>
      <c r="C24" s="207">
        <v>715</v>
      </c>
      <c r="D24" s="217">
        <v>0.37710970464135019</v>
      </c>
      <c r="E24" s="218">
        <v>2.087267631103074</v>
      </c>
      <c r="F24" s="218">
        <v>4.2772722500000002</v>
      </c>
      <c r="G24" s="207">
        <v>12233</v>
      </c>
      <c r="H24" s="207">
        <v>25533.544931283905</v>
      </c>
      <c r="I24" s="208">
        <v>1.531802724949119E-2</v>
      </c>
    </row>
    <row r="25" spans="1:9" ht="15" customHeight="1" x14ac:dyDescent="0.25">
      <c r="A25" s="201" t="s">
        <v>312</v>
      </c>
      <c r="B25" s="209">
        <v>1896</v>
      </c>
      <c r="C25" s="209">
        <v>715</v>
      </c>
      <c r="D25" s="219">
        <v>0.37710970464135019</v>
      </c>
      <c r="E25" s="220">
        <v>2.087267631103074</v>
      </c>
      <c r="F25" s="220">
        <v>4.2772722500000002</v>
      </c>
      <c r="G25" s="209">
        <v>12233</v>
      </c>
      <c r="H25" s="209">
        <v>25533.544931283905</v>
      </c>
      <c r="I25" s="210">
        <v>1.531802724949119E-2</v>
      </c>
    </row>
    <row r="26" spans="1:9" ht="15" customHeight="1" x14ac:dyDescent="0.25">
      <c r="A26" s="198" t="s">
        <v>23</v>
      </c>
      <c r="B26" s="207">
        <v>1854</v>
      </c>
      <c r="C26" s="207">
        <v>1030</v>
      </c>
      <c r="D26" s="217">
        <v>0.55555555555555558</v>
      </c>
      <c r="E26" s="218">
        <v>1.7232380952380952</v>
      </c>
      <c r="F26" s="218">
        <v>4.3810677499999997</v>
      </c>
      <c r="G26" s="207">
        <v>18050</v>
      </c>
      <c r="H26" s="207">
        <v>31104.44761904762</v>
      </c>
      <c r="I26" s="208">
        <v>1.8660110748084244E-2</v>
      </c>
    </row>
    <row r="27" spans="1:9" ht="15" customHeight="1" x14ac:dyDescent="0.25">
      <c r="A27" s="201" t="s">
        <v>310</v>
      </c>
      <c r="B27" s="209">
        <v>1854</v>
      </c>
      <c r="C27" s="209">
        <v>1030</v>
      </c>
      <c r="D27" s="219">
        <v>0.55555555555555558</v>
      </c>
      <c r="E27" s="220">
        <v>1.7232380952380952</v>
      </c>
      <c r="F27" s="220">
        <v>4.3810677499999997</v>
      </c>
      <c r="G27" s="209">
        <v>18050</v>
      </c>
      <c r="H27" s="209">
        <v>31104.44761904762</v>
      </c>
      <c r="I27" s="210">
        <v>1.8660110748084244E-2</v>
      </c>
    </row>
    <row r="28" spans="1:9" ht="15" customHeight="1" x14ac:dyDescent="0.25">
      <c r="A28" s="198" t="s">
        <v>24</v>
      </c>
      <c r="B28" s="207">
        <v>12</v>
      </c>
      <c r="C28" s="207">
        <v>11</v>
      </c>
      <c r="D28" s="217">
        <v>0.91666666666666663</v>
      </c>
      <c r="E28" s="218">
        <v>1.0909090909090911</v>
      </c>
      <c r="F28" s="218">
        <v>4.7045449999999995</v>
      </c>
      <c r="G28" s="207">
        <v>207</v>
      </c>
      <c r="H28" s="207">
        <v>225.81818181818184</v>
      </c>
      <c r="I28" s="208">
        <v>1.3547233930230195E-4</v>
      </c>
    </row>
    <row r="29" spans="1:9" ht="15" customHeight="1" x14ac:dyDescent="0.25">
      <c r="A29" s="201" t="s">
        <v>309</v>
      </c>
      <c r="B29" s="209">
        <v>12</v>
      </c>
      <c r="C29" s="209">
        <v>11</v>
      </c>
      <c r="D29" s="219">
        <v>0.91666666666666663</v>
      </c>
      <c r="E29" s="220">
        <v>1.0909090909090911</v>
      </c>
      <c r="F29" s="220">
        <v>4.7045449999999995</v>
      </c>
      <c r="G29" s="209">
        <v>207</v>
      </c>
      <c r="H29" s="209">
        <v>225.81818181818184</v>
      </c>
      <c r="I29" s="210">
        <v>1.3547233930230195E-4</v>
      </c>
    </row>
    <row r="30" spans="1:9" ht="15" customHeight="1" x14ac:dyDescent="0.25">
      <c r="A30" s="198" t="s">
        <v>25</v>
      </c>
      <c r="B30" s="207">
        <v>58</v>
      </c>
      <c r="C30" s="207">
        <v>51</v>
      </c>
      <c r="D30" s="217">
        <v>0.87931034482758619</v>
      </c>
      <c r="E30" s="218">
        <v>1.1372549019607843</v>
      </c>
      <c r="F30" s="218">
        <v>4.127450500000001</v>
      </c>
      <c r="G30" s="207">
        <v>842</v>
      </c>
      <c r="H30" s="207">
        <v>957.56862745098033</v>
      </c>
      <c r="I30" s="208">
        <v>5.7446243238166929E-4</v>
      </c>
    </row>
    <row r="31" spans="1:9" ht="15" customHeight="1" x14ac:dyDescent="0.25">
      <c r="A31" s="201" t="s">
        <v>308</v>
      </c>
      <c r="B31" s="209">
        <v>58</v>
      </c>
      <c r="C31" s="209">
        <v>51</v>
      </c>
      <c r="D31" s="219">
        <v>0.87931034482758619</v>
      </c>
      <c r="E31" s="220">
        <v>1.1372549019607843</v>
      </c>
      <c r="F31" s="220">
        <v>4.127450500000001</v>
      </c>
      <c r="G31" s="209">
        <v>842</v>
      </c>
      <c r="H31" s="209">
        <v>957.56862745098033</v>
      </c>
      <c r="I31" s="210">
        <v>5.7446243238166929E-4</v>
      </c>
    </row>
    <row r="32" spans="1:9" ht="15" customHeight="1" x14ac:dyDescent="0.25">
      <c r="A32" s="198" t="s">
        <v>128</v>
      </c>
      <c r="B32" s="207">
        <v>61</v>
      </c>
      <c r="C32" s="207">
        <v>23</v>
      </c>
      <c r="D32" s="217">
        <v>0.37704918032786883</v>
      </c>
      <c r="E32" s="218">
        <v>2.0873911007025763</v>
      </c>
      <c r="F32" s="218">
        <v>3.913043</v>
      </c>
      <c r="G32" s="207">
        <v>360</v>
      </c>
      <c r="H32" s="207">
        <v>751.46079625292748</v>
      </c>
      <c r="I32" s="208">
        <v>4.5081468260301948E-4</v>
      </c>
    </row>
    <row r="33" spans="1:9" ht="15" customHeight="1" x14ac:dyDescent="0.25">
      <c r="A33" s="201" t="s">
        <v>306</v>
      </c>
      <c r="B33" s="209">
        <v>61</v>
      </c>
      <c r="C33" s="209">
        <v>23</v>
      </c>
      <c r="D33" s="219">
        <v>0.37704918032786883</v>
      </c>
      <c r="E33" s="220">
        <v>2.0873911007025763</v>
      </c>
      <c r="F33" s="220">
        <v>3.913043</v>
      </c>
      <c r="G33" s="209">
        <v>360</v>
      </c>
      <c r="H33" s="209">
        <v>751.46079625292748</v>
      </c>
      <c r="I33" s="210">
        <v>4.5081468260301948E-4</v>
      </c>
    </row>
    <row r="34" spans="1:9" ht="15" customHeight="1" x14ac:dyDescent="0.25">
      <c r="A34" s="198" t="s">
        <v>495</v>
      </c>
      <c r="B34" s="207">
        <v>107</v>
      </c>
      <c r="C34" s="207">
        <v>41</v>
      </c>
      <c r="D34" s="217">
        <v>0.38317757009345793</v>
      </c>
      <c r="E34" s="218">
        <v>2.0748891855807745</v>
      </c>
      <c r="F34" s="218">
        <v>4.4573165000000001</v>
      </c>
      <c r="G34" s="207">
        <v>731</v>
      </c>
      <c r="H34" s="207">
        <v>1516.7439946595462</v>
      </c>
      <c r="I34" s="208">
        <v>9.0992166983563428E-4</v>
      </c>
    </row>
    <row r="35" spans="1:9" ht="15" customHeight="1" x14ac:dyDescent="0.25">
      <c r="A35" s="201" t="s">
        <v>305</v>
      </c>
      <c r="B35" s="209">
        <v>107</v>
      </c>
      <c r="C35" s="209">
        <v>41</v>
      </c>
      <c r="D35" s="219">
        <v>0.38317757009345793</v>
      </c>
      <c r="E35" s="220">
        <v>2.0748891855807745</v>
      </c>
      <c r="F35" s="220">
        <v>4.4573165000000001</v>
      </c>
      <c r="G35" s="209">
        <v>731</v>
      </c>
      <c r="H35" s="209">
        <v>1516.7439946595462</v>
      </c>
      <c r="I35" s="210">
        <v>9.0992166983563428E-4</v>
      </c>
    </row>
    <row r="36" spans="1:9" ht="15" customHeight="1" x14ac:dyDescent="0.25">
      <c r="A36" s="198" t="s">
        <v>27</v>
      </c>
      <c r="B36" s="207">
        <v>108</v>
      </c>
      <c r="C36" s="207">
        <v>39</v>
      </c>
      <c r="D36" s="217">
        <v>0.3611111111111111</v>
      </c>
      <c r="E36" s="218">
        <v>2.119904761904762</v>
      </c>
      <c r="F36" s="218">
        <v>4.1538457500000003</v>
      </c>
      <c r="G36" s="207">
        <v>648</v>
      </c>
      <c r="H36" s="207">
        <v>1373.6982857142857</v>
      </c>
      <c r="I36" s="208">
        <v>8.241060075982442E-4</v>
      </c>
    </row>
    <row r="37" spans="1:9" ht="15" customHeight="1" x14ac:dyDescent="0.25">
      <c r="A37" s="201" t="s">
        <v>304</v>
      </c>
      <c r="B37" s="209">
        <v>108</v>
      </c>
      <c r="C37" s="209">
        <v>39</v>
      </c>
      <c r="D37" s="219">
        <v>0.3611111111111111</v>
      </c>
      <c r="E37" s="220">
        <v>2.119904761904762</v>
      </c>
      <c r="F37" s="220">
        <v>4.1538457500000003</v>
      </c>
      <c r="G37" s="209">
        <v>648</v>
      </c>
      <c r="H37" s="209">
        <v>1373.6982857142857</v>
      </c>
      <c r="I37" s="210">
        <v>8.241060075982442E-4</v>
      </c>
    </row>
    <row r="38" spans="1:9" ht="15" customHeight="1" x14ac:dyDescent="0.25">
      <c r="A38" s="198" t="s">
        <v>143</v>
      </c>
      <c r="B38" s="207">
        <v>38</v>
      </c>
      <c r="C38" s="207">
        <v>13</v>
      </c>
      <c r="D38" s="217">
        <v>0.34210526315789475</v>
      </c>
      <c r="E38" s="218">
        <v>2.1586766917293234</v>
      </c>
      <c r="F38" s="218">
        <v>4.1538457500000003</v>
      </c>
      <c r="G38" s="207">
        <v>216</v>
      </c>
      <c r="H38" s="207">
        <v>466.27416541353386</v>
      </c>
      <c r="I38" s="208">
        <v>2.7972615595523315E-4</v>
      </c>
    </row>
    <row r="39" spans="1:9" ht="15" customHeight="1" x14ac:dyDescent="0.25">
      <c r="A39" s="201" t="s">
        <v>303</v>
      </c>
      <c r="B39" s="209">
        <v>38</v>
      </c>
      <c r="C39" s="209">
        <v>13</v>
      </c>
      <c r="D39" s="219">
        <v>0.34210526315789475</v>
      </c>
      <c r="E39" s="220">
        <v>2.1586766917293234</v>
      </c>
      <c r="F39" s="220">
        <v>4.1538457500000003</v>
      </c>
      <c r="G39" s="209">
        <v>216</v>
      </c>
      <c r="H39" s="209">
        <v>466.27416541353386</v>
      </c>
      <c r="I39" s="210">
        <v>2.7972615595523315E-4</v>
      </c>
    </row>
    <row r="40" spans="1:9" ht="15" customHeight="1" x14ac:dyDescent="0.25">
      <c r="A40" s="198" t="s">
        <v>28</v>
      </c>
      <c r="B40" s="207">
        <v>5522</v>
      </c>
      <c r="C40" s="207">
        <v>1490</v>
      </c>
      <c r="D40" s="217">
        <v>0.26982977182180368</v>
      </c>
      <c r="E40" s="218">
        <v>2.3061186940549492</v>
      </c>
      <c r="F40" s="218">
        <v>4.2130869999999998</v>
      </c>
      <c r="G40" s="207">
        <v>25110</v>
      </c>
      <c r="H40" s="207">
        <v>57906.640407719773</v>
      </c>
      <c r="I40" s="208">
        <v>3.4739222386828104E-2</v>
      </c>
    </row>
    <row r="41" spans="1:9" ht="15" customHeight="1" x14ac:dyDescent="0.25">
      <c r="A41" s="201" t="s">
        <v>302</v>
      </c>
      <c r="B41" s="209">
        <v>5522</v>
      </c>
      <c r="C41" s="209">
        <v>1490</v>
      </c>
      <c r="D41" s="219">
        <v>0.26982977182180368</v>
      </c>
      <c r="E41" s="220">
        <v>2.3061186940549492</v>
      </c>
      <c r="F41" s="220">
        <v>4.2130869999999998</v>
      </c>
      <c r="G41" s="209">
        <v>25110</v>
      </c>
      <c r="H41" s="209">
        <v>57906.640407719773</v>
      </c>
      <c r="I41" s="210">
        <v>3.4739222386828104E-2</v>
      </c>
    </row>
    <row r="42" spans="1:9" ht="15" customHeight="1" x14ac:dyDescent="0.25">
      <c r="A42" s="198" t="s">
        <v>29</v>
      </c>
      <c r="B42" s="207">
        <v>50</v>
      </c>
      <c r="C42" s="207">
        <v>25</v>
      </c>
      <c r="D42" s="217">
        <v>0.5</v>
      </c>
      <c r="E42" s="218">
        <v>1.8365714285714285</v>
      </c>
      <c r="F42" s="218">
        <v>4.71</v>
      </c>
      <c r="G42" s="207">
        <v>471</v>
      </c>
      <c r="H42" s="207">
        <v>865.02514285714278</v>
      </c>
      <c r="I42" s="208">
        <v>5.189439517873654E-4</v>
      </c>
    </row>
    <row r="43" spans="1:9" ht="15" customHeight="1" x14ac:dyDescent="0.25">
      <c r="A43" s="201" t="s">
        <v>299</v>
      </c>
      <c r="B43" s="209">
        <v>50</v>
      </c>
      <c r="C43" s="209">
        <v>25</v>
      </c>
      <c r="D43" s="219">
        <v>0.5</v>
      </c>
      <c r="E43" s="220">
        <v>1.8365714285714285</v>
      </c>
      <c r="F43" s="220">
        <v>4.71</v>
      </c>
      <c r="G43" s="209">
        <v>471</v>
      </c>
      <c r="H43" s="209">
        <v>865.02514285714278</v>
      </c>
      <c r="I43" s="210">
        <v>5.189439517873654E-4</v>
      </c>
    </row>
    <row r="44" spans="1:9" ht="15" customHeight="1" x14ac:dyDescent="0.25">
      <c r="A44" s="198" t="s">
        <v>30</v>
      </c>
      <c r="B44" s="207">
        <v>1248</v>
      </c>
      <c r="C44" s="207">
        <v>509</v>
      </c>
      <c r="D44" s="217">
        <v>0.4078525641025641</v>
      </c>
      <c r="E44" s="218">
        <v>2.0245521978021976</v>
      </c>
      <c r="F44" s="218">
        <v>4.2721014999999998</v>
      </c>
      <c r="G44" s="207">
        <v>8698</v>
      </c>
      <c r="H44" s="207">
        <v>17609.555016483515</v>
      </c>
      <c r="I44" s="208">
        <v>1.0564284916953175E-2</v>
      </c>
    </row>
    <row r="45" spans="1:9" ht="15" customHeight="1" x14ac:dyDescent="0.25">
      <c r="A45" s="201" t="s">
        <v>301</v>
      </c>
      <c r="B45" s="209">
        <v>1248</v>
      </c>
      <c r="C45" s="209">
        <v>509</v>
      </c>
      <c r="D45" s="219">
        <v>0.4078525641025641</v>
      </c>
      <c r="E45" s="220">
        <v>2.0245521978021976</v>
      </c>
      <c r="F45" s="220">
        <v>4.2721014999999998</v>
      </c>
      <c r="G45" s="209">
        <v>8698</v>
      </c>
      <c r="H45" s="209">
        <v>17609.555016483515</v>
      </c>
      <c r="I45" s="210">
        <v>1.0564284916953175E-2</v>
      </c>
    </row>
    <row r="46" spans="1:9" ht="15" customHeight="1" x14ac:dyDescent="0.25">
      <c r="A46" s="198" t="s">
        <v>31</v>
      </c>
      <c r="B46" s="207">
        <v>145</v>
      </c>
      <c r="C46" s="207">
        <v>57</v>
      </c>
      <c r="D46" s="217">
        <v>0.39310344827586208</v>
      </c>
      <c r="E46" s="218">
        <v>2.0546403940886702</v>
      </c>
      <c r="F46" s="218">
        <v>4.2017540000000002</v>
      </c>
      <c r="G46" s="207">
        <v>958</v>
      </c>
      <c r="H46" s="207">
        <v>1968.3454975369459</v>
      </c>
      <c r="I46" s="208">
        <v>1.1808454348515773E-3</v>
      </c>
    </row>
    <row r="47" spans="1:9" ht="15" customHeight="1" x14ac:dyDescent="0.25">
      <c r="A47" s="201" t="s">
        <v>300</v>
      </c>
      <c r="B47" s="209">
        <v>145</v>
      </c>
      <c r="C47" s="209">
        <v>57</v>
      </c>
      <c r="D47" s="219">
        <v>0.39310344827586208</v>
      </c>
      <c r="E47" s="220">
        <v>2.0546403940886702</v>
      </c>
      <c r="F47" s="220">
        <v>4.2017540000000002</v>
      </c>
      <c r="G47" s="209">
        <v>958</v>
      </c>
      <c r="H47" s="209">
        <v>1968.3454975369459</v>
      </c>
      <c r="I47" s="210">
        <v>1.1808454348515773E-3</v>
      </c>
    </row>
    <row r="48" spans="1:9" ht="15" customHeight="1" x14ac:dyDescent="0.25">
      <c r="A48" s="198" t="s">
        <v>32</v>
      </c>
      <c r="B48" s="207">
        <v>2603</v>
      </c>
      <c r="C48" s="207">
        <v>664</v>
      </c>
      <c r="D48" s="217">
        <v>0.25509028044563964</v>
      </c>
      <c r="E48" s="218">
        <v>2.3361872564623236</v>
      </c>
      <c r="F48" s="218">
        <v>4.2025597499999998</v>
      </c>
      <c r="G48" s="207">
        <v>11162</v>
      </c>
      <c r="H48" s="207">
        <v>26076.522156632454</v>
      </c>
      <c r="I48" s="208">
        <v>1.5643768933856831E-2</v>
      </c>
    </row>
    <row r="49" spans="1:9" ht="15" customHeight="1" x14ac:dyDescent="0.25">
      <c r="A49" s="201" t="s">
        <v>297</v>
      </c>
      <c r="B49" s="209">
        <v>2603</v>
      </c>
      <c r="C49" s="209">
        <v>664</v>
      </c>
      <c r="D49" s="219">
        <v>0.25509028044563964</v>
      </c>
      <c r="E49" s="220">
        <v>2.3361872564623236</v>
      </c>
      <c r="F49" s="220">
        <v>4.2025597499999998</v>
      </c>
      <c r="G49" s="209">
        <v>11162</v>
      </c>
      <c r="H49" s="209">
        <v>26076.522156632454</v>
      </c>
      <c r="I49" s="210">
        <v>1.5643768933856831E-2</v>
      </c>
    </row>
    <row r="50" spans="1:9" ht="15" customHeight="1" x14ac:dyDescent="0.25">
      <c r="A50" s="198" t="s">
        <v>33</v>
      </c>
      <c r="B50" s="207">
        <v>343</v>
      </c>
      <c r="C50" s="207">
        <v>97</v>
      </c>
      <c r="D50" s="217">
        <v>0.28279883381924198</v>
      </c>
      <c r="E50" s="218">
        <v>2.2796618075801751</v>
      </c>
      <c r="F50" s="218">
        <v>4.2835047500000005</v>
      </c>
      <c r="G50" s="207">
        <v>1662</v>
      </c>
      <c r="H50" s="207">
        <v>3788.7979241982512</v>
      </c>
      <c r="I50" s="208">
        <v>2.2729671889224114E-3</v>
      </c>
    </row>
    <row r="51" spans="1:9" ht="15" customHeight="1" x14ac:dyDescent="0.25">
      <c r="A51" s="201" t="s">
        <v>296</v>
      </c>
      <c r="B51" s="209">
        <v>343</v>
      </c>
      <c r="C51" s="209">
        <v>97</v>
      </c>
      <c r="D51" s="219">
        <v>0.28279883381924198</v>
      </c>
      <c r="E51" s="220">
        <v>2.2796618075801751</v>
      </c>
      <c r="F51" s="220">
        <v>4.2835047500000005</v>
      </c>
      <c r="G51" s="209">
        <v>1662</v>
      </c>
      <c r="H51" s="209">
        <v>3788.7979241982512</v>
      </c>
      <c r="I51" s="210">
        <v>2.2729671889224114E-3</v>
      </c>
    </row>
    <row r="52" spans="1:9" ht="15" customHeight="1" x14ac:dyDescent="0.25">
      <c r="A52" s="198" t="s">
        <v>34</v>
      </c>
      <c r="B52" s="207">
        <v>23</v>
      </c>
      <c r="C52" s="207">
        <v>7</v>
      </c>
      <c r="D52" s="217">
        <v>0.30434782608695654</v>
      </c>
      <c r="E52" s="218">
        <v>2.2357018633540373</v>
      </c>
      <c r="F52" s="218">
        <v>4.7499995000000004</v>
      </c>
      <c r="G52" s="207">
        <v>133</v>
      </c>
      <c r="H52" s="207">
        <v>297.34834782608698</v>
      </c>
      <c r="I52" s="208">
        <v>1.7838455674090985E-4</v>
      </c>
    </row>
    <row r="53" spans="1:9" ht="15" customHeight="1" x14ac:dyDescent="0.25">
      <c r="A53" s="201" t="s">
        <v>294</v>
      </c>
      <c r="B53" s="209">
        <v>23</v>
      </c>
      <c r="C53" s="209">
        <v>7</v>
      </c>
      <c r="D53" s="219">
        <v>0.30434782608695654</v>
      </c>
      <c r="E53" s="220">
        <v>2.2357018633540373</v>
      </c>
      <c r="F53" s="220">
        <v>4.7499995000000004</v>
      </c>
      <c r="G53" s="209">
        <v>133</v>
      </c>
      <c r="H53" s="209">
        <v>297.34834782608698</v>
      </c>
      <c r="I53" s="210">
        <v>1.7838455674090985E-4</v>
      </c>
    </row>
    <row r="54" spans="1:9" ht="15" customHeight="1" x14ac:dyDescent="0.25">
      <c r="A54" s="198" t="s">
        <v>35</v>
      </c>
      <c r="B54" s="207">
        <v>1216</v>
      </c>
      <c r="C54" s="207">
        <v>811</v>
      </c>
      <c r="D54" s="217">
        <v>0.66694078947368418</v>
      </c>
      <c r="E54" s="218">
        <v>1.4960122180451128</v>
      </c>
      <c r="F54" s="218">
        <v>4.4062877500000006</v>
      </c>
      <c r="G54" s="207">
        <v>14294</v>
      </c>
      <c r="H54" s="207">
        <v>21383.998644736843</v>
      </c>
      <c r="I54" s="208">
        <v>1.2828640708710667E-2</v>
      </c>
    </row>
    <row r="55" spans="1:9" ht="15" customHeight="1" x14ac:dyDescent="0.25">
      <c r="A55" s="201" t="s">
        <v>293</v>
      </c>
      <c r="B55" s="209">
        <v>1216</v>
      </c>
      <c r="C55" s="209">
        <v>811</v>
      </c>
      <c r="D55" s="219">
        <v>0.66694078947368418</v>
      </c>
      <c r="E55" s="220">
        <v>1.4960122180451128</v>
      </c>
      <c r="F55" s="220">
        <v>4.4062877500000006</v>
      </c>
      <c r="G55" s="209">
        <v>14294</v>
      </c>
      <c r="H55" s="209">
        <v>21383.998644736843</v>
      </c>
      <c r="I55" s="210">
        <v>1.2828640708710667E-2</v>
      </c>
    </row>
    <row r="56" spans="1:9" ht="15" customHeight="1" x14ac:dyDescent="0.25">
      <c r="A56" s="198" t="s">
        <v>36</v>
      </c>
      <c r="B56" s="207">
        <v>54</v>
      </c>
      <c r="C56" s="207">
        <v>5</v>
      </c>
      <c r="D56" s="217">
        <v>9.2592592592592587E-2</v>
      </c>
      <c r="E56" s="218">
        <v>2.4485709999999998</v>
      </c>
      <c r="F56" s="218">
        <v>4.5</v>
      </c>
      <c r="G56" s="207">
        <v>90</v>
      </c>
      <c r="H56" s="207">
        <v>220.37138999999999</v>
      </c>
      <c r="I56" s="208">
        <v>1.3220471211940378E-4</v>
      </c>
    </row>
    <row r="57" spans="1:9" ht="15" customHeight="1" x14ac:dyDescent="0.25">
      <c r="A57" s="201" t="s">
        <v>292</v>
      </c>
      <c r="B57" s="209">
        <v>54</v>
      </c>
      <c r="C57" s="209">
        <v>5</v>
      </c>
      <c r="D57" s="219">
        <v>9.2592592592592587E-2</v>
      </c>
      <c r="E57" s="220">
        <v>2.4485709999999998</v>
      </c>
      <c r="F57" s="220">
        <v>4.5</v>
      </c>
      <c r="G57" s="209">
        <v>90</v>
      </c>
      <c r="H57" s="209">
        <v>220.37138999999999</v>
      </c>
      <c r="I57" s="210">
        <v>1.3220471211940378E-4</v>
      </c>
    </row>
    <row r="58" spans="1:9" ht="15" customHeight="1" x14ac:dyDescent="0.25">
      <c r="A58" s="198" t="s">
        <v>37</v>
      </c>
      <c r="B58" s="207">
        <v>21</v>
      </c>
      <c r="C58" s="207">
        <v>7</v>
      </c>
      <c r="D58" s="217">
        <v>0.33333333333333331</v>
      </c>
      <c r="E58" s="218">
        <v>2.1765714285714286</v>
      </c>
      <c r="F58" s="218">
        <v>4.2857137500000002</v>
      </c>
      <c r="G58" s="207">
        <v>120</v>
      </c>
      <c r="H58" s="207">
        <v>261.18857142857144</v>
      </c>
      <c r="I58" s="208">
        <v>1.5669166444243337E-4</v>
      </c>
    </row>
    <row r="59" spans="1:9" ht="15" customHeight="1" x14ac:dyDescent="0.25">
      <c r="A59" s="201" t="s">
        <v>289</v>
      </c>
      <c r="B59" s="209">
        <v>21</v>
      </c>
      <c r="C59" s="209">
        <v>7</v>
      </c>
      <c r="D59" s="219">
        <v>0.33333333333333331</v>
      </c>
      <c r="E59" s="220">
        <v>2.1765714285714286</v>
      </c>
      <c r="F59" s="220">
        <v>4.2857137500000002</v>
      </c>
      <c r="G59" s="209">
        <v>120</v>
      </c>
      <c r="H59" s="209">
        <v>261.18857142857144</v>
      </c>
      <c r="I59" s="210">
        <v>1.5669166444243337E-4</v>
      </c>
    </row>
    <row r="60" spans="1:9" ht="15" customHeight="1" x14ac:dyDescent="0.25">
      <c r="A60" s="198" t="s">
        <v>38</v>
      </c>
      <c r="B60" s="207">
        <v>1795</v>
      </c>
      <c r="C60" s="207">
        <v>833</v>
      </c>
      <c r="D60" s="217">
        <v>0.46406685236768802</v>
      </c>
      <c r="E60" s="218">
        <v>1.909875049741345</v>
      </c>
      <c r="F60" s="218">
        <v>4.2094832499999999</v>
      </c>
      <c r="G60" s="207">
        <v>14026</v>
      </c>
      <c r="H60" s="207">
        <v>26787.907447672107</v>
      </c>
      <c r="I60" s="208">
        <v>1.6070541608875468E-2</v>
      </c>
    </row>
    <row r="61" spans="1:9" ht="15" customHeight="1" x14ac:dyDescent="0.25">
      <c r="A61" s="201" t="s">
        <v>288</v>
      </c>
      <c r="B61" s="209">
        <v>1795</v>
      </c>
      <c r="C61" s="209">
        <v>833</v>
      </c>
      <c r="D61" s="219">
        <v>0.46406685236768802</v>
      </c>
      <c r="E61" s="220">
        <v>1.909875049741345</v>
      </c>
      <c r="F61" s="220">
        <v>4.2094832499999999</v>
      </c>
      <c r="G61" s="209">
        <v>14026</v>
      </c>
      <c r="H61" s="209">
        <v>26787.907447672107</v>
      </c>
      <c r="I61" s="210">
        <v>1.6070541608875468E-2</v>
      </c>
    </row>
    <row r="62" spans="1:9" ht="15" customHeight="1" x14ac:dyDescent="0.25">
      <c r="A62" s="198" t="s">
        <v>39</v>
      </c>
      <c r="B62" s="207">
        <v>235</v>
      </c>
      <c r="C62" s="207">
        <v>213</v>
      </c>
      <c r="D62" s="217">
        <v>0.90638297872340423</v>
      </c>
      <c r="E62" s="218">
        <v>1.103286384976526</v>
      </c>
      <c r="F62" s="218">
        <v>4.6244127500000003</v>
      </c>
      <c r="G62" s="207">
        <v>3940</v>
      </c>
      <c r="H62" s="207">
        <v>4346.948356807512</v>
      </c>
      <c r="I62" s="208">
        <v>2.6078115499006131E-3</v>
      </c>
    </row>
    <row r="63" spans="1:9" ht="15" customHeight="1" x14ac:dyDescent="0.25">
      <c r="A63" s="201" t="s">
        <v>287</v>
      </c>
      <c r="B63" s="209">
        <v>235</v>
      </c>
      <c r="C63" s="209">
        <v>213</v>
      </c>
      <c r="D63" s="219">
        <v>0.90638297872340423</v>
      </c>
      <c r="E63" s="220">
        <v>1.103286384976526</v>
      </c>
      <c r="F63" s="220">
        <v>4.6244127500000003</v>
      </c>
      <c r="G63" s="209">
        <v>3940</v>
      </c>
      <c r="H63" s="209">
        <v>4346.948356807512</v>
      </c>
      <c r="I63" s="210">
        <v>2.6078115499006131E-3</v>
      </c>
    </row>
    <row r="64" spans="1:9" ht="15" customHeight="1" x14ac:dyDescent="0.25">
      <c r="A64" s="198" t="s">
        <v>441</v>
      </c>
      <c r="B64" s="207">
        <v>4469</v>
      </c>
      <c r="C64" s="207">
        <v>1775</v>
      </c>
      <c r="D64" s="217">
        <v>0.39718057731036027</v>
      </c>
      <c r="E64" s="218">
        <v>2.0463230508582937</v>
      </c>
      <c r="F64" s="218">
        <v>4.3029569999999993</v>
      </c>
      <c r="G64" s="207">
        <v>30551</v>
      </c>
      <c r="H64" s="207">
        <v>62517.215526771732</v>
      </c>
      <c r="I64" s="208">
        <v>3.7505188315160046E-2</v>
      </c>
    </row>
    <row r="65" spans="1:9" ht="15" customHeight="1" x14ac:dyDescent="0.25">
      <c r="A65" s="201" t="s">
        <v>286</v>
      </c>
      <c r="B65" s="209">
        <v>4469</v>
      </c>
      <c r="C65" s="209">
        <v>1775</v>
      </c>
      <c r="D65" s="219">
        <v>0.39718057731036027</v>
      </c>
      <c r="E65" s="220">
        <v>2.0463230508582937</v>
      </c>
      <c r="F65" s="220">
        <v>4.3029569999999993</v>
      </c>
      <c r="G65" s="209">
        <v>30551</v>
      </c>
      <c r="H65" s="209">
        <v>62517.215526771732</v>
      </c>
      <c r="I65" s="210">
        <v>3.7505188315160046E-2</v>
      </c>
    </row>
    <row r="66" spans="1:9" ht="15" customHeight="1" x14ac:dyDescent="0.25">
      <c r="A66" s="198" t="s">
        <v>40</v>
      </c>
      <c r="B66" s="207">
        <v>154</v>
      </c>
      <c r="C66" s="207">
        <v>85</v>
      </c>
      <c r="D66" s="217">
        <v>0.55194805194805197</v>
      </c>
      <c r="E66" s="218">
        <v>1.7305974025974027</v>
      </c>
      <c r="F66" s="218">
        <v>4.5352934999999999</v>
      </c>
      <c r="G66" s="207">
        <v>1542</v>
      </c>
      <c r="H66" s="207">
        <v>2668.5811948051951</v>
      </c>
      <c r="I66" s="208">
        <v>1.6009292704759696E-3</v>
      </c>
    </row>
    <row r="67" spans="1:9" ht="15" customHeight="1" x14ac:dyDescent="0.25">
      <c r="A67" s="201" t="s">
        <v>291</v>
      </c>
      <c r="B67" s="209">
        <v>154</v>
      </c>
      <c r="C67" s="209">
        <v>85</v>
      </c>
      <c r="D67" s="219">
        <v>0.55194805194805197</v>
      </c>
      <c r="E67" s="220">
        <v>1.7305974025974027</v>
      </c>
      <c r="F67" s="220">
        <v>4.5352934999999999</v>
      </c>
      <c r="G67" s="209">
        <v>1542</v>
      </c>
      <c r="H67" s="209">
        <v>2668.5811948051951</v>
      </c>
      <c r="I67" s="210">
        <v>1.6009292704759696E-3</v>
      </c>
    </row>
    <row r="68" spans="1:9" ht="15" customHeight="1" x14ac:dyDescent="0.25">
      <c r="A68" s="198" t="s">
        <v>41</v>
      </c>
      <c r="B68" s="207">
        <v>94</v>
      </c>
      <c r="C68" s="207">
        <v>86</v>
      </c>
      <c r="D68" s="217">
        <v>0.91489361702127658</v>
      </c>
      <c r="E68" s="218">
        <v>1.0930232558139537</v>
      </c>
      <c r="F68" s="218">
        <v>4.5988369999999996</v>
      </c>
      <c r="G68" s="207">
        <v>1582</v>
      </c>
      <c r="H68" s="207">
        <v>1729.1627906976746</v>
      </c>
      <c r="I68" s="208">
        <v>1.0373554795464644E-3</v>
      </c>
    </row>
    <row r="69" spans="1:9" ht="15" customHeight="1" x14ac:dyDescent="0.25">
      <c r="A69" s="201" t="s">
        <v>290</v>
      </c>
      <c r="B69" s="209">
        <v>94</v>
      </c>
      <c r="C69" s="209">
        <v>86</v>
      </c>
      <c r="D69" s="219">
        <v>0.91489361702127658</v>
      </c>
      <c r="E69" s="220">
        <v>1.0930232558139537</v>
      </c>
      <c r="F69" s="220">
        <v>4.5988369999999996</v>
      </c>
      <c r="G69" s="209">
        <v>1582</v>
      </c>
      <c r="H69" s="209">
        <v>1729.1627906976746</v>
      </c>
      <c r="I69" s="210">
        <v>1.0373554795464644E-3</v>
      </c>
    </row>
    <row r="70" spans="1:9" ht="15" customHeight="1" x14ac:dyDescent="0.25">
      <c r="A70" s="198" t="s">
        <v>42</v>
      </c>
      <c r="B70" s="207">
        <v>424</v>
      </c>
      <c r="C70" s="207">
        <v>114</v>
      </c>
      <c r="D70" s="217">
        <v>0.26886792452830188</v>
      </c>
      <c r="E70" s="218">
        <v>2.3080808625336928</v>
      </c>
      <c r="F70" s="218">
        <v>4.3596487499999999</v>
      </c>
      <c r="G70" s="207">
        <v>1988</v>
      </c>
      <c r="H70" s="207">
        <v>4588.4647547169816</v>
      </c>
      <c r="I70" s="208">
        <v>2.752701527940579E-3</v>
      </c>
    </row>
    <row r="71" spans="1:9" ht="15" customHeight="1" x14ac:dyDescent="0.25">
      <c r="A71" s="201" t="s">
        <v>285</v>
      </c>
      <c r="B71" s="209">
        <v>424</v>
      </c>
      <c r="C71" s="209">
        <v>114</v>
      </c>
      <c r="D71" s="219">
        <v>0.26886792452830188</v>
      </c>
      <c r="E71" s="220">
        <v>2.3080808625336928</v>
      </c>
      <c r="F71" s="220">
        <v>4.3596487499999999</v>
      </c>
      <c r="G71" s="209">
        <v>1988</v>
      </c>
      <c r="H71" s="209">
        <v>4588.4647547169816</v>
      </c>
      <c r="I71" s="210">
        <v>2.752701527940579E-3</v>
      </c>
    </row>
    <row r="72" spans="1:9" ht="15" customHeight="1" x14ac:dyDescent="0.25">
      <c r="A72" s="198" t="s">
        <v>43</v>
      </c>
      <c r="B72" s="207">
        <v>1789</v>
      </c>
      <c r="C72" s="207">
        <v>747</v>
      </c>
      <c r="D72" s="217">
        <v>0.41755170486305199</v>
      </c>
      <c r="E72" s="218">
        <v>2.0047659506508024</v>
      </c>
      <c r="F72" s="218">
        <v>4.3356755000000007</v>
      </c>
      <c r="G72" s="207">
        <v>12955</v>
      </c>
      <c r="H72" s="207">
        <v>25971.742890681144</v>
      </c>
      <c r="I72" s="208">
        <v>1.5580909990637498E-2</v>
      </c>
    </row>
    <row r="73" spans="1:9" ht="15" customHeight="1" x14ac:dyDescent="0.25">
      <c r="A73" s="201" t="s">
        <v>284</v>
      </c>
      <c r="B73" s="209">
        <v>1789</v>
      </c>
      <c r="C73" s="209">
        <v>747</v>
      </c>
      <c r="D73" s="219">
        <v>0.41755170486305199</v>
      </c>
      <c r="E73" s="220">
        <v>2.0047659506508024</v>
      </c>
      <c r="F73" s="220">
        <v>4.3356755000000007</v>
      </c>
      <c r="G73" s="209">
        <v>12955</v>
      </c>
      <c r="H73" s="209">
        <v>25971.742890681144</v>
      </c>
      <c r="I73" s="210">
        <v>1.5580909990637498E-2</v>
      </c>
    </row>
    <row r="74" spans="1:9" ht="15" customHeight="1" x14ac:dyDescent="0.25">
      <c r="A74" s="198" t="s">
        <v>149</v>
      </c>
      <c r="B74" s="207">
        <v>82</v>
      </c>
      <c r="C74" s="207">
        <v>55</v>
      </c>
      <c r="D74" s="217">
        <v>0.67073170731707321</v>
      </c>
      <c r="E74" s="218">
        <v>1.4882787456445994</v>
      </c>
      <c r="F74" s="218">
        <v>4.4090904999999996</v>
      </c>
      <c r="G74" s="207">
        <v>970</v>
      </c>
      <c r="H74" s="207">
        <v>1443.6303832752615</v>
      </c>
      <c r="I74" s="208">
        <v>8.6605951538323779E-4</v>
      </c>
    </row>
    <row r="75" spans="1:9" ht="15" customHeight="1" x14ac:dyDescent="0.25">
      <c r="A75" s="201" t="s">
        <v>283</v>
      </c>
      <c r="B75" s="209">
        <v>82</v>
      </c>
      <c r="C75" s="209">
        <v>55</v>
      </c>
      <c r="D75" s="219">
        <v>0.67073170731707321</v>
      </c>
      <c r="E75" s="220">
        <v>1.4882787456445994</v>
      </c>
      <c r="F75" s="220">
        <v>4.4090904999999996</v>
      </c>
      <c r="G75" s="209">
        <v>970</v>
      </c>
      <c r="H75" s="209">
        <v>1443.6303832752615</v>
      </c>
      <c r="I75" s="210">
        <v>8.6605951538323779E-4</v>
      </c>
    </row>
    <row r="76" spans="1:9" ht="15" customHeight="1" x14ac:dyDescent="0.25">
      <c r="A76" s="198" t="s">
        <v>496</v>
      </c>
      <c r="B76" s="207">
        <v>49</v>
      </c>
      <c r="C76" s="207">
        <v>12</v>
      </c>
      <c r="D76" s="217">
        <v>0.24489795918367346</v>
      </c>
      <c r="E76" s="218">
        <v>2.3569795918367347</v>
      </c>
      <c r="F76" s="218">
        <v>4.6458327500000003</v>
      </c>
      <c r="G76" s="207">
        <v>223</v>
      </c>
      <c r="H76" s="207">
        <v>525.60644897959185</v>
      </c>
      <c r="I76" s="208">
        <v>3.1532064700163224E-4</v>
      </c>
    </row>
    <row r="77" spans="1:9" ht="15" customHeight="1" x14ac:dyDescent="0.25">
      <c r="A77" s="201" t="s">
        <v>282</v>
      </c>
      <c r="B77" s="209">
        <v>49</v>
      </c>
      <c r="C77" s="209">
        <v>12</v>
      </c>
      <c r="D77" s="219">
        <v>0.24489795918367346</v>
      </c>
      <c r="E77" s="220">
        <v>2.3569795918367347</v>
      </c>
      <c r="F77" s="220">
        <v>4.6458327500000003</v>
      </c>
      <c r="G77" s="209">
        <v>223</v>
      </c>
      <c r="H77" s="209">
        <v>525.60644897959185</v>
      </c>
      <c r="I77" s="210">
        <v>3.1532064700163224E-4</v>
      </c>
    </row>
    <row r="78" spans="1:9" ht="15" customHeight="1" x14ac:dyDescent="0.25">
      <c r="A78" s="198" t="s">
        <v>46</v>
      </c>
      <c r="B78" s="207">
        <v>24</v>
      </c>
      <c r="C78" s="207">
        <v>17</v>
      </c>
      <c r="D78" s="217">
        <v>0.70833333333333337</v>
      </c>
      <c r="E78" s="218">
        <v>1.411764705882353</v>
      </c>
      <c r="F78" s="218">
        <v>4.5294112499999999</v>
      </c>
      <c r="G78" s="207">
        <v>308</v>
      </c>
      <c r="H78" s="207">
        <v>434.82352941176475</v>
      </c>
      <c r="I78" s="208">
        <v>2.608583606457511E-4</v>
      </c>
    </row>
    <row r="79" spans="1:9" ht="15" customHeight="1" x14ac:dyDescent="0.25">
      <c r="A79" s="201" t="s">
        <v>281</v>
      </c>
      <c r="B79" s="209">
        <v>24</v>
      </c>
      <c r="C79" s="209">
        <v>17</v>
      </c>
      <c r="D79" s="219">
        <v>0.70833333333333337</v>
      </c>
      <c r="E79" s="220">
        <v>1.411764705882353</v>
      </c>
      <c r="F79" s="220">
        <v>4.5294112499999999</v>
      </c>
      <c r="G79" s="209">
        <v>308</v>
      </c>
      <c r="H79" s="209">
        <v>434.82352941176475</v>
      </c>
      <c r="I79" s="210">
        <v>2.608583606457511E-4</v>
      </c>
    </row>
    <row r="80" spans="1:9" ht="15" customHeight="1" x14ac:dyDescent="0.25">
      <c r="A80" s="198" t="s">
        <v>497</v>
      </c>
      <c r="B80" s="207">
        <v>14</v>
      </c>
      <c r="C80" s="207">
        <v>6</v>
      </c>
      <c r="D80" s="217">
        <v>0.42857142857142855</v>
      </c>
      <c r="E80" s="218">
        <v>1.9822857142857144</v>
      </c>
      <c r="F80" s="218">
        <v>4.3749997499999997</v>
      </c>
      <c r="G80" s="207">
        <v>105</v>
      </c>
      <c r="H80" s="207">
        <v>208.14000000000001</v>
      </c>
      <c r="I80" s="208">
        <v>1.2486688394774251E-4</v>
      </c>
    </row>
    <row r="81" spans="1:9" ht="15" customHeight="1" x14ac:dyDescent="0.25">
      <c r="A81" s="201" t="s">
        <v>280</v>
      </c>
      <c r="B81" s="209">
        <v>14</v>
      </c>
      <c r="C81" s="209">
        <v>6</v>
      </c>
      <c r="D81" s="219">
        <v>0.42857142857142855</v>
      </c>
      <c r="E81" s="220">
        <v>1.9822857142857144</v>
      </c>
      <c r="F81" s="220">
        <v>4.3749997499999997</v>
      </c>
      <c r="G81" s="209">
        <v>105</v>
      </c>
      <c r="H81" s="209">
        <v>208.14000000000001</v>
      </c>
      <c r="I81" s="210">
        <v>1.2486688394774251E-4</v>
      </c>
    </row>
    <row r="82" spans="1:9" ht="15" customHeight="1" x14ac:dyDescent="0.25">
      <c r="A82" s="198" t="s">
        <v>48</v>
      </c>
      <c r="B82" s="207">
        <v>33</v>
      </c>
      <c r="C82" s="207">
        <v>31</v>
      </c>
      <c r="D82" s="217">
        <v>0.93939393939393945</v>
      </c>
      <c r="E82" s="218">
        <v>1.0645161290322582</v>
      </c>
      <c r="F82" s="218">
        <v>4.4677414999999998</v>
      </c>
      <c r="G82" s="207">
        <v>554</v>
      </c>
      <c r="H82" s="207">
        <v>589.74193548387109</v>
      </c>
      <c r="I82" s="208">
        <v>3.5379666482743141E-4</v>
      </c>
    </row>
    <row r="83" spans="1:9" ht="15" customHeight="1" x14ac:dyDescent="0.25">
      <c r="A83" s="201" t="s">
        <v>278</v>
      </c>
      <c r="B83" s="209">
        <v>33</v>
      </c>
      <c r="C83" s="209">
        <v>31</v>
      </c>
      <c r="D83" s="219">
        <v>0.93939393939393945</v>
      </c>
      <c r="E83" s="220">
        <v>1.0645161290322582</v>
      </c>
      <c r="F83" s="220">
        <v>4.4677414999999998</v>
      </c>
      <c r="G83" s="209">
        <v>554</v>
      </c>
      <c r="H83" s="209">
        <v>589.74193548387109</v>
      </c>
      <c r="I83" s="210">
        <v>3.5379666482743141E-4</v>
      </c>
    </row>
    <row r="84" spans="1:9" ht="15" customHeight="1" x14ac:dyDescent="0.25">
      <c r="A84" s="198" t="s">
        <v>49</v>
      </c>
      <c r="B84" s="207">
        <v>1531</v>
      </c>
      <c r="C84" s="207">
        <v>714</v>
      </c>
      <c r="D84" s="217">
        <v>0.46636185499673416</v>
      </c>
      <c r="E84" s="218">
        <v>1.905193244378091</v>
      </c>
      <c r="F84" s="218">
        <v>4.3532910000000005</v>
      </c>
      <c r="G84" s="207">
        <v>12433</v>
      </c>
      <c r="H84" s="207">
        <v>23687.267607352805</v>
      </c>
      <c r="I84" s="208">
        <v>1.421041268072664E-2</v>
      </c>
    </row>
    <row r="85" spans="1:9" ht="15" customHeight="1" x14ac:dyDescent="0.25">
      <c r="A85" s="201" t="s">
        <v>277</v>
      </c>
      <c r="B85" s="209">
        <v>1531</v>
      </c>
      <c r="C85" s="209">
        <v>714</v>
      </c>
      <c r="D85" s="219">
        <v>0.46636185499673416</v>
      </c>
      <c r="E85" s="220">
        <v>1.905193244378091</v>
      </c>
      <c r="F85" s="220">
        <v>4.3532910000000005</v>
      </c>
      <c r="G85" s="209">
        <v>12433</v>
      </c>
      <c r="H85" s="209">
        <v>23687.267607352805</v>
      </c>
      <c r="I85" s="210">
        <v>1.421041268072664E-2</v>
      </c>
    </row>
    <row r="86" spans="1:9" ht="15" customHeight="1" x14ac:dyDescent="0.25">
      <c r="A86" s="198" t="s">
        <v>435</v>
      </c>
      <c r="B86" s="207">
        <v>22</v>
      </c>
      <c r="C86" s="207">
        <v>14</v>
      </c>
      <c r="D86" s="217">
        <v>0.63636363636363635</v>
      </c>
      <c r="E86" s="218">
        <v>1.5583896103896104</v>
      </c>
      <c r="F86" s="218">
        <v>4.3392852499999996</v>
      </c>
      <c r="G86" s="207">
        <v>243</v>
      </c>
      <c r="H86" s="207">
        <v>378.68867532467533</v>
      </c>
      <c r="I86" s="208">
        <v>2.2718206435135281E-4</v>
      </c>
    </row>
    <row r="87" spans="1:9" ht="15" customHeight="1" x14ac:dyDescent="0.25">
      <c r="A87" s="201" t="s">
        <v>267</v>
      </c>
      <c r="B87" s="209">
        <v>22</v>
      </c>
      <c r="C87" s="209">
        <v>14</v>
      </c>
      <c r="D87" s="219">
        <v>0.63636363636363635</v>
      </c>
      <c r="E87" s="220">
        <v>1.5583896103896104</v>
      </c>
      <c r="F87" s="220">
        <v>4.3392852499999996</v>
      </c>
      <c r="G87" s="209">
        <v>243</v>
      </c>
      <c r="H87" s="209">
        <v>378.68867532467533</v>
      </c>
      <c r="I87" s="210">
        <v>2.2718206435135281E-4</v>
      </c>
    </row>
    <row r="88" spans="1:9" ht="15" customHeight="1" x14ac:dyDescent="0.25">
      <c r="A88" s="198" t="s">
        <v>51</v>
      </c>
      <c r="B88" s="207">
        <v>1827</v>
      </c>
      <c r="C88" s="207">
        <v>793</v>
      </c>
      <c r="D88" s="217">
        <v>0.4340448823207444</v>
      </c>
      <c r="E88" s="218">
        <v>1.9711198686371101</v>
      </c>
      <c r="F88" s="218">
        <v>4.3433159999999997</v>
      </c>
      <c r="G88" s="207">
        <v>13777</v>
      </c>
      <c r="H88" s="207">
        <v>27156.118430213464</v>
      </c>
      <c r="I88" s="208">
        <v>1.6291437919172751E-2</v>
      </c>
    </row>
    <row r="89" spans="1:9" ht="15" customHeight="1" x14ac:dyDescent="0.25">
      <c r="A89" s="201" t="s">
        <v>266</v>
      </c>
      <c r="B89" s="209">
        <v>1827</v>
      </c>
      <c r="C89" s="209">
        <v>793</v>
      </c>
      <c r="D89" s="219">
        <v>0.4340448823207444</v>
      </c>
      <c r="E89" s="220">
        <v>1.9711198686371101</v>
      </c>
      <c r="F89" s="220">
        <v>4.3433159999999997</v>
      </c>
      <c r="G89" s="209">
        <v>13777</v>
      </c>
      <c r="H89" s="209">
        <v>27156.118430213464</v>
      </c>
      <c r="I89" s="210">
        <v>1.6291437919172751E-2</v>
      </c>
    </row>
    <row r="90" spans="1:9" ht="15" customHeight="1" x14ac:dyDescent="0.25">
      <c r="A90" s="198" t="s">
        <v>52</v>
      </c>
      <c r="B90" s="207">
        <v>4822</v>
      </c>
      <c r="C90" s="207">
        <v>1966</v>
      </c>
      <c r="D90" s="217">
        <v>0.40771464122770634</v>
      </c>
      <c r="E90" s="218">
        <v>2.0248335604669077</v>
      </c>
      <c r="F90" s="218">
        <v>4.3968712500000002</v>
      </c>
      <c r="G90" s="207">
        <v>34577</v>
      </c>
      <c r="H90" s="207">
        <v>70012.670020264268</v>
      </c>
      <c r="I90" s="208">
        <v>4.2001844634822379E-2</v>
      </c>
    </row>
    <row r="91" spans="1:9" ht="15" customHeight="1" x14ac:dyDescent="0.25">
      <c r="A91" s="201" t="s">
        <v>260</v>
      </c>
      <c r="B91" s="209">
        <v>4822</v>
      </c>
      <c r="C91" s="209">
        <v>1966</v>
      </c>
      <c r="D91" s="219">
        <v>0.40771464122770634</v>
      </c>
      <c r="E91" s="220">
        <v>2.0248335604669077</v>
      </c>
      <c r="F91" s="220">
        <v>4.3968712500000002</v>
      </c>
      <c r="G91" s="209">
        <v>34577</v>
      </c>
      <c r="H91" s="209">
        <v>70012.670020264268</v>
      </c>
      <c r="I91" s="210">
        <v>4.2001844634822379E-2</v>
      </c>
    </row>
    <row r="92" spans="1:9" ht="15" customHeight="1" x14ac:dyDescent="0.25">
      <c r="A92" s="198" t="s">
        <v>53</v>
      </c>
      <c r="B92" s="207">
        <v>226</v>
      </c>
      <c r="C92" s="207">
        <v>75</v>
      </c>
      <c r="D92" s="217">
        <v>0.33185840707964603</v>
      </c>
      <c r="E92" s="218">
        <v>2.1795802781289506</v>
      </c>
      <c r="F92" s="218">
        <v>4.5999995000000009</v>
      </c>
      <c r="G92" s="207">
        <v>1380</v>
      </c>
      <c r="H92" s="207">
        <v>3007.8207838179519</v>
      </c>
      <c r="I92" s="208">
        <v>1.8044451270712218E-3</v>
      </c>
    </row>
    <row r="93" spans="1:9" ht="15" customHeight="1" x14ac:dyDescent="0.25">
      <c r="A93" s="201" t="s">
        <v>276</v>
      </c>
      <c r="B93" s="209">
        <v>226</v>
      </c>
      <c r="C93" s="209">
        <v>75</v>
      </c>
      <c r="D93" s="219">
        <v>0.33185840707964603</v>
      </c>
      <c r="E93" s="220">
        <v>2.1795802781289506</v>
      </c>
      <c r="F93" s="220">
        <v>4.5999995000000009</v>
      </c>
      <c r="G93" s="209">
        <v>1380</v>
      </c>
      <c r="H93" s="209">
        <v>3007.8207838179519</v>
      </c>
      <c r="I93" s="210">
        <v>1.8044451270712218E-3</v>
      </c>
    </row>
    <row r="94" spans="1:9" ht="15" customHeight="1" x14ac:dyDescent="0.25">
      <c r="A94" s="198" t="s">
        <v>54</v>
      </c>
      <c r="B94" s="207">
        <v>338</v>
      </c>
      <c r="C94" s="207">
        <v>238</v>
      </c>
      <c r="D94" s="217">
        <v>0.70414201183431957</v>
      </c>
      <c r="E94" s="218">
        <v>1.4201680672268908</v>
      </c>
      <c r="F94" s="218">
        <v>4.2426465000000002</v>
      </c>
      <c r="G94" s="207">
        <v>4039</v>
      </c>
      <c r="H94" s="207">
        <v>5736.0588235294117</v>
      </c>
      <c r="I94" s="208">
        <v>3.441163598707944E-3</v>
      </c>
    </row>
    <row r="95" spans="1:9" ht="15" customHeight="1" x14ac:dyDescent="0.25">
      <c r="A95" s="201" t="s">
        <v>275</v>
      </c>
      <c r="B95" s="209">
        <v>338</v>
      </c>
      <c r="C95" s="209">
        <v>238</v>
      </c>
      <c r="D95" s="219">
        <v>0.70414201183431957</v>
      </c>
      <c r="E95" s="220">
        <v>1.4201680672268908</v>
      </c>
      <c r="F95" s="220">
        <v>4.2426465000000002</v>
      </c>
      <c r="G95" s="209">
        <v>4039</v>
      </c>
      <c r="H95" s="209">
        <v>5736.0588235294117</v>
      </c>
      <c r="I95" s="210">
        <v>3.441163598707944E-3</v>
      </c>
    </row>
    <row r="96" spans="1:9" ht="15" customHeight="1" x14ac:dyDescent="0.25">
      <c r="A96" s="198" t="s">
        <v>55</v>
      </c>
      <c r="B96" s="207">
        <v>1384</v>
      </c>
      <c r="C96" s="207">
        <v>390</v>
      </c>
      <c r="D96" s="217">
        <v>0.28179190751445088</v>
      </c>
      <c r="E96" s="218">
        <v>2.2817159372419487</v>
      </c>
      <c r="F96" s="218">
        <v>4.2794867499999993</v>
      </c>
      <c r="G96" s="207">
        <v>6676</v>
      </c>
      <c r="H96" s="207">
        <v>15232.735597027249</v>
      </c>
      <c r="I96" s="208">
        <v>9.1383887191344663E-3</v>
      </c>
    </row>
    <row r="97" spans="1:9" ht="15" customHeight="1" x14ac:dyDescent="0.25">
      <c r="A97" s="201" t="s">
        <v>274</v>
      </c>
      <c r="B97" s="209">
        <v>1384</v>
      </c>
      <c r="C97" s="209">
        <v>390</v>
      </c>
      <c r="D97" s="219">
        <v>0.28179190751445088</v>
      </c>
      <c r="E97" s="220">
        <v>2.2817159372419487</v>
      </c>
      <c r="F97" s="220">
        <v>4.2794867499999993</v>
      </c>
      <c r="G97" s="209">
        <v>6676</v>
      </c>
      <c r="H97" s="209">
        <v>15232.735597027249</v>
      </c>
      <c r="I97" s="210">
        <v>9.1383887191344663E-3</v>
      </c>
    </row>
    <row r="98" spans="1:9" ht="15" customHeight="1" x14ac:dyDescent="0.25">
      <c r="A98" s="198" t="s">
        <v>56</v>
      </c>
      <c r="B98" s="207">
        <v>33</v>
      </c>
      <c r="C98" s="207">
        <v>24</v>
      </c>
      <c r="D98" s="217">
        <v>0.72727272727272729</v>
      </c>
      <c r="E98" s="218">
        <v>1.3750000000000002</v>
      </c>
      <c r="F98" s="218">
        <v>4.4687497500000006</v>
      </c>
      <c r="G98" s="207">
        <v>429</v>
      </c>
      <c r="H98" s="207">
        <v>589.87500000000011</v>
      </c>
      <c r="I98" s="208">
        <v>3.5387649259476612E-4</v>
      </c>
    </row>
    <row r="99" spans="1:9" ht="15" customHeight="1" x14ac:dyDescent="0.25">
      <c r="A99" s="201" t="s">
        <v>273</v>
      </c>
      <c r="B99" s="209">
        <v>33</v>
      </c>
      <c r="C99" s="209">
        <v>24</v>
      </c>
      <c r="D99" s="219">
        <v>0.72727272727272729</v>
      </c>
      <c r="E99" s="220">
        <v>1.3750000000000002</v>
      </c>
      <c r="F99" s="220">
        <v>4.4687497500000006</v>
      </c>
      <c r="G99" s="209">
        <v>429</v>
      </c>
      <c r="H99" s="209">
        <v>589.87500000000011</v>
      </c>
      <c r="I99" s="210">
        <v>3.5387649259476612E-4</v>
      </c>
    </row>
    <row r="100" spans="1:9" ht="15" customHeight="1" x14ac:dyDescent="0.25">
      <c r="A100" s="198" t="s">
        <v>492</v>
      </c>
      <c r="B100" s="207">
        <v>156</v>
      </c>
      <c r="C100" s="207">
        <v>35</v>
      </c>
      <c r="D100" s="217">
        <v>0.22435897435897437</v>
      </c>
      <c r="E100" s="218">
        <v>2.3988791208791209</v>
      </c>
      <c r="F100" s="218">
        <v>4.5142852499999995</v>
      </c>
      <c r="G100" s="207">
        <v>632</v>
      </c>
      <c r="H100" s="207">
        <v>1516.0916043956045</v>
      </c>
      <c r="I100" s="208">
        <v>9.0953028932551502E-4</v>
      </c>
    </row>
    <row r="101" spans="1:9" ht="15" customHeight="1" x14ac:dyDescent="0.25">
      <c r="A101" s="201" t="s">
        <v>490</v>
      </c>
      <c r="B101" s="209">
        <v>156</v>
      </c>
      <c r="C101" s="209">
        <v>35</v>
      </c>
      <c r="D101" s="219">
        <v>0.22435897435897437</v>
      </c>
      <c r="E101" s="220">
        <v>2.3988791208791209</v>
      </c>
      <c r="F101" s="220">
        <v>4.5142852499999995</v>
      </c>
      <c r="G101" s="209">
        <v>632</v>
      </c>
      <c r="H101" s="209">
        <v>1516.0916043956045</v>
      </c>
      <c r="I101" s="210">
        <v>9.0953028932551502E-4</v>
      </c>
    </row>
    <row r="102" spans="1:9" ht="15" customHeight="1" x14ac:dyDescent="0.25">
      <c r="A102" s="198" t="s">
        <v>129</v>
      </c>
      <c r="B102" s="207">
        <v>23</v>
      </c>
      <c r="C102" s="207">
        <v>13</v>
      </c>
      <c r="D102" s="217">
        <v>0.56521739130434778</v>
      </c>
      <c r="E102" s="218">
        <v>1.7035279503105589</v>
      </c>
      <c r="F102" s="218">
        <v>4.1346147499999999</v>
      </c>
      <c r="G102" s="207">
        <v>215</v>
      </c>
      <c r="H102" s="207">
        <v>366.25850931677019</v>
      </c>
      <c r="I102" s="208">
        <v>2.1972498692096815E-4</v>
      </c>
    </row>
    <row r="103" spans="1:9" ht="15" customHeight="1" x14ac:dyDescent="0.25">
      <c r="A103" s="201" t="s">
        <v>272</v>
      </c>
      <c r="B103" s="209">
        <v>23</v>
      </c>
      <c r="C103" s="209">
        <v>13</v>
      </c>
      <c r="D103" s="219">
        <v>0.56521739130434778</v>
      </c>
      <c r="E103" s="220">
        <v>1.7035279503105589</v>
      </c>
      <c r="F103" s="220">
        <v>4.1346147499999999</v>
      </c>
      <c r="G103" s="209">
        <v>215</v>
      </c>
      <c r="H103" s="209">
        <v>366.25850931677019</v>
      </c>
      <c r="I103" s="210">
        <v>2.1972498692096815E-4</v>
      </c>
    </row>
    <row r="104" spans="1:9" ht="15" customHeight="1" x14ac:dyDescent="0.25">
      <c r="A104" s="198" t="s">
        <v>57</v>
      </c>
      <c r="B104" s="207">
        <v>77</v>
      </c>
      <c r="C104" s="207">
        <v>52</v>
      </c>
      <c r="D104" s="217">
        <v>0.67532467532467533</v>
      </c>
      <c r="E104" s="218">
        <v>1.478909090909091</v>
      </c>
      <c r="F104" s="218">
        <v>4.49519175</v>
      </c>
      <c r="G104" s="207">
        <v>935</v>
      </c>
      <c r="H104" s="207">
        <v>1382.78</v>
      </c>
      <c r="I104" s="208">
        <v>8.2955428934976163E-4</v>
      </c>
    </row>
    <row r="105" spans="1:9" ht="15" customHeight="1" x14ac:dyDescent="0.25">
      <c r="A105" s="201" t="s">
        <v>271</v>
      </c>
      <c r="B105" s="209">
        <v>77</v>
      </c>
      <c r="C105" s="209">
        <v>52</v>
      </c>
      <c r="D105" s="219">
        <v>0.67532467532467533</v>
      </c>
      <c r="E105" s="220">
        <v>1.478909090909091</v>
      </c>
      <c r="F105" s="220">
        <v>4.49519175</v>
      </c>
      <c r="G105" s="209">
        <v>935</v>
      </c>
      <c r="H105" s="209">
        <v>1382.78</v>
      </c>
      <c r="I105" s="210">
        <v>8.2955428934976163E-4</v>
      </c>
    </row>
    <row r="106" spans="1:9" ht="15" customHeight="1" x14ac:dyDescent="0.25">
      <c r="A106" s="198" t="s">
        <v>58</v>
      </c>
      <c r="B106" s="207">
        <v>2082</v>
      </c>
      <c r="C106" s="207">
        <v>577</v>
      </c>
      <c r="D106" s="217">
        <v>0.27713736791546589</v>
      </c>
      <c r="E106" s="218">
        <v>2.2912111980238783</v>
      </c>
      <c r="F106" s="218">
        <v>4.1637777500000004</v>
      </c>
      <c r="G106" s="207">
        <v>9610</v>
      </c>
      <c r="H106" s="207">
        <v>22018.53961300947</v>
      </c>
      <c r="I106" s="208">
        <v>1.3209313109236211E-2</v>
      </c>
    </row>
    <row r="107" spans="1:9" ht="15" customHeight="1" x14ac:dyDescent="0.25">
      <c r="A107" s="201" t="s">
        <v>270</v>
      </c>
      <c r="B107" s="209">
        <v>2082</v>
      </c>
      <c r="C107" s="209">
        <v>577</v>
      </c>
      <c r="D107" s="219">
        <v>0.27713736791546589</v>
      </c>
      <c r="E107" s="220">
        <v>2.2912111980238783</v>
      </c>
      <c r="F107" s="220">
        <v>4.1637777500000004</v>
      </c>
      <c r="G107" s="209">
        <v>9610</v>
      </c>
      <c r="H107" s="209">
        <v>22018.53961300947</v>
      </c>
      <c r="I107" s="210">
        <v>1.3209313109236211E-2</v>
      </c>
    </row>
    <row r="108" spans="1:9" ht="15" customHeight="1" x14ac:dyDescent="0.25">
      <c r="A108" s="198" t="s">
        <v>59</v>
      </c>
      <c r="B108" s="207">
        <v>4021</v>
      </c>
      <c r="C108" s="207">
        <v>2017</v>
      </c>
      <c r="D108" s="217">
        <v>0.501616513305148</v>
      </c>
      <c r="E108" s="218">
        <v>1.8332737414289269</v>
      </c>
      <c r="F108" s="218">
        <v>4.260286999999999</v>
      </c>
      <c r="G108" s="207">
        <v>34372</v>
      </c>
      <c r="H108" s="207">
        <v>63013.285040395072</v>
      </c>
      <c r="I108" s="208">
        <v>3.7802789229869467E-2</v>
      </c>
    </row>
    <row r="109" spans="1:9" ht="15" customHeight="1" x14ac:dyDescent="0.25">
      <c r="A109" s="201" t="s">
        <v>269</v>
      </c>
      <c r="B109" s="209">
        <v>4021</v>
      </c>
      <c r="C109" s="209">
        <v>2017</v>
      </c>
      <c r="D109" s="219">
        <v>0.501616513305148</v>
      </c>
      <c r="E109" s="220">
        <v>1.8332737414289269</v>
      </c>
      <c r="F109" s="220">
        <v>4.260286999999999</v>
      </c>
      <c r="G109" s="209">
        <v>34372</v>
      </c>
      <c r="H109" s="209">
        <v>63013.285040395072</v>
      </c>
      <c r="I109" s="210">
        <v>3.7802789229869467E-2</v>
      </c>
    </row>
    <row r="110" spans="1:9" ht="15" customHeight="1" x14ac:dyDescent="0.25">
      <c r="A110" s="198" t="s">
        <v>470</v>
      </c>
      <c r="B110" s="207">
        <v>595</v>
      </c>
      <c r="C110" s="207">
        <v>317</v>
      </c>
      <c r="D110" s="217">
        <v>0.53277310924369747</v>
      </c>
      <c r="E110" s="218">
        <v>1.7697142857142858</v>
      </c>
      <c r="F110" s="218">
        <v>4.3903780000000001</v>
      </c>
      <c r="G110" s="207">
        <v>5567</v>
      </c>
      <c r="H110" s="207">
        <v>9851.9994285714292</v>
      </c>
      <c r="I110" s="208">
        <v>5.9103894940936586E-3</v>
      </c>
    </row>
    <row r="111" spans="1:9" ht="15" customHeight="1" x14ac:dyDescent="0.25">
      <c r="A111" s="201" t="s">
        <v>229</v>
      </c>
      <c r="B111" s="209">
        <v>595</v>
      </c>
      <c r="C111" s="209">
        <v>317</v>
      </c>
      <c r="D111" s="219">
        <v>0.53277310924369747</v>
      </c>
      <c r="E111" s="220">
        <v>1.7697142857142858</v>
      </c>
      <c r="F111" s="220">
        <v>4.3903780000000001</v>
      </c>
      <c r="G111" s="209">
        <v>5567</v>
      </c>
      <c r="H111" s="209">
        <v>9851.9994285714292</v>
      </c>
      <c r="I111" s="210">
        <v>5.9103894940936586E-3</v>
      </c>
    </row>
    <row r="112" spans="1:9" ht="15" customHeight="1" x14ac:dyDescent="0.25">
      <c r="A112" s="198" t="s">
        <v>439</v>
      </c>
      <c r="B112" s="207">
        <v>3987</v>
      </c>
      <c r="C112" s="207">
        <v>1471</v>
      </c>
      <c r="D112" s="217">
        <v>0.36894908452470532</v>
      </c>
      <c r="E112" s="218">
        <v>2.1039152961410297</v>
      </c>
      <c r="F112" s="218">
        <v>4.3096527500000006</v>
      </c>
      <c r="G112" s="207">
        <v>25358</v>
      </c>
      <c r="H112" s="207">
        <v>53351.084079544227</v>
      </c>
      <c r="I112" s="208">
        <v>3.2006263208641791E-2</v>
      </c>
    </row>
    <row r="113" spans="1:9" ht="15" customHeight="1" x14ac:dyDescent="0.25">
      <c r="A113" s="201" t="s">
        <v>243</v>
      </c>
      <c r="B113" s="209">
        <v>3987</v>
      </c>
      <c r="C113" s="209">
        <v>1471</v>
      </c>
      <c r="D113" s="219">
        <v>0.36894908452470532</v>
      </c>
      <c r="E113" s="220">
        <v>2.1039152961410297</v>
      </c>
      <c r="F113" s="220">
        <v>4.3096527500000006</v>
      </c>
      <c r="G113" s="209">
        <v>25358</v>
      </c>
      <c r="H113" s="209">
        <v>53351.084079544227</v>
      </c>
      <c r="I113" s="210">
        <v>3.2006263208641791E-2</v>
      </c>
    </row>
    <row r="114" spans="1:9" ht="15" customHeight="1" x14ac:dyDescent="0.25">
      <c r="A114" s="198" t="s">
        <v>60</v>
      </c>
      <c r="B114" s="207">
        <v>1322</v>
      </c>
      <c r="C114" s="207">
        <v>603</v>
      </c>
      <c r="D114" s="217">
        <v>0.45612708018154313</v>
      </c>
      <c r="E114" s="218">
        <v>1.9260721850010807</v>
      </c>
      <c r="F114" s="218">
        <v>4.271973</v>
      </c>
      <c r="G114" s="207">
        <v>10304</v>
      </c>
      <c r="H114" s="207">
        <v>19846.247794251136</v>
      </c>
      <c r="I114" s="208">
        <v>1.1906116652843746E-2</v>
      </c>
    </row>
    <row r="115" spans="1:9" ht="15" customHeight="1" x14ac:dyDescent="0.25">
      <c r="A115" s="201" t="s">
        <v>268</v>
      </c>
      <c r="B115" s="209">
        <v>1322</v>
      </c>
      <c r="C115" s="209">
        <v>603</v>
      </c>
      <c r="D115" s="219">
        <v>0.45612708018154313</v>
      </c>
      <c r="E115" s="220">
        <v>1.9260721850010807</v>
      </c>
      <c r="F115" s="220">
        <v>4.271973</v>
      </c>
      <c r="G115" s="209">
        <v>10304</v>
      </c>
      <c r="H115" s="209">
        <v>19846.247794251136</v>
      </c>
      <c r="I115" s="210">
        <v>1.1906116652843746E-2</v>
      </c>
    </row>
    <row r="116" spans="1:9" ht="15" customHeight="1" x14ac:dyDescent="0.25">
      <c r="A116" s="198" t="s">
        <v>474</v>
      </c>
      <c r="B116" s="207">
        <v>1865</v>
      </c>
      <c r="C116" s="207">
        <v>625</v>
      </c>
      <c r="D116" s="217">
        <v>0.33512064343163539</v>
      </c>
      <c r="E116" s="218">
        <v>2.1729253159708923</v>
      </c>
      <c r="F116" s="218">
        <v>4.2523999999999997</v>
      </c>
      <c r="G116" s="207">
        <v>10631</v>
      </c>
      <c r="H116" s="207">
        <v>23100.369034086558</v>
      </c>
      <c r="I116" s="208">
        <v>1.3858321799410545E-2</v>
      </c>
    </row>
    <row r="117" spans="1:9" ht="15" customHeight="1" x14ac:dyDescent="0.25">
      <c r="A117" s="201" t="s">
        <v>473</v>
      </c>
      <c r="B117" s="209">
        <v>1865</v>
      </c>
      <c r="C117" s="209">
        <v>625</v>
      </c>
      <c r="D117" s="219">
        <v>0.33512064343163539</v>
      </c>
      <c r="E117" s="220">
        <v>2.1729253159708923</v>
      </c>
      <c r="F117" s="220">
        <v>4.2523999999999997</v>
      </c>
      <c r="G117" s="209">
        <v>10631</v>
      </c>
      <c r="H117" s="209">
        <v>23100.369034086558</v>
      </c>
      <c r="I117" s="210">
        <v>1.3858321799410545E-2</v>
      </c>
    </row>
    <row r="118" spans="1:9" ht="15" customHeight="1" x14ac:dyDescent="0.25">
      <c r="A118" s="198" t="s">
        <v>61</v>
      </c>
      <c r="B118" s="207">
        <v>91</v>
      </c>
      <c r="C118" s="207">
        <v>57</v>
      </c>
      <c r="D118" s="217">
        <v>0.62637362637362637</v>
      </c>
      <c r="E118" s="218">
        <v>1.5787692307692309</v>
      </c>
      <c r="F118" s="218">
        <v>4.4517540000000002</v>
      </c>
      <c r="G118" s="207">
        <v>1015</v>
      </c>
      <c r="H118" s="207">
        <v>1602.4507692307693</v>
      </c>
      <c r="I118" s="208">
        <v>9.6133868662202926E-4</v>
      </c>
    </row>
    <row r="119" spans="1:9" ht="15" customHeight="1" x14ac:dyDescent="0.25">
      <c r="A119" s="201" t="s">
        <v>264</v>
      </c>
      <c r="B119" s="209">
        <v>91</v>
      </c>
      <c r="C119" s="209">
        <v>57</v>
      </c>
      <c r="D119" s="219">
        <v>0.62637362637362637</v>
      </c>
      <c r="E119" s="220">
        <v>1.5787692307692309</v>
      </c>
      <c r="F119" s="220">
        <v>4.4517540000000002</v>
      </c>
      <c r="G119" s="209">
        <v>1015</v>
      </c>
      <c r="H119" s="209">
        <v>1602.4507692307693</v>
      </c>
      <c r="I119" s="210">
        <v>9.6133868662202926E-4</v>
      </c>
    </row>
    <row r="120" spans="1:9" ht="15" customHeight="1" x14ac:dyDescent="0.25">
      <c r="A120" s="198" t="s">
        <v>498</v>
      </c>
      <c r="B120" s="207">
        <v>28</v>
      </c>
      <c r="C120" s="207">
        <v>7</v>
      </c>
      <c r="D120" s="217">
        <v>0.25</v>
      </c>
      <c r="E120" s="218">
        <v>2.3465714285714285</v>
      </c>
      <c r="F120" s="218">
        <v>3.9285709999999994</v>
      </c>
      <c r="G120" s="207">
        <v>110</v>
      </c>
      <c r="H120" s="207">
        <v>258.12285714285713</v>
      </c>
      <c r="I120" s="208">
        <v>1.5485248797500172E-4</v>
      </c>
    </row>
    <row r="121" spans="1:9" ht="15" customHeight="1" x14ac:dyDescent="0.25">
      <c r="A121" s="201" t="s">
        <v>263</v>
      </c>
      <c r="B121" s="209">
        <v>28</v>
      </c>
      <c r="C121" s="209">
        <v>7</v>
      </c>
      <c r="D121" s="219">
        <v>0.25</v>
      </c>
      <c r="E121" s="220">
        <v>2.3465714285714285</v>
      </c>
      <c r="F121" s="220">
        <v>3.9285709999999994</v>
      </c>
      <c r="G121" s="209">
        <v>110</v>
      </c>
      <c r="H121" s="209">
        <v>258.12285714285713</v>
      </c>
      <c r="I121" s="210">
        <v>1.5485248797500172E-4</v>
      </c>
    </row>
    <row r="122" spans="1:9" ht="15" customHeight="1" x14ac:dyDescent="0.25">
      <c r="A122" s="198" t="s">
        <v>357</v>
      </c>
      <c r="B122" s="207">
        <v>61</v>
      </c>
      <c r="C122" s="207">
        <v>41</v>
      </c>
      <c r="D122" s="217">
        <v>0.67213114754098358</v>
      </c>
      <c r="E122" s="218">
        <v>1.4854238875878218</v>
      </c>
      <c r="F122" s="218">
        <v>4.5365850000000005</v>
      </c>
      <c r="G122" s="207">
        <v>744</v>
      </c>
      <c r="H122" s="207">
        <v>1105.1553723653394</v>
      </c>
      <c r="I122" s="208">
        <v>6.630023427758576E-4</v>
      </c>
    </row>
    <row r="123" spans="1:9" ht="15" customHeight="1" x14ac:dyDescent="0.25">
      <c r="A123" s="201" t="s">
        <v>262</v>
      </c>
      <c r="B123" s="209">
        <v>61</v>
      </c>
      <c r="C123" s="209">
        <v>41</v>
      </c>
      <c r="D123" s="219">
        <v>0.67213114754098358</v>
      </c>
      <c r="E123" s="220">
        <v>1.4854238875878218</v>
      </c>
      <c r="F123" s="220">
        <v>4.5365850000000005</v>
      </c>
      <c r="G123" s="209">
        <v>744</v>
      </c>
      <c r="H123" s="209">
        <v>1105.1553723653394</v>
      </c>
      <c r="I123" s="210">
        <v>6.630023427758576E-4</v>
      </c>
    </row>
    <row r="124" spans="1:9" ht="15" customHeight="1" x14ac:dyDescent="0.25">
      <c r="A124" s="198" t="s">
        <v>64</v>
      </c>
      <c r="B124" s="207">
        <v>73</v>
      </c>
      <c r="C124" s="207">
        <v>30</v>
      </c>
      <c r="D124" s="217">
        <v>0.41095890410958902</v>
      </c>
      <c r="E124" s="218">
        <v>2.0182152641878668</v>
      </c>
      <c r="F124" s="218">
        <v>4.4499997499999999</v>
      </c>
      <c r="G124" s="207">
        <v>534</v>
      </c>
      <c r="H124" s="207">
        <v>1077.7269510763208</v>
      </c>
      <c r="I124" s="208">
        <v>6.465475455337817E-4</v>
      </c>
    </row>
    <row r="125" spans="1:9" ht="15" customHeight="1" x14ac:dyDescent="0.25">
      <c r="A125" s="201" t="s">
        <v>261</v>
      </c>
      <c r="B125" s="209">
        <v>73</v>
      </c>
      <c r="C125" s="209">
        <v>30</v>
      </c>
      <c r="D125" s="219">
        <v>0.41095890410958902</v>
      </c>
      <c r="E125" s="220">
        <v>2.0182152641878668</v>
      </c>
      <c r="F125" s="220">
        <v>4.4499997499999999</v>
      </c>
      <c r="G125" s="209">
        <v>534</v>
      </c>
      <c r="H125" s="209">
        <v>1077.7269510763208</v>
      </c>
      <c r="I125" s="210">
        <v>6.465475455337817E-4</v>
      </c>
    </row>
    <row r="126" spans="1:9" ht="15" customHeight="1" x14ac:dyDescent="0.25">
      <c r="A126" s="198" t="s">
        <v>144</v>
      </c>
      <c r="B126" s="207">
        <v>19</v>
      </c>
      <c r="C126" s="207">
        <v>10</v>
      </c>
      <c r="D126" s="217">
        <v>0.52631578947368418</v>
      </c>
      <c r="E126" s="218">
        <v>1.7828872180451127</v>
      </c>
      <c r="F126" s="218">
        <v>4.2</v>
      </c>
      <c r="G126" s="207">
        <v>168</v>
      </c>
      <c r="H126" s="207">
        <v>299.52505263157894</v>
      </c>
      <c r="I126" s="208">
        <v>1.7969040062644774E-4</v>
      </c>
    </row>
    <row r="127" spans="1:9" ht="15" customHeight="1" x14ac:dyDescent="0.25">
      <c r="A127" s="201" t="s">
        <v>259</v>
      </c>
      <c r="B127" s="209">
        <v>19</v>
      </c>
      <c r="C127" s="209">
        <v>10</v>
      </c>
      <c r="D127" s="219">
        <v>0.52631578947368418</v>
      </c>
      <c r="E127" s="220">
        <v>1.7828872180451127</v>
      </c>
      <c r="F127" s="220">
        <v>4.2</v>
      </c>
      <c r="G127" s="209">
        <v>168</v>
      </c>
      <c r="H127" s="209">
        <v>299.52505263157894</v>
      </c>
      <c r="I127" s="210">
        <v>1.7969040062644774E-4</v>
      </c>
    </row>
    <row r="128" spans="1:9" ht="15" customHeight="1" x14ac:dyDescent="0.25">
      <c r="A128" s="198" t="s">
        <v>65</v>
      </c>
      <c r="B128" s="207">
        <v>43</v>
      </c>
      <c r="C128" s="207">
        <v>18</v>
      </c>
      <c r="D128" s="217">
        <v>0.41860465116279072</v>
      </c>
      <c r="E128" s="218">
        <v>2.0026179401993356</v>
      </c>
      <c r="F128" s="218">
        <v>4.6388885000000002</v>
      </c>
      <c r="G128" s="207">
        <v>334</v>
      </c>
      <c r="H128" s="207">
        <v>668.87439202657811</v>
      </c>
      <c r="I128" s="208">
        <v>4.0126963142500028E-4</v>
      </c>
    </row>
    <row r="129" spans="1:9" ht="15" customHeight="1" x14ac:dyDescent="0.25">
      <c r="A129" s="201" t="s">
        <v>298</v>
      </c>
      <c r="B129" s="209">
        <v>43</v>
      </c>
      <c r="C129" s="209">
        <v>18</v>
      </c>
      <c r="D129" s="219">
        <v>0.41860465116279072</v>
      </c>
      <c r="E129" s="220">
        <v>2.0026179401993356</v>
      </c>
      <c r="F129" s="220">
        <v>4.6388885000000002</v>
      </c>
      <c r="G129" s="209">
        <v>334</v>
      </c>
      <c r="H129" s="209">
        <v>668.87439202657811</v>
      </c>
      <c r="I129" s="210">
        <v>4.0126963142500028E-4</v>
      </c>
    </row>
    <row r="130" spans="1:9" ht="15" customHeight="1" x14ac:dyDescent="0.25">
      <c r="A130" s="198" t="s">
        <v>66</v>
      </c>
      <c r="B130" s="207">
        <v>24</v>
      </c>
      <c r="C130" s="207">
        <v>24</v>
      </c>
      <c r="D130" s="217">
        <v>1</v>
      </c>
      <c r="E130" s="218">
        <v>1</v>
      </c>
      <c r="F130" s="218">
        <v>4.6458329999999997</v>
      </c>
      <c r="G130" s="207">
        <v>446</v>
      </c>
      <c r="H130" s="207">
        <v>446</v>
      </c>
      <c r="I130" s="208">
        <v>2.6756332391992486E-4</v>
      </c>
    </row>
    <row r="131" spans="1:9" ht="15" customHeight="1" x14ac:dyDescent="0.25">
      <c r="A131" s="201" t="s">
        <v>258</v>
      </c>
      <c r="B131" s="209">
        <v>24</v>
      </c>
      <c r="C131" s="209">
        <v>24</v>
      </c>
      <c r="D131" s="219">
        <v>1</v>
      </c>
      <c r="E131" s="220">
        <v>1</v>
      </c>
      <c r="F131" s="220">
        <v>4.6458329999999997</v>
      </c>
      <c r="G131" s="209">
        <v>446</v>
      </c>
      <c r="H131" s="209">
        <v>446</v>
      </c>
      <c r="I131" s="210">
        <v>2.6756332391992486E-4</v>
      </c>
    </row>
    <row r="132" spans="1:9" ht="15" customHeight="1" x14ac:dyDescent="0.25">
      <c r="A132" s="198" t="s">
        <v>67</v>
      </c>
      <c r="B132" s="207">
        <v>23</v>
      </c>
      <c r="C132" s="207">
        <v>17</v>
      </c>
      <c r="D132" s="217">
        <v>0.73913043478260865</v>
      </c>
      <c r="E132" s="218">
        <v>1.3529411764705883</v>
      </c>
      <c r="F132" s="218">
        <v>4.6470582499999997</v>
      </c>
      <c r="G132" s="207">
        <v>316</v>
      </c>
      <c r="H132" s="207">
        <v>427.52941176470591</v>
      </c>
      <c r="I132" s="208">
        <v>2.5648248987734289E-4</v>
      </c>
    </row>
    <row r="133" spans="1:9" ht="15" customHeight="1" x14ac:dyDescent="0.25">
      <c r="A133" s="201" t="s">
        <v>257</v>
      </c>
      <c r="B133" s="209">
        <v>23</v>
      </c>
      <c r="C133" s="209">
        <v>17</v>
      </c>
      <c r="D133" s="219">
        <v>0.73913043478260865</v>
      </c>
      <c r="E133" s="220">
        <v>1.3529411764705883</v>
      </c>
      <c r="F133" s="220">
        <v>4.6470582499999997</v>
      </c>
      <c r="G133" s="209">
        <v>316</v>
      </c>
      <c r="H133" s="209">
        <v>427.52941176470591</v>
      </c>
      <c r="I133" s="210">
        <v>2.5648248987734289E-4</v>
      </c>
    </row>
    <row r="134" spans="1:9" ht="15" customHeight="1" x14ac:dyDescent="0.25">
      <c r="A134" s="198" t="s">
        <v>469</v>
      </c>
      <c r="B134" s="207">
        <v>322</v>
      </c>
      <c r="C134" s="207">
        <v>153</v>
      </c>
      <c r="D134" s="217">
        <v>0.4751552795031056</v>
      </c>
      <c r="E134" s="218">
        <v>1.8872546583850933</v>
      </c>
      <c r="F134" s="218">
        <v>4.4101302499999999</v>
      </c>
      <c r="G134" s="207">
        <v>2699</v>
      </c>
      <c r="H134" s="207">
        <v>5093.7003229813672</v>
      </c>
      <c r="I134" s="208">
        <v>3.0558013216791242E-3</v>
      </c>
    </row>
    <row r="135" spans="1:9" ht="15" customHeight="1" x14ac:dyDescent="0.25">
      <c r="A135" s="201" t="s">
        <v>295</v>
      </c>
      <c r="B135" s="209">
        <v>322</v>
      </c>
      <c r="C135" s="209">
        <v>153</v>
      </c>
      <c r="D135" s="219">
        <v>0.4751552795031056</v>
      </c>
      <c r="E135" s="220">
        <v>1.8872546583850933</v>
      </c>
      <c r="F135" s="220">
        <v>4.4101302499999999</v>
      </c>
      <c r="G135" s="209">
        <v>2699</v>
      </c>
      <c r="H135" s="209">
        <v>5093.7003229813672</v>
      </c>
      <c r="I135" s="210">
        <v>3.0558013216791242E-3</v>
      </c>
    </row>
    <row r="136" spans="1:9" ht="15" customHeight="1" x14ac:dyDescent="0.25">
      <c r="A136" s="198" t="s">
        <v>68</v>
      </c>
      <c r="B136" s="207">
        <v>942</v>
      </c>
      <c r="C136" s="207">
        <v>390</v>
      </c>
      <c r="D136" s="217">
        <v>0.4140127388535032</v>
      </c>
      <c r="E136" s="218">
        <v>2.0119854413102822</v>
      </c>
      <c r="F136" s="218">
        <v>4.4253978571428565</v>
      </c>
      <c r="G136" s="207">
        <v>6623</v>
      </c>
      <c r="H136" s="207">
        <v>13325.379577797999</v>
      </c>
      <c r="I136" s="208">
        <v>7.9941319558975727E-3</v>
      </c>
    </row>
    <row r="137" spans="1:9" ht="15" customHeight="1" x14ac:dyDescent="0.25">
      <c r="A137" s="201" t="s">
        <v>256</v>
      </c>
      <c r="B137" s="209">
        <v>942</v>
      </c>
      <c r="C137" s="209">
        <v>390</v>
      </c>
      <c r="D137" s="219">
        <v>0.4140127388535032</v>
      </c>
      <c r="E137" s="220">
        <v>2.0119854413102822</v>
      </c>
      <c r="F137" s="220">
        <v>4.4253978571428565</v>
      </c>
      <c r="G137" s="209">
        <v>6623</v>
      </c>
      <c r="H137" s="209">
        <v>13325.379577797999</v>
      </c>
      <c r="I137" s="210">
        <v>7.9941319558975727E-3</v>
      </c>
    </row>
    <row r="138" spans="1:9" ht="15" customHeight="1" x14ac:dyDescent="0.25">
      <c r="A138" s="198" t="s">
        <v>69</v>
      </c>
      <c r="B138" s="207">
        <v>1066</v>
      </c>
      <c r="C138" s="207">
        <v>407</v>
      </c>
      <c r="D138" s="217">
        <v>0.38180112570356473</v>
      </c>
      <c r="E138" s="218">
        <v>2.0776971321361564</v>
      </c>
      <c r="F138" s="218">
        <v>4.2671987499999995</v>
      </c>
      <c r="G138" s="207">
        <v>6947</v>
      </c>
      <c r="H138" s="207">
        <v>14433.761976949878</v>
      </c>
      <c r="I138" s="208">
        <v>8.6590702493760871E-3</v>
      </c>
    </row>
    <row r="139" spans="1:9" ht="15" customHeight="1" x14ac:dyDescent="0.25">
      <c r="A139" s="201" t="s">
        <v>254</v>
      </c>
      <c r="B139" s="209">
        <v>1066</v>
      </c>
      <c r="C139" s="209">
        <v>407</v>
      </c>
      <c r="D139" s="219">
        <v>0.38180112570356473</v>
      </c>
      <c r="E139" s="220">
        <v>2.0776971321361564</v>
      </c>
      <c r="F139" s="220">
        <v>4.2671987499999995</v>
      </c>
      <c r="G139" s="209">
        <v>6947</v>
      </c>
      <c r="H139" s="209">
        <v>14433.761976949878</v>
      </c>
      <c r="I139" s="210">
        <v>8.6590702493760871E-3</v>
      </c>
    </row>
    <row r="140" spans="1:9" ht="15" customHeight="1" x14ac:dyDescent="0.25">
      <c r="A140" s="198" t="s">
        <v>70</v>
      </c>
      <c r="B140" s="207">
        <v>1439</v>
      </c>
      <c r="C140" s="207">
        <v>476</v>
      </c>
      <c r="D140" s="217">
        <v>0.33078526754690757</v>
      </c>
      <c r="E140" s="218">
        <v>2.1817694827757372</v>
      </c>
      <c r="F140" s="218">
        <v>4.2762599999999997</v>
      </c>
      <c r="G140" s="207">
        <v>8142</v>
      </c>
      <c r="H140" s="207">
        <v>17763.967128760054</v>
      </c>
      <c r="I140" s="208">
        <v>1.0656919486491757E-2</v>
      </c>
    </row>
    <row r="141" spans="1:9" ht="15" customHeight="1" x14ac:dyDescent="0.25">
      <c r="A141" s="201" t="s">
        <v>253</v>
      </c>
      <c r="B141" s="209">
        <v>1439</v>
      </c>
      <c r="C141" s="209">
        <v>476</v>
      </c>
      <c r="D141" s="219">
        <v>0.33078526754690757</v>
      </c>
      <c r="E141" s="220">
        <v>2.1817694827757372</v>
      </c>
      <c r="F141" s="220">
        <v>4.2762599999999997</v>
      </c>
      <c r="G141" s="209">
        <v>8142</v>
      </c>
      <c r="H141" s="209">
        <v>17763.967128760054</v>
      </c>
      <c r="I141" s="210">
        <v>1.0656919486491757E-2</v>
      </c>
    </row>
    <row r="142" spans="1:9" ht="15" customHeight="1" x14ac:dyDescent="0.25">
      <c r="A142" s="198" t="s">
        <v>71</v>
      </c>
      <c r="B142" s="207">
        <v>3403</v>
      </c>
      <c r="C142" s="207">
        <v>1290</v>
      </c>
      <c r="D142" s="217">
        <v>0.37907728474875108</v>
      </c>
      <c r="E142" s="218">
        <v>2.0832537676839764</v>
      </c>
      <c r="F142" s="218">
        <v>4.2647280000000007</v>
      </c>
      <c r="G142" s="207">
        <v>22006</v>
      </c>
      <c r="H142" s="207">
        <v>45844.082411653588</v>
      </c>
      <c r="I142" s="208">
        <v>2.7502679533903583E-2</v>
      </c>
    </row>
    <row r="143" spans="1:9" ht="15" customHeight="1" x14ac:dyDescent="0.25">
      <c r="A143" s="201" t="s">
        <v>252</v>
      </c>
      <c r="B143" s="209">
        <v>3403</v>
      </c>
      <c r="C143" s="209">
        <v>1290</v>
      </c>
      <c r="D143" s="219">
        <v>0.37907728474875108</v>
      </c>
      <c r="E143" s="220">
        <v>2.0832537676839764</v>
      </c>
      <c r="F143" s="220">
        <v>4.2647280000000007</v>
      </c>
      <c r="G143" s="209">
        <v>22006</v>
      </c>
      <c r="H143" s="209">
        <v>45844.082411653588</v>
      </c>
      <c r="I143" s="210">
        <v>2.7502679533903583E-2</v>
      </c>
    </row>
    <row r="144" spans="1:9" ht="15" customHeight="1" x14ac:dyDescent="0.25">
      <c r="A144" s="198" t="s">
        <v>499</v>
      </c>
      <c r="B144" s="207">
        <v>162</v>
      </c>
      <c r="C144" s="207">
        <v>59</v>
      </c>
      <c r="D144" s="217">
        <v>0.36419753086419754</v>
      </c>
      <c r="E144" s="218">
        <v>2.1136084656084657</v>
      </c>
      <c r="F144" s="218">
        <v>4.0635590000000006</v>
      </c>
      <c r="G144" s="207">
        <v>959</v>
      </c>
      <c r="H144" s="207">
        <v>2026.9505185185187</v>
      </c>
      <c r="I144" s="208">
        <v>1.2160036281525337E-3</v>
      </c>
    </row>
    <row r="145" spans="1:9" ht="15" customHeight="1" x14ac:dyDescent="0.25">
      <c r="A145" s="201" t="s">
        <v>250</v>
      </c>
      <c r="B145" s="209">
        <v>162</v>
      </c>
      <c r="C145" s="209">
        <v>59</v>
      </c>
      <c r="D145" s="219">
        <v>0.36419753086419754</v>
      </c>
      <c r="E145" s="220">
        <v>2.1136084656084657</v>
      </c>
      <c r="F145" s="220">
        <v>4.0635590000000006</v>
      </c>
      <c r="G145" s="209">
        <v>959</v>
      </c>
      <c r="H145" s="209">
        <v>2026.9505185185187</v>
      </c>
      <c r="I145" s="210">
        <v>1.2160036281525337E-3</v>
      </c>
    </row>
    <row r="146" spans="1:9" ht="15" customHeight="1" x14ac:dyDescent="0.25">
      <c r="A146" s="198" t="s">
        <v>73</v>
      </c>
      <c r="B146" s="207">
        <v>102</v>
      </c>
      <c r="C146" s="207">
        <v>46</v>
      </c>
      <c r="D146" s="217">
        <v>0.45098039215686275</v>
      </c>
      <c r="E146" s="218">
        <v>1.9365714285714286</v>
      </c>
      <c r="F146" s="218">
        <v>4.5163037499999996</v>
      </c>
      <c r="G146" s="207">
        <v>831</v>
      </c>
      <c r="H146" s="207">
        <v>1609.2908571428572</v>
      </c>
      <c r="I146" s="208">
        <v>9.6544217688584717E-4</v>
      </c>
    </row>
    <row r="147" spans="1:9" ht="15" customHeight="1" x14ac:dyDescent="0.25">
      <c r="A147" s="201" t="s">
        <v>246</v>
      </c>
      <c r="B147" s="209">
        <v>102</v>
      </c>
      <c r="C147" s="209">
        <v>46</v>
      </c>
      <c r="D147" s="219">
        <v>0.45098039215686275</v>
      </c>
      <c r="E147" s="220">
        <v>1.9365714285714286</v>
      </c>
      <c r="F147" s="220">
        <v>4.5163037499999996</v>
      </c>
      <c r="G147" s="209">
        <v>831</v>
      </c>
      <c r="H147" s="209">
        <v>1609.2908571428572</v>
      </c>
      <c r="I147" s="210">
        <v>9.6544217688584717E-4</v>
      </c>
    </row>
    <row r="148" spans="1:9" ht="15" customHeight="1" x14ac:dyDescent="0.25">
      <c r="A148" s="198" t="s">
        <v>74</v>
      </c>
      <c r="B148" s="207">
        <v>170</v>
      </c>
      <c r="C148" s="207">
        <v>47</v>
      </c>
      <c r="D148" s="217">
        <v>0.27647058823529413</v>
      </c>
      <c r="E148" s="218">
        <v>2.2925714285714287</v>
      </c>
      <c r="F148" s="218">
        <v>4.2819142499999998</v>
      </c>
      <c r="G148" s="207">
        <v>805</v>
      </c>
      <c r="H148" s="207">
        <v>1845.5200000000002</v>
      </c>
      <c r="I148" s="208">
        <v>1.1071602366831833E-3</v>
      </c>
    </row>
    <row r="149" spans="1:9" ht="15" customHeight="1" x14ac:dyDescent="0.25">
      <c r="A149" s="201" t="s">
        <v>248</v>
      </c>
      <c r="B149" s="209">
        <v>170</v>
      </c>
      <c r="C149" s="209">
        <v>47</v>
      </c>
      <c r="D149" s="219">
        <v>0.27647058823529413</v>
      </c>
      <c r="E149" s="220">
        <v>2.2925714285714287</v>
      </c>
      <c r="F149" s="220">
        <v>4.2819142499999998</v>
      </c>
      <c r="G149" s="209">
        <v>805</v>
      </c>
      <c r="H149" s="209">
        <v>1845.5200000000002</v>
      </c>
      <c r="I149" s="210">
        <v>1.1071602366831833E-3</v>
      </c>
    </row>
    <row r="150" spans="1:9" ht="15" customHeight="1" x14ac:dyDescent="0.25">
      <c r="A150" s="198" t="s">
        <v>442</v>
      </c>
      <c r="B150" s="207">
        <v>600</v>
      </c>
      <c r="C150" s="207">
        <v>287</v>
      </c>
      <c r="D150" s="217">
        <v>0.47833333333333333</v>
      </c>
      <c r="E150" s="218">
        <v>1.8807714285714285</v>
      </c>
      <c r="F150" s="218">
        <v>4.2142852499999996</v>
      </c>
      <c r="G150" s="207">
        <v>4838</v>
      </c>
      <c r="H150" s="207">
        <v>9099.1721714285704</v>
      </c>
      <c r="I150" s="208">
        <v>5.4587550473253555E-3</v>
      </c>
    </row>
    <row r="151" spans="1:9" ht="15" customHeight="1" x14ac:dyDescent="0.25">
      <c r="A151" s="201" t="s">
        <v>279</v>
      </c>
      <c r="B151" s="209">
        <v>600</v>
      </c>
      <c r="C151" s="209">
        <v>287</v>
      </c>
      <c r="D151" s="219">
        <v>0.47833333333333333</v>
      </c>
      <c r="E151" s="220">
        <v>1.8807714285714285</v>
      </c>
      <c r="F151" s="220">
        <v>4.2142852499999996</v>
      </c>
      <c r="G151" s="209">
        <v>4838</v>
      </c>
      <c r="H151" s="209">
        <v>9099.1721714285704</v>
      </c>
      <c r="I151" s="210">
        <v>5.4587550473253555E-3</v>
      </c>
    </row>
    <row r="152" spans="1:9" ht="15" customHeight="1" x14ac:dyDescent="0.25">
      <c r="A152" s="198" t="s">
        <v>75</v>
      </c>
      <c r="B152" s="207">
        <v>549</v>
      </c>
      <c r="C152" s="207">
        <v>356</v>
      </c>
      <c r="D152" s="217">
        <v>0.64845173041894355</v>
      </c>
      <c r="E152" s="218">
        <v>1.5337298985167838</v>
      </c>
      <c r="F152" s="218">
        <v>4.17977475</v>
      </c>
      <c r="G152" s="207">
        <v>5952</v>
      </c>
      <c r="H152" s="207">
        <v>9128.7603559718973</v>
      </c>
      <c r="I152" s="208">
        <v>5.4765055249154197E-3</v>
      </c>
    </row>
    <row r="153" spans="1:9" ht="15" customHeight="1" x14ac:dyDescent="0.25">
      <c r="A153" s="201" t="s">
        <v>245</v>
      </c>
      <c r="B153" s="209">
        <v>549</v>
      </c>
      <c r="C153" s="209">
        <v>356</v>
      </c>
      <c r="D153" s="219">
        <v>0.64845173041894355</v>
      </c>
      <c r="E153" s="220">
        <v>1.5337298985167838</v>
      </c>
      <c r="F153" s="220">
        <v>4.17977475</v>
      </c>
      <c r="G153" s="209">
        <v>5952</v>
      </c>
      <c r="H153" s="209">
        <v>9128.7603559718973</v>
      </c>
      <c r="I153" s="210">
        <v>5.4765055249154197E-3</v>
      </c>
    </row>
    <row r="154" spans="1:9" ht="15" customHeight="1" x14ac:dyDescent="0.25">
      <c r="A154" s="198" t="s">
        <v>76</v>
      </c>
      <c r="B154" s="207">
        <v>26</v>
      </c>
      <c r="C154" s="207">
        <v>21</v>
      </c>
      <c r="D154" s="217">
        <v>0.80769230769230771</v>
      </c>
      <c r="E154" s="218">
        <v>1.2380952380952381</v>
      </c>
      <c r="F154" s="218">
        <v>4.8928562499999995</v>
      </c>
      <c r="G154" s="207">
        <v>411</v>
      </c>
      <c r="H154" s="207">
        <v>508.85714285714289</v>
      </c>
      <c r="I154" s="208">
        <v>3.052724406799399E-4</v>
      </c>
    </row>
    <row r="155" spans="1:9" ht="15" customHeight="1" x14ac:dyDescent="0.25">
      <c r="A155" s="201" t="s">
        <v>244</v>
      </c>
      <c r="B155" s="209">
        <v>26</v>
      </c>
      <c r="C155" s="209">
        <v>21</v>
      </c>
      <c r="D155" s="219">
        <v>0.80769230769230771</v>
      </c>
      <c r="E155" s="220">
        <v>1.2380952380952381</v>
      </c>
      <c r="F155" s="220">
        <v>4.8928562499999995</v>
      </c>
      <c r="G155" s="209">
        <v>411</v>
      </c>
      <c r="H155" s="209">
        <v>508.85714285714289</v>
      </c>
      <c r="I155" s="210">
        <v>3.052724406799399E-4</v>
      </c>
    </row>
    <row r="156" spans="1:9" ht="15" customHeight="1" x14ac:dyDescent="0.25">
      <c r="A156" s="198" t="s">
        <v>78</v>
      </c>
      <c r="B156" s="207">
        <v>69</v>
      </c>
      <c r="C156" s="207">
        <v>35</v>
      </c>
      <c r="D156" s="217">
        <v>0.50724637681159424</v>
      </c>
      <c r="E156" s="218">
        <v>1.8217888198757763</v>
      </c>
      <c r="F156" s="218">
        <v>4.5499994999999993</v>
      </c>
      <c r="G156" s="207">
        <v>637</v>
      </c>
      <c r="H156" s="207">
        <v>1160.4794782608694</v>
      </c>
      <c r="I156" s="208">
        <v>6.9619225682587078E-4</v>
      </c>
    </row>
    <row r="157" spans="1:9" ht="15" customHeight="1" x14ac:dyDescent="0.25">
      <c r="A157" s="201" t="s">
        <v>239</v>
      </c>
      <c r="B157" s="209">
        <v>69</v>
      </c>
      <c r="C157" s="209">
        <v>35</v>
      </c>
      <c r="D157" s="219">
        <v>0.50724637681159424</v>
      </c>
      <c r="E157" s="220">
        <v>1.8217888198757763</v>
      </c>
      <c r="F157" s="220">
        <v>4.5499994999999993</v>
      </c>
      <c r="G157" s="209">
        <v>637</v>
      </c>
      <c r="H157" s="209">
        <v>1160.4794782608694</v>
      </c>
      <c r="I157" s="210">
        <v>6.9619225682587078E-4</v>
      </c>
    </row>
    <row r="158" spans="1:9" ht="15" customHeight="1" x14ac:dyDescent="0.25">
      <c r="A158" s="198" t="s">
        <v>79</v>
      </c>
      <c r="B158" s="207">
        <v>49</v>
      </c>
      <c r="C158" s="207">
        <v>17</v>
      </c>
      <c r="D158" s="217">
        <v>0.34693877551020408</v>
      </c>
      <c r="E158" s="218">
        <v>2.1488163265306124</v>
      </c>
      <c r="F158" s="218">
        <v>4.3676467499999996</v>
      </c>
      <c r="G158" s="207">
        <v>297</v>
      </c>
      <c r="H158" s="207">
        <v>638.19844897959183</v>
      </c>
      <c r="I158" s="208">
        <v>3.8286658818278063E-4</v>
      </c>
    </row>
    <row r="159" spans="1:9" ht="15" customHeight="1" x14ac:dyDescent="0.25">
      <c r="A159" s="201" t="s">
        <v>238</v>
      </c>
      <c r="B159" s="209">
        <v>49</v>
      </c>
      <c r="C159" s="209">
        <v>17</v>
      </c>
      <c r="D159" s="219">
        <v>0.34693877551020408</v>
      </c>
      <c r="E159" s="220">
        <v>2.1488163265306124</v>
      </c>
      <c r="F159" s="220">
        <v>4.3676467499999996</v>
      </c>
      <c r="G159" s="209">
        <v>297</v>
      </c>
      <c r="H159" s="209">
        <v>638.19844897959183</v>
      </c>
      <c r="I159" s="210">
        <v>3.8286658818278063E-4</v>
      </c>
    </row>
    <row r="160" spans="1:9" ht="15" customHeight="1" x14ac:dyDescent="0.25">
      <c r="A160" s="198" t="s">
        <v>80</v>
      </c>
      <c r="B160" s="207">
        <v>740</v>
      </c>
      <c r="C160" s="207">
        <v>259</v>
      </c>
      <c r="D160" s="217">
        <v>0.35</v>
      </c>
      <c r="E160" s="218">
        <v>2.1425714285714283</v>
      </c>
      <c r="F160" s="218">
        <v>4.3494204999999999</v>
      </c>
      <c r="G160" s="207">
        <v>4506</v>
      </c>
      <c r="H160" s="207">
        <v>9654.4268571428565</v>
      </c>
      <c r="I160" s="208">
        <v>5.7918621982935787E-3</v>
      </c>
    </row>
    <row r="161" spans="1:9" ht="15" customHeight="1" x14ac:dyDescent="0.25">
      <c r="A161" s="201" t="s">
        <v>237</v>
      </c>
      <c r="B161" s="209">
        <v>740</v>
      </c>
      <c r="C161" s="209">
        <v>259</v>
      </c>
      <c r="D161" s="219">
        <v>0.35</v>
      </c>
      <c r="E161" s="220">
        <v>2.1425714285714283</v>
      </c>
      <c r="F161" s="220">
        <v>4.3494204999999999</v>
      </c>
      <c r="G161" s="209">
        <v>4506</v>
      </c>
      <c r="H161" s="209">
        <v>9654.4268571428565</v>
      </c>
      <c r="I161" s="210">
        <v>5.7918621982935787E-3</v>
      </c>
    </row>
    <row r="162" spans="1:9" ht="15" customHeight="1" x14ac:dyDescent="0.25">
      <c r="A162" s="198" t="s">
        <v>81</v>
      </c>
      <c r="B162" s="207">
        <v>896</v>
      </c>
      <c r="C162" s="207">
        <v>590</v>
      </c>
      <c r="D162" s="217">
        <v>0.6584821428571429</v>
      </c>
      <c r="E162" s="218">
        <v>1.5132678571428573</v>
      </c>
      <c r="F162" s="218">
        <v>4.2567792499999992</v>
      </c>
      <c r="G162" s="207">
        <v>10046</v>
      </c>
      <c r="H162" s="207">
        <v>15202.288892857145</v>
      </c>
      <c r="I162" s="208">
        <v>9.1201232003672913E-3</v>
      </c>
    </row>
    <row r="163" spans="1:9" ht="15" customHeight="1" x14ac:dyDescent="0.25">
      <c r="A163" s="201" t="s">
        <v>236</v>
      </c>
      <c r="B163" s="209">
        <v>896</v>
      </c>
      <c r="C163" s="209">
        <v>590</v>
      </c>
      <c r="D163" s="219">
        <v>0.6584821428571429</v>
      </c>
      <c r="E163" s="220">
        <v>1.5132678571428573</v>
      </c>
      <c r="F163" s="220">
        <v>4.2567792499999992</v>
      </c>
      <c r="G163" s="209">
        <v>10046</v>
      </c>
      <c r="H163" s="209">
        <v>15202.288892857145</v>
      </c>
      <c r="I163" s="210">
        <v>9.1201232003672913E-3</v>
      </c>
    </row>
    <row r="164" spans="1:9" ht="15" customHeight="1" x14ac:dyDescent="0.25">
      <c r="A164" s="198" t="s">
        <v>500</v>
      </c>
      <c r="B164" s="207">
        <v>50</v>
      </c>
      <c r="C164" s="207">
        <v>15</v>
      </c>
      <c r="D164" s="217">
        <v>0.3</v>
      </c>
      <c r="E164" s="218">
        <v>2.2445714285714287</v>
      </c>
      <c r="F164" s="218">
        <v>4.2999997499999996</v>
      </c>
      <c r="G164" s="207">
        <v>258</v>
      </c>
      <c r="H164" s="207">
        <v>579.09942857142858</v>
      </c>
      <c r="I164" s="208">
        <v>3.474120358491043E-4</v>
      </c>
    </row>
    <row r="165" spans="1:9" ht="15" customHeight="1" x14ac:dyDescent="0.25">
      <c r="A165" s="201" t="s">
        <v>235</v>
      </c>
      <c r="B165" s="209">
        <v>50</v>
      </c>
      <c r="C165" s="209">
        <v>15</v>
      </c>
      <c r="D165" s="219">
        <v>0.3</v>
      </c>
      <c r="E165" s="220">
        <v>2.2445714285714287</v>
      </c>
      <c r="F165" s="220">
        <v>4.2999997499999996</v>
      </c>
      <c r="G165" s="209">
        <v>258</v>
      </c>
      <c r="H165" s="209">
        <v>579.09942857142858</v>
      </c>
      <c r="I165" s="210">
        <v>3.474120358491043E-4</v>
      </c>
    </row>
    <row r="166" spans="1:9" ht="15" customHeight="1" x14ac:dyDescent="0.25">
      <c r="A166" s="198" t="s">
        <v>83</v>
      </c>
      <c r="B166" s="207">
        <v>3416</v>
      </c>
      <c r="C166" s="207">
        <v>1560</v>
      </c>
      <c r="D166" s="217">
        <v>0.4566744730679157</v>
      </c>
      <c r="E166" s="218">
        <v>1.9249555035128807</v>
      </c>
      <c r="F166" s="218">
        <v>4.3730764999999998</v>
      </c>
      <c r="G166" s="207">
        <v>27288</v>
      </c>
      <c r="H166" s="207">
        <v>52528.185779859487</v>
      </c>
      <c r="I166" s="208">
        <v>3.1512591898525864E-2</v>
      </c>
    </row>
    <row r="167" spans="1:9" ht="15" customHeight="1" x14ac:dyDescent="0.25">
      <c r="A167" s="201" t="s">
        <v>242</v>
      </c>
      <c r="B167" s="209">
        <v>3416</v>
      </c>
      <c r="C167" s="209">
        <v>1560</v>
      </c>
      <c r="D167" s="219">
        <v>0.4566744730679157</v>
      </c>
      <c r="E167" s="220">
        <v>1.9249555035128807</v>
      </c>
      <c r="F167" s="220">
        <v>4.3730764999999998</v>
      </c>
      <c r="G167" s="209">
        <v>27288</v>
      </c>
      <c r="H167" s="209">
        <v>52528.185779859487</v>
      </c>
      <c r="I167" s="210">
        <v>3.1512591898525864E-2</v>
      </c>
    </row>
    <row r="168" spans="1:9" ht="15" customHeight="1" x14ac:dyDescent="0.25">
      <c r="A168" s="198" t="s">
        <v>493</v>
      </c>
      <c r="B168" s="207">
        <v>146</v>
      </c>
      <c r="C168" s="207">
        <v>53</v>
      </c>
      <c r="D168" s="217">
        <v>0.36301369863013699</v>
      </c>
      <c r="E168" s="218">
        <v>2.1160234833659493</v>
      </c>
      <c r="F168" s="218">
        <v>4.4999997499999997</v>
      </c>
      <c r="G168" s="207">
        <v>954</v>
      </c>
      <c r="H168" s="207">
        <v>2018.6864031311156</v>
      </c>
      <c r="I168" s="208">
        <v>1.2110458385060957E-3</v>
      </c>
    </row>
    <row r="169" spans="1:9" ht="15" customHeight="1" x14ac:dyDescent="0.25">
      <c r="A169" s="201" t="s">
        <v>232</v>
      </c>
      <c r="B169" s="209">
        <v>146</v>
      </c>
      <c r="C169" s="209">
        <v>53</v>
      </c>
      <c r="D169" s="219">
        <v>0.36301369863013699</v>
      </c>
      <c r="E169" s="220">
        <v>2.1160234833659493</v>
      </c>
      <c r="F169" s="220">
        <v>4.4999997499999997</v>
      </c>
      <c r="G169" s="209">
        <v>954</v>
      </c>
      <c r="H169" s="209">
        <v>2018.6864031311156</v>
      </c>
      <c r="I169" s="210">
        <v>1.2110458385060957E-3</v>
      </c>
    </row>
    <row r="170" spans="1:9" ht="15" customHeight="1" x14ac:dyDescent="0.25">
      <c r="A170" s="198" t="s">
        <v>85</v>
      </c>
      <c r="B170" s="207">
        <v>50</v>
      </c>
      <c r="C170" s="207">
        <v>32</v>
      </c>
      <c r="D170" s="217">
        <v>0.64</v>
      </c>
      <c r="E170" s="218">
        <v>1.5509714285714284</v>
      </c>
      <c r="F170" s="218">
        <v>4.5546875</v>
      </c>
      <c r="G170" s="207">
        <v>583</v>
      </c>
      <c r="H170" s="207">
        <v>904.21634285714276</v>
      </c>
      <c r="I170" s="208">
        <v>5.4245544896317378E-4</v>
      </c>
    </row>
    <row r="171" spans="1:9" ht="15" customHeight="1" x14ac:dyDescent="0.25">
      <c r="A171" s="201" t="s">
        <v>231</v>
      </c>
      <c r="B171" s="209">
        <v>50</v>
      </c>
      <c r="C171" s="209">
        <v>32</v>
      </c>
      <c r="D171" s="219">
        <v>0.64</v>
      </c>
      <c r="E171" s="220">
        <v>1.5509714285714284</v>
      </c>
      <c r="F171" s="220">
        <v>4.5546875</v>
      </c>
      <c r="G171" s="209">
        <v>583</v>
      </c>
      <c r="H171" s="209">
        <v>904.21634285714276</v>
      </c>
      <c r="I171" s="210">
        <v>5.4245544896317378E-4</v>
      </c>
    </row>
    <row r="172" spans="1:9" ht="15" customHeight="1" x14ac:dyDescent="0.25">
      <c r="A172" s="198" t="s">
        <v>86</v>
      </c>
      <c r="B172" s="207">
        <v>315</v>
      </c>
      <c r="C172" s="207">
        <v>159</v>
      </c>
      <c r="D172" s="217">
        <v>0.50476190476190474</v>
      </c>
      <c r="E172" s="218">
        <v>1.826857142857143</v>
      </c>
      <c r="F172" s="218">
        <v>4.4088045000000005</v>
      </c>
      <c r="G172" s="207">
        <v>2804</v>
      </c>
      <c r="H172" s="207">
        <v>5122.507428571429</v>
      </c>
      <c r="I172" s="208">
        <v>3.0730832161279787E-3</v>
      </c>
    </row>
    <row r="173" spans="1:9" ht="15" customHeight="1" x14ac:dyDescent="0.25">
      <c r="A173" s="201" t="s">
        <v>230</v>
      </c>
      <c r="B173" s="209">
        <v>315</v>
      </c>
      <c r="C173" s="209">
        <v>159</v>
      </c>
      <c r="D173" s="219">
        <v>0.50476190476190474</v>
      </c>
      <c r="E173" s="220">
        <v>1.826857142857143</v>
      </c>
      <c r="F173" s="220">
        <v>4.4088045000000005</v>
      </c>
      <c r="G173" s="209">
        <v>2804</v>
      </c>
      <c r="H173" s="209">
        <v>5122.507428571429</v>
      </c>
      <c r="I173" s="210">
        <v>3.0730832161279787E-3</v>
      </c>
    </row>
    <row r="174" spans="1:9" ht="15" customHeight="1" x14ac:dyDescent="0.25">
      <c r="A174" s="198" t="s">
        <v>87</v>
      </c>
      <c r="B174" s="207">
        <v>70</v>
      </c>
      <c r="C174" s="207">
        <v>46</v>
      </c>
      <c r="D174" s="217">
        <v>0.65714285714285714</v>
      </c>
      <c r="E174" s="218">
        <v>1.516</v>
      </c>
      <c r="F174" s="218">
        <v>4.6521732499999997</v>
      </c>
      <c r="G174" s="207">
        <v>856</v>
      </c>
      <c r="H174" s="207">
        <v>1297.6959999999999</v>
      </c>
      <c r="I174" s="208">
        <v>7.7851088609325286E-4</v>
      </c>
    </row>
    <row r="175" spans="1:9" ht="15" customHeight="1" x14ac:dyDescent="0.25">
      <c r="A175" s="201" t="s">
        <v>234</v>
      </c>
      <c r="B175" s="209">
        <v>70</v>
      </c>
      <c r="C175" s="209">
        <v>46</v>
      </c>
      <c r="D175" s="219">
        <v>0.65714285714285714</v>
      </c>
      <c r="E175" s="220">
        <v>1.516</v>
      </c>
      <c r="F175" s="220">
        <v>4.6521732499999997</v>
      </c>
      <c r="G175" s="209">
        <v>856</v>
      </c>
      <c r="H175" s="209">
        <v>1297.6959999999999</v>
      </c>
      <c r="I175" s="210">
        <v>7.7851088609325286E-4</v>
      </c>
    </row>
    <row r="176" spans="1:9" ht="15" customHeight="1" x14ac:dyDescent="0.25">
      <c r="A176" s="198" t="s">
        <v>88</v>
      </c>
      <c r="B176" s="207">
        <v>37</v>
      </c>
      <c r="C176" s="207">
        <v>15</v>
      </c>
      <c r="D176" s="217">
        <v>0.40540540540540543</v>
      </c>
      <c r="E176" s="218">
        <v>2.0295444015444013</v>
      </c>
      <c r="F176" s="218">
        <v>4.2999997499999996</v>
      </c>
      <c r="G176" s="207">
        <v>258</v>
      </c>
      <c r="H176" s="207">
        <v>523.62245559845553</v>
      </c>
      <c r="I176" s="208">
        <v>3.1413041412339918E-4</v>
      </c>
    </row>
    <row r="177" spans="1:9" ht="15" customHeight="1" x14ac:dyDescent="0.25">
      <c r="A177" s="201" t="s">
        <v>233</v>
      </c>
      <c r="B177" s="209">
        <v>37</v>
      </c>
      <c r="C177" s="209">
        <v>15</v>
      </c>
      <c r="D177" s="219">
        <v>0.40540540540540543</v>
      </c>
      <c r="E177" s="220">
        <v>2.0295444015444013</v>
      </c>
      <c r="F177" s="220">
        <v>4.2999997499999996</v>
      </c>
      <c r="G177" s="209">
        <v>258</v>
      </c>
      <c r="H177" s="209">
        <v>523.62245559845553</v>
      </c>
      <c r="I177" s="210">
        <v>3.1413041412339918E-4</v>
      </c>
    </row>
    <row r="178" spans="1:9" ht="15" customHeight="1" x14ac:dyDescent="0.25">
      <c r="A178" s="198" t="s">
        <v>89</v>
      </c>
      <c r="B178" s="207">
        <v>152</v>
      </c>
      <c r="C178" s="207">
        <v>67</v>
      </c>
      <c r="D178" s="217">
        <v>0.44078947368421051</v>
      </c>
      <c r="E178" s="218">
        <v>1.9573609022556391</v>
      </c>
      <c r="F178" s="218">
        <v>4.4440292499999998</v>
      </c>
      <c r="G178" s="207">
        <v>1191</v>
      </c>
      <c r="H178" s="207">
        <v>2331.2168345864661</v>
      </c>
      <c r="I178" s="208">
        <v>1.3985383969507634E-3</v>
      </c>
    </row>
    <row r="179" spans="1:9" ht="15" customHeight="1" x14ac:dyDescent="0.25">
      <c r="A179" s="201" t="s">
        <v>228</v>
      </c>
      <c r="B179" s="209">
        <v>152</v>
      </c>
      <c r="C179" s="209">
        <v>67</v>
      </c>
      <c r="D179" s="219">
        <v>0.44078947368421051</v>
      </c>
      <c r="E179" s="220">
        <v>1.9573609022556391</v>
      </c>
      <c r="F179" s="220">
        <v>4.4440292499999998</v>
      </c>
      <c r="G179" s="209">
        <v>1191</v>
      </c>
      <c r="H179" s="209">
        <v>2331.2168345864661</v>
      </c>
      <c r="I179" s="210">
        <v>1.3985383969507634E-3</v>
      </c>
    </row>
    <row r="180" spans="1:9" ht="15" customHeight="1" x14ac:dyDescent="0.25">
      <c r="A180" s="198" t="s">
        <v>90</v>
      </c>
      <c r="B180" s="207">
        <v>1312</v>
      </c>
      <c r="C180" s="207">
        <v>681</v>
      </c>
      <c r="D180" s="217">
        <v>0.51905487804878048</v>
      </c>
      <c r="E180" s="218">
        <v>1.7976994773519164</v>
      </c>
      <c r="F180" s="218">
        <v>4.3773857500000002</v>
      </c>
      <c r="G180" s="207">
        <v>11924</v>
      </c>
      <c r="H180" s="207">
        <v>21435.768567944251</v>
      </c>
      <c r="I180" s="208">
        <v>1.2859698405420205E-2</v>
      </c>
    </row>
    <row r="181" spans="1:9" ht="15" customHeight="1" x14ac:dyDescent="0.25">
      <c r="A181" s="201" t="s">
        <v>227</v>
      </c>
      <c r="B181" s="209">
        <v>1312</v>
      </c>
      <c r="C181" s="209">
        <v>681</v>
      </c>
      <c r="D181" s="219">
        <v>0.51905487804878048</v>
      </c>
      <c r="E181" s="220">
        <v>1.7976994773519164</v>
      </c>
      <c r="F181" s="220">
        <v>4.3773857500000002</v>
      </c>
      <c r="G181" s="209">
        <v>11924</v>
      </c>
      <c r="H181" s="209">
        <v>21435.768567944251</v>
      </c>
      <c r="I181" s="210">
        <v>1.2859698405420205E-2</v>
      </c>
    </row>
    <row r="182" spans="1:9" ht="15" customHeight="1" x14ac:dyDescent="0.25">
      <c r="A182" s="198" t="s">
        <v>91</v>
      </c>
      <c r="B182" s="207">
        <v>96</v>
      </c>
      <c r="C182" s="207">
        <v>92</v>
      </c>
      <c r="D182" s="217">
        <v>0.95833333333333337</v>
      </c>
      <c r="E182" s="218">
        <v>1.0434782608695652</v>
      </c>
      <c r="F182" s="218">
        <v>3.725543</v>
      </c>
      <c r="G182" s="207">
        <v>1371</v>
      </c>
      <c r="H182" s="207">
        <v>1430.6086956521738</v>
      </c>
      <c r="I182" s="208">
        <v>8.5824757362655546E-4</v>
      </c>
    </row>
    <row r="183" spans="1:9" ht="15" customHeight="1" x14ac:dyDescent="0.25">
      <c r="A183" s="201" t="s">
        <v>226</v>
      </c>
      <c r="B183" s="209">
        <v>96</v>
      </c>
      <c r="C183" s="209">
        <v>92</v>
      </c>
      <c r="D183" s="219">
        <v>0.95833333333333337</v>
      </c>
      <c r="E183" s="220">
        <v>1.0434782608695652</v>
      </c>
      <c r="F183" s="220">
        <v>3.725543</v>
      </c>
      <c r="G183" s="209">
        <v>1371</v>
      </c>
      <c r="H183" s="209">
        <v>1430.6086956521738</v>
      </c>
      <c r="I183" s="210">
        <v>8.5824757362655546E-4</v>
      </c>
    </row>
    <row r="184" spans="1:9" ht="15" customHeight="1" x14ac:dyDescent="0.25">
      <c r="A184" s="198" t="s">
        <v>437</v>
      </c>
      <c r="B184" s="207">
        <v>1357</v>
      </c>
      <c r="C184" s="207">
        <v>602</v>
      </c>
      <c r="D184" s="217">
        <v>0.44362564480471628</v>
      </c>
      <c r="E184" s="218">
        <v>1.9515751131698074</v>
      </c>
      <c r="F184" s="218">
        <v>4.4526572500000006</v>
      </c>
      <c r="G184" s="207">
        <v>10722</v>
      </c>
      <c r="H184" s="207">
        <v>20924.788363406675</v>
      </c>
      <c r="I184" s="208">
        <v>1.2553152302318507E-2</v>
      </c>
    </row>
    <row r="185" spans="1:9" ht="15" customHeight="1" x14ac:dyDescent="0.25">
      <c r="A185" s="201" t="s">
        <v>249</v>
      </c>
      <c r="B185" s="209">
        <v>1357</v>
      </c>
      <c r="C185" s="209">
        <v>602</v>
      </c>
      <c r="D185" s="219">
        <v>0.44362564480471628</v>
      </c>
      <c r="E185" s="220">
        <v>1.9515751131698074</v>
      </c>
      <c r="F185" s="220">
        <v>4.4526572500000006</v>
      </c>
      <c r="G185" s="209">
        <v>10722</v>
      </c>
      <c r="H185" s="209">
        <v>20924.788363406675</v>
      </c>
      <c r="I185" s="210">
        <v>1.2553152302318507E-2</v>
      </c>
    </row>
    <row r="186" spans="1:9" ht="15" customHeight="1" x14ac:dyDescent="0.25">
      <c r="A186" s="198" t="s">
        <v>541</v>
      </c>
      <c r="B186" s="207">
        <v>30</v>
      </c>
      <c r="C186" s="207">
        <v>13</v>
      </c>
      <c r="D186" s="217">
        <v>0.43333333333333335</v>
      </c>
      <c r="E186" s="218">
        <v>1.9725714285714286</v>
      </c>
      <c r="F186" s="218">
        <v>4.6346147499999999</v>
      </c>
      <c r="G186" s="207">
        <v>241</v>
      </c>
      <c r="H186" s="207">
        <v>475.38971428571432</v>
      </c>
      <c r="I186" s="208">
        <v>2.8519473567629842E-4</v>
      </c>
    </row>
    <row r="187" spans="1:9" ht="15" customHeight="1" x14ac:dyDescent="0.25">
      <c r="A187" s="201" t="s">
        <v>225</v>
      </c>
      <c r="B187" s="209">
        <v>30</v>
      </c>
      <c r="C187" s="209">
        <v>13</v>
      </c>
      <c r="D187" s="219">
        <v>0.43333333333333335</v>
      </c>
      <c r="E187" s="220">
        <v>1.9725714285714286</v>
      </c>
      <c r="F187" s="220">
        <v>4.6346147499999999</v>
      </c>
      <c r="G187" s="209">
        <v>241</v>
      </c>
      <c r="H187" s="209">
        <v>475.38971428571432</v>
      </c>
      <c r="I187" s="210">
        <v>2.8519473567629842E-4</v>
      </c>
    </row>
    <row r="188" spans="1:9" ht="15" customHeight="1" x14ac:dyDescent="0.25">
      <c r="A188" s="198" t="s">
        <v>93</v>
      </c>
      <c r="B188" s="207">
        <v>41</v>
      </c>
      <c r="C188" s="207">
        <v>21</v>
      </c>
      <c r="D188" s="217">
        <v>0.51219512195121952</v>
      </c>
      <c r="E188" s="218">
        <v>1.8116933797909407</v>
      </c>
      <c r="F188" s="218">
        <v>4.5357137500000002</v>
      </c>
      <c r="G188" s="207">
        <v>381</v>
      </c>
      <c r="H188" s="207">
        <v>690.25517770034844</v>
      </c>
      <c r="I188" s="208">
        <v>4.1409634461534443E-4</v>
      </c>
    </row>
    <row r="189" spans="1:9" ht="15" customHeight="1" x14ac:dyDescent="0.25">
      <c r="A189" s="201" t="s">
        <v>224</v>
      </c>
      <c r="B189" s="209">
        <v>41</v>
      </c>
      <c r="C189" s="209">
        <v>21</v>
      </c>
      <c r="D189" s="219">
        <v>0.51219512195121952</v>
      </c>
      <c r="E189" s="220">
        <v>1.8116933797909407</v>
      </c>
      <c r="F189" s="220">
        <v>4.5357137500000002</v>
      </c>
      <c r="G189" s="209">
        <v>381</v>
      </c>
      <c r="H189" s="209">
        <v>690.25517770034844</v>
      </c>
      <c r="I189" s="210">
        <v>4.1409634461534443E-4</v>
      </c>
    </row>
    <row r="190" spans="1:9" ht="15" customHeight="1" x14ac:dyDescent="0.25">
      <c r="A190" s="198" t="s">
        <v>94</v>
      </c>
      <c r="B190" s="207">
        <v>1862</v>
      </c>
      <c r="C190" s="207">
        <v>757</v>
      </c>
      <c r="D190" s="217">
        <v>0.40655209452201935</v>
      </c>
      <c r="E190" s="218">
        <v>2.0272051557465089</v>
      </c>
      <c r="F190" s="218">
        <v>4.346762749999999</v>
      </c>
      <c r="G190" s="207">
        <v>13162</v>
      </c>
      <c r="H190" s="207">
        <v>26682.074259935551</v>
      </c>
      <c r="I190" s="208">
        <v>1.6007050399252522E-2</v>
      </c>
    </row>
    <row r="191" spans="1:9" ht="15" customHeight="1" x14ac:dyDescent="0.25">
      <c r="A191" s="201" t="s">
        <v>223</v>
      </c>
      <c r="B191" s="209">
        <v>1862</v>
      </c>
      <c r="C191" s="209">
        <v>757</v>
      </c>
      <c r="D191" s="219">
        <v>0.40655209452201935</v>
      </c>
      <c r="E191" s="220">
        <v>2.0272051557465089</v>
      </c>
      <c r="F191" s="220">
        <v>4.346762749999999</v>
      </c>
      <c r="G191" s="209">
        <v>13162</v>
      </c>
      <c r="H191" s="209">
        <v>26682.074259935551</v>
      </c>
      <c r="I191" s="210">
        <v>1.6007050399252522E-2</v>
      </c>
    </row>
    <row r="192" spans="1:9" ht="15" customHeight="1" x14ac:dyDescent="0.25">
      <c r="A192" s="198" t="s">
        <v>95</v>
      </c>
      <c r="B192" s="207">
        <v>1673</v>
      </c>
      <c r="C192" s="207">
        <v>525</v>
      </c>
      <c r="D192" s="217">
        <v>0.31380753138075312</v>
      </c>
      <c r="E192" s="218">
        <v>2.2164040645546921</v>
      </c>
      <c r="F192" s="218">
        <v>4.4838092500000002</v>
      </c>
      <c r="G192" s="207">
        <v>9416</v>
      </c>
      <c r="H192" s="207">
        <v>20869.660671846981</v>
      </c>
      <c r="I192" s="208">
        <v>1.2520080220718184E-2</v>
      </c>
    </row>
    <row r="193" spans="1:9" ht="15" customHeight="1" x14ac:dyDescent="0.25">
      <c r="A193" s="201" t="s">
        <v>221</v>
      </c>
      <c r="B193" s="209">
        <v>1673</v>
      </c>
      <c r="C193" s="209">
        <v>525</v>
      </c>
      <c r="D193" s="219">
        <v>0.31380753138075312</v>
      </c>
      <c r="E193" s="220">
        <v>2.2164040645546921</v>
      </c>
      <c r="F193" s="220">
        <v>4.4838092500000002</v>
      </c>
      <c r="G193" s="209">
        <v>9416</v>
      </c>
      <c r="H193" s="209">
        <v>20869.660671846981</v>
      </c>
      <c r="I193" s="210">
        <v>1.2520080220718184E-2</v>
      </c>
    </row>
    <row r="194" spans="1:9" ht="15" customHeight="1" x14ac:dyDescent="0.25">
      <c r="A194" s="198" t="s">
        <v>96</v>
      </c>
      <c r="B194" s="207">
        <v>2393</v>
      </c>
      <c r="C194" s="207">
        <v>622</v>
      </c>
      <c r="D194" s="217">
        <v>0.25992478061011282</v>
      </c>
      <c r="E194" s="218">
        <v>2.3263248761267983</v>
      </c>
      <c r="F194" s="218">
        <v>4.3299835</v>
      </c>
      <c r="G194" s="207">
        <v>10773</v>
      </c>
      <c r="H194" s="207">
        <v>25061.497890513998</v>
      </c>
      <c r="I194" s="208">
        <v>1.5034837843045089E-2</v>
      </c>
    </row>
    <row r="195" spans="1:9" ht="15" customHeight="1" x14ac:dyDescent="0.25">
      <c r="A195" s="201" t="s">
        <v>220</v>
      </c>
      <c r="B195" s="209">
        <v>2393</v>
      </c>
      <c r="C195" s="209">
        <v>622</v>
      </c>
      <c r="D195" s="219">
        <v>0.25992478061011282</v>
      </c>
      <c r="E195" s="220">
        <v>2.3263248761267983</v>
      </c>
      <c r="F195" s="220">
        <v>4.3299835</v>
      </c>
      <c r="G195" s="209">
        <v>10773</v>
      </c>
      <c r="H195" s="209">
        <v>25061.497890513998</v>
      </c>
      <c r="I195" s="210">
        <v>1.5034837843045089E-2</v>
      </c>
    </row>
    <row r="196" spans="1:9" ht="15" customHeight="1" x14ac:dyDescent="0.25">
      <c r="A196" s="198" t="s">
        <v>97</v>
      </c>
      <c r="B196" s="207">
        <v>2026</v>
      </c>
      <c r="C196" s="207">
        <v>784</v>
      </c>
      <c r="D196" s="217">
        <v>0.38696939782823297</v>
      </c>
      <c r="E196" s="218">
        <v>2.0671538570018333</v>
      </c>
      <c r="F196" s="218">
        <v>4.3227035000000003</v>
      </c>
      <c r="G196" s="207">
        <v>13556</v>
      </c>
      <c r="H196" s="207">
        <v>28022.337685516854</v>
      </c>
      <c r="I196" s="208">
        <v>1.681109824023198E-2</v>
      </c>
    </row>
    <row r="197" spans="1:9" ht="15" customHeight="1" x14ac:dyDescent="0.25">
      <c r="A197" s="201" t="s">
        <v>219</v>
      </c>
      <c r="B197" s="209">
        <v>2026</v>
      </c>
      <c r="C197" s="209">
        <v>784</v>
      </c>
      <c r="D197" s="219">
        <v>0.38696939782823297</v>
      </c>
      <c r="E197" s="220">
        <v>2.0671538570018333</v>
      </c>
      <c r="F197" s="220">
        <v>4.3227035000000003</v>
      </c>
      <c r="G197" s="209">
        <v>13556</v>
      </c>
      <c r="H197" s="209">
        <v>28022.337685516854</v>
      </c>
      <c r="I197" s="210">
        <v>1.681109824023198E-2</v>
      </c>
    </row>
    <row r="198" spans="1:9" ht="15" customHeight="1" x14ac:dyDescent="0.25">
      <c r="A198" s="198" t="s">
        <v>98</v>
      </c>
      <c r="B198" s="207">
        <v>4405</v>
      </c>
      <c r="C198" s="207">
        <v>2111</v>
      </c>
      <c r="D198" s="217">
        <v>0.47922814982973894</v>
      </c>
      <c r="E198" s="218">
        <v>1.8789460029187612</v>
      </c>
      <c r="F198" s="218">
        <v>4.3673610000000007</v>
      </c>
      <c r="G198" s="207">
        <v>36878</v>
      </c>
      <c r="H198" s="207">
        <v>69291.770695638072</v>
      </c>
      <c r="I198" s="208">
        <v>4.1569364322022795E-2</v>
      </c>
    </row>
    <row r="199" spans="1:9" ht="15" customHeight="1" x14ac:dyDescent="0.25">
      <c r="A199" s="201" t="s">
        <v>218</v>
      </c>
      <c r="B199" s="209">
        <v>4405</v>
      </c>
      <c r="C199" s="209">
        <v>2111</v>
      </c>
      <c r="D199" s="219">
        <v>0.47922814982973894</v>
      </c>
      <c r="E199" s="220">
        <v>1.8789460029187612</v>
      </c>
      <c r="F199" s="220">
        <v>4.3673610000000007</v>
      </c>
      <c r="G199" s="209">
        <v>36878</v>
      </c>
      <c r="H199" s="209">
        <v>69291.770695638072</v>
      </c>
      <c r="I199" s="210">
        <v>4.1569364322022795E-2</v>
      </c>
    </row>
    <row r="200" spans="1:9" ht="15" customHeight="1" x14ac:dyDescent="0.25">
      <c r="A200" s="198" t="s">
        <v>99</v>
      </c>
      <c r="B200" s="207">
        <v>3037</v>
      </c>
      <c r="C200" s="207">
        <v>815</v>
      </c>
      <c r="D200" s="217">
        <v>0.26835693118208759</v>
      </c>
      <c r="E200" s="218">
        <v>2.3091232889599702</v>
      </c>
      <c r="F200" s="218">
        <v>4.373926</v>
      </c>
      <c r="G200" s="207">
        <v>14259</v>
      </c>
      <c r="H200" s="207">
        <v>32925.788977280215</v>
      </c>
      <c r="I200" s="208">
        <v>1.975276578799802E-2</v>
      </c>
    </row>
    <row r="201" spans="1:9" ht="15" customHeight="1" x14ac:dyDescent="0.25">
      <c r="A201" s="201" t="s">
        <v>217</v>
      </c>
      <c r="B201" s="209">
        <v>3037</v>
      </c>
      <c r="C201" s="209">
        <v>815</v>
      </c>
      <c r="D201" s="219">
        <v>0.26835693118208759</v>
      </c>
      <c r="E201" s="220">
        <v>2.3091232889599702</v>
      </c>
      <c r="F201" s="220">
        <v>4.373926</v>
      </c>
      <c r="G201" s="209">
        <v>14259</v>
      </c>
      <c r="H201" s="209">
        <v>32925.788977280215</v>
      </c>
      <c r="I201" s="210">
        <v>1.975276578799802E-2</v>
      </c>
    </row>
    <row r="202" spans="1:9" ht="15" customHeight="1" x14ac:dyDescent="0.25">
      <c r="A202" s="198" t="s">
        <v>100</v>
      </c>
      <c r="B202" s="207">
        <v>1695</v>
      </c>
      <c r="C202" s="207">
        <v>452</v>
      </c>
      <c r="D202" s="217">
        <v>0.26666666666666666</v>
      </c>
      <c r="E202" s="218">
        <v>2.3125714285714287</v>
      </c>
      <c r="F202" s="218">
        <v>4.1272120000000001</v>
      </c>
      <c r="G202" s="207">
        <v>7462</v>
      </c>
      <c r="H202" s="207">
        <v>17256.407999999999</v>
      </c>
      <c r="I202" s="208">
        <v>1.0352425747530005E-2</v>
      </c>
    </row>
    <row r="203" spans="1:9" ht="15" customHeight="1" x14ac:dyDescent="0.25">
      <c r="A203" s="201" t="s">
        <v>216</v>
      </c>
      <c r="B203" s="209">
        <v>1695</v>
      </c>
      <c r="C203" s="209">
        <v>452</v>
      </c>
      <c r="D203" s="219">
        <v>0.26666666666666666</v>
      </c>
      <c r="E203" s="220">
        <v>2.3125714285714287</v>
      </c>
      <c r="F203" s="220">
        <v>4.1272120000000001</v>
      </c>
      <c r="G203" s="209">
        <v>7462</v>
      </c>
      <c r="H203" s="209">
        <v>17256.407999999999</v>
      </c>
      <c r="I203" s="210">
        <v>1.0352425747530005E-2</v>
      </c>
    </row>
    <row r="204" spans="1:9" ht="15" customHeight="1" x14ac:dyDescent="0.25">
      <c r="A204" s="198" t="s">
        <v>101</v>
      </c>
      <c r="B204" s="207">
        <v>11</v>
      </c>
      <c r="C204" s="207">
        <v>1</v>
      </c>
      <c r="D204" s="217">
        <v>9.0909090909090912E-2</v>
      </c>
      <c r="E204" s="218">
        <v>2.4485709999999998</v>
      </c>
      <c r="F204" s="218">
        <v>4.75</v>
      </c>
      <c r="G204" s="207">
        <v>19</v>
      </c>
      <c r="H204" s="207">
        <v>46.522848999999994</v>
      </c>
      <c r="I204" s="208">
        <v>2.7909883669651907E-5</v>
      </c>
    </row>
    <row r="205" spans="1:9" ht="15" customHeight="1" x14ac:dyDescent="0.25">
      <c r="A205" s="201" t="s">
        <v>213</v>
      </c>
      <c r="B205" s="209">
        <v>11</v>
      </c>
      <c r="C205" s="209">
        <v>1</v>
      </c>
      <c r="D205" s="219">
        <v>9.0909090909090912E-2</v>
      </c>
      <c r="E205" s="220">
        <v>2.4485709999999998</v>
      </c>
      <c r="F205" s="220">
        <v>4.75</v>
      </c>
      <c r="G205" s="209">
        <v>19</v>
      </c>
      <c r="H205" s="209">
        <v>46.522848999999994</v>
      </c>
      <c r="I205" s="210">
        <v>2.7909883669651907E-5</v>
      </c>
    </row>
    <row r="206" spans="1:9" ht="15" customHeight="1" x14ac:dyDescent="0.25">
      <c r="A206" s="198" t="s">
        <v>130</v>
      </c>
      <c r="B206" s="207">
        <v>33</v>
      </c>
      <c r="C206" s="207">
        <v>23</v>
      </c>
      <c r="D206" s="217">
        <v>0.69696969696969702</v>
      </c>
      <c r="E206" s="218">
        <v>1.4347532467532469</v>
      </c>
      <c r="F206" s="218">
        <v>4.3913037500000005</v>
      </c>
      <c r="G206" s="207">
        <v>404</v>
      </c>
      <c r="H206" s="207">
        <v>579.64031168831173</v>
      </c>
      <c r="I206" s="208">
        <v>3.4773652124059628E-4</v>
      </c>
    </row>
    <row r="207" spans="1:9" ht="15" customHeight="1" x14ac:dyDescent="0.25">
      <c r="A207" s="201" t="s">
        <v>212</v>
      </c>
      <c r="B207" s="209">
        <v>33</v>
      </c>
      <c r="C207" s="209">
        <v>23</v>
      </c>
      <c r="D207" s="219">
        <v>0.69696969696969702</v>
      </c>
      <c r="E207" s="220">
        <v>1.4347532467532469</v>
      </c>
      <c r="F207" s="220">
        <v>4.3913037500000005</v>
      </c>
      <c r="G207" s="209">
        <v>404</v>
      </c>
      <c r="H207" s="209">
        <v>579.64031168831173</v>
      </c>
      <c r="I207" s="210">
        <v>3.4773652124059628E-4</v>
      </c>
    </row>
    <row r="208" spans="1:9" ht="15" customHeight="1" x14ac:dyDescent="0.25">
      <c r="A208" s="198" t="s">
        <v>468</v>
      </c>
      <c r="B208" s="207">
        <v>52</v>
      </c>
      <c r="C208" s="207">
        <v>32</v>
      </c>
      <c r="D208" s="217">
        <v>0.61538461538461542</v>
      </c>
      <c r="E208" s="218">
        <v>1.6011868131868132</v>
      </c>
      <c r="F208" s="218">
        <v>4.140625</v>
      </c>
      <c r="G208" s="207">
        <v>530</v>
      </c>
      <c r="H208" s="207">
        <v>848.62901098901102</v>
      </c>
      <c r="I208" s="208">
        <v>5.0910762097555653E-4</v>
      </c>
    </row>
    <row r="209" spans="1:9" ht="15" customHeight="1" x14ac:dyDescent="0.25">
      <c r="A209" s="201" t="s">
        <v>211</v>
      </c>
      <c r="B209" s="209">
        <v>52</v>
      </c>
      <c r="C209" s="209">
        <v>32</v>
      </c>
      <c r="D209" s="219">
        <v>0.61538461538461542</v>
      </c>
      <c r="E209" s="220">
        <v>1.6011868131868132</v>
      </c>
      <c r="F209" s="220">
        <v>4.140625</v>
      </c>
      <c r="G209" s="209">
        <v>530</v>
      </c>
      <c r="H209" s="209">
        <v>848.62901098901102</v>
      </c>
      <c r="I209" s="210">
        <v>5.0910762097555653E-4</v>
      </c>
    </row>
    <row r="210" spans="1:9" ht="15" customHeight="1" x14ac:dyDescent="0.25">
      <c r="A210" s="198" t="s">
        <v>103</v>
      </c>
      <c r="B210" s="207">
        <v>238</v>
      </c>
      <c r="C210" s="207">
        <v>73</v>
      </c>
      <c r="D210" s="217">
        <v>0.30672268907563027</v>
      </c>
      <c r="E210" s="218">
        <v>2.2308571428571429</v>
      </c>
      <c r="F210" s="218">
        <v>4.2568487499999996</v>
      </c>
      <c r="G210" s="207">
        <v>1243</v>
      </c>
      <c r="H210" s="207">
        <v>2772.9554285714285</v>
      </c>
      <c r="I210" s="208">
        <v>1.6635452276914152E-3</v>
      </c>
    </row>
    <row r="211" spans="1:9" ht="15" customHeight="1" x14ac:dyDescent="0.25">
      <c r="A211" s="201" t="s">
        <v>210</v>
      </c>
      <c r="B211" s="209">
        <v>238</v>
      </c>
      <c r="C211" s="209">
        <v>73</v>
      </c>
      <c r="D211" s="219">
        <v>0.30672268907563027</v>
      </c>
      <c r="E211" s="220">
        <v>2.2308571428571429</v>
      </c>
      <c r="F211" s="220">
        <v>4.2568487499999996</v>
      </c>
      <c r="G211" s="209">
        <v>1243</v>
      </c>
      <c r="H211" s="209">
        <v>2772.9554285714285</v>
      </c>
      <c r="I211" s="210">
        <v>1.6635452276914152E-3</v>
      </c>
    </row>
    <row r="212" spans="1:9" ht="15" customHeight="1" x14ac:dyDescent="0.25">
      <c r="A212" s="198" t="s">
        <v>104</v>
      </c>
      <c r="B212" s="207">
        <v>313</v>
      </c>
      <c r="C212" s="207">
        <v>171</v>
      </c>
      <c r="D212" s="217">
        <v>0.54632587859424919</v>
      </c>
      <c r="E212" s="218">
        <v>1.7420666362391601</v>
      </c>
      <c r="F212" s="218">
        <v>4.3742685000000003</v>
      </c>
      <c r="G212" s="207">
        <v>2992</v>
      </c>
      <c r="H212" s="207">
        <v>5212.2633756275673</v>
      </c>
      <c r="I212" s="208">
        <v>3.1269294034282505E-3</v>
      </c>
    </row>
    <row r="213" spans="1:9" ht="15" customHeight="1" x14ac:dyDescent="0.25">
      <c r="A213" s="201" t="s">
        <v>209</v>
      </c>
      <c r="B213" s="209">
        <v>313</v>
      </c>
      <c r="C213" s="209">
        <v>171</v>
      </c>
      <c r="D213" s="219">
        <v>0.54632587859424919</v>
      </c>
      <c r="E213" s="220">
        <v>1.7420666362391601</v>
      </c>
      <c r="F213" s="220">
        <v>4.3742685000000003</v>
      </c>
      <c r="G213" s="209">
        <v>2992</v>
      </c>
      <c r="H213" s="209">
        <v>5212.2633756275673</v>
      </c>
      <c r="I213" s="210">
        <v>3.1269294034282505E-3</v>
      </c>
    </row>
    <row r="214" spans="1:9" ht="15" customHeight="1" x14ac:dyDescent="0.25">
      <c r="A214" s="198" t="s">
        <v>434</v>
      </c>
      <c r="B214" s="207">
        <v>1271</v>
      </c>
      <c r="C214" s="207">
        <v>552</v>
      </c>
      <c r="D214" s="217">
        <v>0.43430369787568845</v>
      </c>
      <c r="E214" s="218">
        <v>1.9705918849050241</v>
      </c>
      <c r="F214" s="218">
        <v>4.3759055</v>
      </c>
      <c r="G214" s="207">
        <v>9662</v>
      </c>
      <c r="H214" s="207">
        <v>19039.858791952342</v>
      </c>
      <c r="I214" s="208">
        <v>1.1422349563544335E-2</v>
      </c>
    </row>
    <row r="215" spans="1:9" ht="15" customHeight="1" x14ac:dyDescent="0.25">
      <c r="A215" s="201" t="s">
        <v>208</v>
      </c>
      <c r="B215" s="209">
        <v>1271</v>
      </c>
      <c r="C215" s="209">
        <v>552</v>
      </c>
      <c r="D215" s="219">
        <v>0.43430369787568845</v>
      </c>
      <c r="E215" s="220">
        <v>1.9705918849050241</v>
      </c>
      <c r="F215" s="220">
        <v>4.3759055</v>
      </c>
      <c r="G215" s="209">
        <v>9662</v>
      </c>
      <c r="H215" s="209">
        <v>19039.858791952342</v>
      </c>
      <c r="I215" s="210">
        <v>1.1422349563544335E-2</v>
      </c>
    </row>
    <row r="216" spans="1:9" ht="15" customHeight="1" x14ac:dyDescent="0.25">
      <c r="A216" s="198" t="s">
        <v>105</v>
      </c>
      <c r="B216" s="207">
        <v>313</v>
      </c>
      <c r="C216" s="207">
        <v>185</v>
      </c>
      <c r="D216" s="217">
        <v>0.59105431309904155</v>
      </c>
      <c r="E216" s="218">
        <v>1.6508206298493839</v>
      </c>
      <c r="F216" s="218">
        <v>4.2581077499999997</v>
      </c>
      <c r="G216" s="207">
        <v>3151</v>
      </c>
      <c r="H216" s="207">
        <v>5201.7358046554091</v>
      </c>
      <c r="I216" s="208">
        <v>3.1206137265625249E-3</v>
      </c>
    </row>
    <row r="217" spans="1:9" ht="15" customHeight="1" x14ac:dyDescent="0.25">
      <c r="A217" s="201" t="s">
        <v>207</v>
      </c>
      <c r="B217" s="209">
        <v>313</v>
      </c>
      <c r="C217" s="209">
        <v>185</v>
      </c>
      <c r="D217" s="219">
        <v>0.59105431309904155</v>
      </c>
      <c r="E217" s="220">
        <v>1.6508206298493839</v>
      </c>
      <c r="F217" s="220">
        <v>4.2581077499999997</v>
      </c>
      <c r="G217" s="209">
        <v>3151</v>
      </c>
      <c r="H217" s="209">
        <v>5201.7358046554091</v>
      </c>
      <c r="I217" s="210">
        <v>3.1206137265625249E-3</v>
      </c>
    </row>
    <row r="218" spans="1:9" ht="15" customHeight="1" x14ac:dyDescent="0.25">
      <c r="A218" s="198" t="s">
        <v>106</v>
      </c>
      <c r="B218" s="207">
        <v>508</v>
      </c>
      <c r="C218" s="207">
        <v>378</v>
      </c>
      <c r="D218" s="217">
        <v>0.74409448818897639</v>
      </c>
      <c r="E218" s="218">
        <v>1.343915343915344</v>
      </c>
      <c r="F218" s="218">
        <v>4.1283062500000005</v>
      </c>
      <c r="G218" s="207">
        <v>6242</v>
      </c>
      <c r="H218" s="207">
        <v>8388.7195767195772</v>
      </c>
      <c r="I218" s="208">
        <v>5.0325419134063564E-3</v>
      </c>
    </row>
    <row r="219" spans="1:9" ht="15" customHeight="1" x14ac:dyDescent="0.25">
      <c r="A219" s="201" t="s">
        <v>206</v>
      </c>
      <c r="B219" s="209">
        <v>508</v>
      </c>
      <c r="C219" s="209">
        <v>378</v>
      </c>
      <c r="D219" s="219">
        <v>0.74409448818897639</v>
      </c>
      <c r="E219" s="220">
        <v>1.343915343915344</v>
      </c>
      <c r="F219" s="220">
        <v>4.1283062500000005</v>
      </c>
      <c r="G219" s="209">
        <v>6242</v>
      </c>
      <c r="H219" s="209">
        <v>8388.7195767195772</v>
      </c>
      <c r="I219" s="210">
        <v>5.0325419134063564E-3</v>
      </c>
    </row>
    <row r="220" spans="1:9" ht="15" customHeight="1" x14ac:dyDescent="0.25">
      <c r="A220" s="198" t="s">
        <v>107</v>
      </c>
      <c r="B220" s="207">
        <v>1031</v>
      </c>
      <c r="C220" s="207">
        <v>423</v>
      </c>
      <c r="D220" s="217">
        <v>0.41028128031037825</v>
      </c>
      <c r="E220" s="218">
        <v>2.019597616738257</v>
      </c>
      <c r="F220" s="218">
        <v>4.1530727500000006</v>
      </c>
      <c r="G220" s="207">
        <v>7027</v>
      </c>
      <c r="H220" s="207">
        <v>14191.712452819733</v>
      </c>
      <c r="I220" s="208">
        <v>8.5138604394444789E-3</v>
      </c>
    </row>
    <row r="221" spans="1:9" ht="15" customHeight="1" x14ac:dyDescent="0.25">
      <c r="A221" s="201" t="s">
        <v>205</v>
      </c>
      <c r="B221" s="209">
        <v>1031</v>
      </c>
      <c r="C221" s="209">
        <v>423</v>
      </c>
      <c r="D221" s="219">
        <v>0.41028128031037825</v>
      </c>
      <c r="E221" s="220">
        <v>2.019597616738257</v>
      </c>
      <c r="F221" s="220">
        <v>4.1530727500000006</v>
      </c>
      <c r="G221" s="209">
        <v>7027</v>
      </c>
      <c r="H221" s="209">
        <v>14191.712452819733</v>
      </c>
      <c r="I221" s="210">
        <v>8.5138604394444789E-3</v>
      </c>
    </row>
    <row r="222" spans="1:9" ht="15" customHeight="1" x14ac:dyDescent="0.25">
      <c r="A222" s="198" t="s">
        <v>108</v>
      </c>
      <c r="B222" s="207">
        <v>3337</v>
      </c>
      <c r="C222" s="207">
        <v>797</v>
      </c>
      <c r="D222" s="217">
        <v>0.23883727899310758</v>
      </c>
      <c r="E222" s="218">
        <v>2.369343379425489</v>
      </c>
      <c r="F222" s="218">
        <v>4.3585314999999998</v>
      </c>
      <c r="G222" s="207">
        <v>13895</v>
      </c>
      <c r="H222" s="207">
        <v>32922.02625711717</v>
      </c>
      <c r="I222" s="208">
        <v>1.9750508465321327E-2</v>
      </c>
    </row>
    <row r="223" spans="1:9" ht="15" customHeight="1" x14ac:dyDescent="0.25">
      <c r="A223" s="201" t="s">
        <v>204</v>
      </c>
      <c r="B223" s="209">
        <v>3337</v>
      </c>
      <c r="C223" s="209">
        <v>797</v>
      </c>
      <c r="D223" s="219">
        <v>0.23883727899310758</v>
      </c>
      <c r="E223" s="220">
        <v>2.369343379425489</v>
      </c>
      <c r="F223" s="220">
        <v>4.3585314999999998</v>
      </c>
      <c r="G223" s="209">
        <v>13895</v>
      </c>
      <c r="H223" s="209">
        <v>32922.02625711717</v>
      </c>
      <c r="I223" s="210">
        <v>1.9750508465321327E-2</v>
      </c>
    </row>
    <row r="224" spans="1:9" ht="15" customHeight="1" x14ac:dyDescent="0.25">
      <c r="A224" s="198" t="s">
        <v>109</v>
      </c>
      <c r="B224" s="207">
        <v>5212</v>
      </c>
      <c r="C224" s="207">
        <v>1792</v>
      </c>
      <c r="D224" s="217">
        <v>0.34382194934765925</v>
      </c>
      <c r="E224" s="218">
        <v>2.1551746519022039</v>
      </c>
      <c r="F224" s="218">
        <v>4.2416285</v>
      </c>
      <c r="G224" s="207">
        <v>30404</v>
      </c>
      <c r="H224" s="207">
        <v>65525.930116434611</v>
      </c>
      <c r="I224" s="208">
        <v>3.9310169652237562E-2</v>
      </c>
    </row>
    <row r="225" spans="1:9" ht="15" customHeight="1" x14ac:dyDescent="0.25">
      <c r="A225" s="201" t="s">
        <v>203</v>
      </c>
      <c r="B225" s="209">
        <v>5212</v>
      </c>
      <c r="C225" s="209">
        <v>1792</v>
      </c>
      <c r="D225" s="219">
        <v>0.34382194934765925</v>
      </c>
      <c r="E225" s="220">
        <v>2.1551746519022039</v>
      </c>
      <c r="F225" s="220">
        <v>4.2416285</v>
      </c>
      <c r="G225" s="209">
        <v>30404</v>
      </c>
      <c r="H225" s="209">
        <v>65525.930116434611</v>
      </c>
      <c r="I225" s="210">
        <v>3.9310169652237562E-2</v>
      </c>
    </row>
    <row r="226" spans="1:9" ht="15" customHeight="1" x14ac:dyDescent="0.25">
      <c r="A226" s="198" t="s">
        <v>110</v>
      </c>
      <c r="B226" s="207">
        <v>30</v>
      </c>
      <c r="C226" s="207">
        <v>10</v>
      </c>
      <c r="D226" s="217">
        <v>0.33333333333333331</v>
      </c>
      <c r="E226" s="218">
        <v>2.1765714285714286</v>
      </c>
      <c r="F226" s="218">
        <v>4.6500000000000004</v>
      </c>
      <c r="G226" s="207">
        <v>186</v>
      </c>
      <c r="H226" s="207">
        <v>404.84228571428571</v>
      </c>
      <c r="I226" s="208">
        <v>2.4287207988577173E-4</v>
      </c>
    </row>
    <row r="227" spans="1:9" ht="15" customHeight="1" x14ac:dyDescent="0.25">
      <c r="A227" s="201" t="s">
        <v>202</v>
      </c>
      <c r="B227" s="209">
        <v>30</v>
      </c>
      <c r="C227" s="209">
        <v>10</v>
      </c>
      <c r="D227" s="219">
        <v>0.33333333333333331</v>
      </c>
      <c r="E227" s="220">
        <v>2.1765714285714286</v>
      </c>
      <c r="F227" s="220">
        <v>4.6500000000000004</v>
      </c>
      <c r="G227" s="209">
        <v>186</v>
      </c>
      <c r="H227" s="209">
        <v>404.84228571428571</v>
      </c>
      <c r="I227" s="210">
        <v>2.4287207988577173E-4</v>
      </c>
    </row>
    <row r="228" spans="1:9" ht="15" customHeight="1" x14ac:dyDescent="0.25">
      <c r="A228" s="198" t="s">
        <v>111</v>
      </c>
      <c r="B228" s="207">
        <v>47</v>
      </c>
      <c r="C228" s="207">
        <v>32</v>
      </c>
      <c r="D228" s="217">
        <v>0.68085106382978722</v>
      </c>
      <c r="E228" s="218">
        <v>1.4676352583586627</v>
      </c>
      <c r="F228" s="218">
        <v>4.4296875</v>
      </c>
      <c r="G228" s="207">
        <v>567</v>
      </c>
      <c r="H228" s="207">
        <v>832.14919148936178</v>
      </c>
      <c r="I228" s="208">
        <v>4.992210844667526E-4</v>
      </c>
    </row>
    <row r="229" spans="1:9" ht="15" customHeight="1" x14ac:dyDescent="0.25">
      <c r="A229" s="201" t="s">
        <v>201</v>
      </c>
      <c r="B229" s="209">
        <v>47</v>
      </c>
      <c r="C229" s="209">
        <v>32</v>
      </c>
      <c r="D229" s="219">
        <v>0.68085106382978722</v>
      </c>
      <c r="E229" s="220">
        <v>1.4676352583586627</v>
      </c>
      <c r="F229" s="220">
        <v>4.4296875</v>
      </c>
      <c r="G229" s="209">
        <v>567</v>
      </c>
      <c r="H229" s="209">
        <v>832.14919148936178</v>
      </c>
      <c r="I229" s="210">
        <v>4.992210844667526E-4</v>
      </c>
    </row>
    <row r="230" spans="1:9" ht="15" customHeight="1" x14ac:dyDescent="0.25">
      <c r="A230" s="198" t="s">
        <v>112</v>
      </c>
      <c r="B230" s="207">
        <v>104</v>
      </c>
      <c r="C230" s="207">
        <v>72</v>
      </c>
      <c r="D230" s="217">
        <v>0.69230769230769229</v>
      </c>
      <c r="E230" s="218">
        <v>1.4442637362637363</v>
      </c>
      <c r="F230" s="218">
        <v>4.2638885000000002</v>
      </c>
      <c r="G230" s="207">
        <v>1228</v>
      </c>
      <c r="H230" s="207">
        <v>1773.5558681318682</v>
      </c>
      <c r="I230" s="208">
        <v>1.0639876754149117E-3</v>
      </c>
    </row>
    <row r="231" spans="1:9" ht="15" customHeight="1" x14ac:dyDescent="0.25">
      <c r="A231" s="201" t="s">
        <v>197</v>
      </c>
      <c r="B231" s="209">
        <v>104</v>
      </c>
      <c r="C231" s="209">
        <v>72</v>
      </c>
      <c r="D231" s="219">
        <v>0.69230769230769229</v>
      </c>
      <c r="E231" s="220">
        <v>1.4442637362637363</v>
      </c>
      <c r="F231" s="220">
        <v>4.2638885000000002</v>
      </c>
      <c r="G231" s="209">
        <v>1228</v>
      </c>
      <c r="H231" s="209">
        <v>1773.5558681318682</v>
      </c>
      <c r="I231" s="210">
        <v>1.0639876754149117E-3</v>
      </c>
    </row>
    <row r="232" spans="1:9" ht="15" customHeight="1" x14ac:dyDescent="0.25">
      <c r="A232" s="198" t="s">
        <v>113</v>
      </c>
      <c r="B232" s="207">
        <v>60</v>
      </c>
      <c r="C232" s="207">
        <v>26</v>
      </c>
      <c r="D232" s="217">
        <v>0.43333333333333335</v>
      </c>
      <c r="E232" s="218">
        <v>1.9725714285714286</v>
      </c>
      <c r="F232" s="218">
        <v>4.4326919999999994</v>
      </c>
      <c r="G232" s="207">
        <v>461</v>
      </c>
      <c r="H232" s="207">
        <v>909.35542857142866</v>
      </c>
      <c r="I232" s="208">
        <v>5.4553847778744224E-4</v>
      </c>
    </row>
    <row r="233" spans="1:9" ht="15" customHeight="1" x14ac:dyDescent="0.25">
      <c r="A233" s="201" t="s">
        <v>198</v>
      </c>
      <c r="B233" s="209">
        <v>60</v>
      </c>
      <c r="C233" s="209">
        <v>26</v>
      </c>
      <c r="D233" s="219">
        <v>0.43333333333333335</v>
      </c>
      <c r="E233" s="220">
        <v>1.9725714285714286</v>
      </c>
      <c r="F233" s="220">
        <v>4.4326919999999994</v>
      </c>
      <c r="G233" s="209">
        <v>461</v>
      </c>
      <c r="H233" s="209">
        <v>909.35542857142866</v>
      </c>
      <c r="I233" s="210">
        <v>5.4553847778744224E-4</v>
      </c>
    </row>
    <row r="234" spans="1:9" ht="15" customHeight="1" x14ac:dyDescent="0.25">
      <c r="A234" s="198" t="s">
        <v>114</v>
      </c>
      <c r="B234" s="207">
        <v>1350</v>
      </c>
      <c r="C234" s="207">
        <v>449</v>
      </c>
      <c r="D234" s="217">
        <v>0.33259259259259261</v>
      </c>
      <c r="E234" s="218">
        <v>2.1780825396825398</v>
      </c>
      <c r="F234" s="218">
        <v>4.3268369999999994</v>
      </c>
      <c r="G234" s="207">
        <v>7771</v>
      </c>
      <c r="H234" s="207">
        <v>16925.879415873016</v>
      </c>
      <c r="I234" s="208">
        <v>1.0154135777530987E-2</v>
      </c>
    </row>
    <row r="235" spans="1:9" ht="15" customHeight="1" x14ac:dyDescent="0.25">
      <c r="A235" s="201" t="s">
        <v>195</v>
      </c>
      <c r="B235" s="209">
        <v>1350</v>
      </c>
      <c r="C235" s="209">
        <v>449</v>
      </c>
      <c r="D235" s="219">
        <v>0.33259259259259261</v>
      </c>
      <c r="E235" s="220">
        <v>2.1780825396825398</v>
      </c>
      <c r="F235" s="220">
        <v>4.3268369999999994</v>
      </c>
      <c r="G235" s="209">
        <v>7771</v>
      </c>
      <c r="H235" s="209">
        <v>16925.879415873016</v>
      </c>
      <c r="I235" s="210">
        <v>1.0154135777530987E-2</v>
      </c>
    </row>
    <row r="236" spans="1:9" ht="15" customHeight="1" x14ac:dyDescent="0.25">
      <c r="A236" s="198" t="s">
        <v>115</v>
      </c>
      <c r="B236" s="207">
        <v>213</v>
      </c>
      <c r="C236" s="207">
        <v>94</v>
      </c>
      <c r="D236" s="217">
        <v>0.44131455399061031</v>
      </c>
      <c r="E236" s="218">
        <v>1.9562897384305835</v>
      </c>
      <c r="F236" s="218">
        <v>4.1462762499999997</v>
      </c>
      <c r="G236" s="207">
        <v>1559</v>
      </c>
      <c r="H236" s="207">
        <v>3049.8557022132795</v>
      </c>
      <c r="I236" s="208">
        <v>1.8296626214356986E-3</v>
      </c>
    </row>
    <row r="237" spans="1:9" ht="15" customHeight="1" x14ac:dyDescent="0.25">
      <c r="A237" s="201" t="s">
        <v>194</v>
      </c>
      <c r="B237" s="209">
        <v>213</v>
      </c>
      <c r="C237" s="209">
        <v>94</v>
      </c>
      <c r="D237" s="219">
        <v>0.44131455399061031</v>
      </c>
      <c r="E237" s="220">
        <v>1.9562897384305835</v>
      </c>
      <c r="F237" s="220">
        <v>4.1462762499999997</v>
      </c>
      <c r="G237" s="209">
        <v>1559</v>
      </c>
      <c r="H237" s="209">
        <v>3049.8557022132795</v>
      </c>
      <c r="I237" s="210">
        <v>1.8296626214356986E-3</v>
      </c>
    </row>
    <row r="238" spans="1:9" ht="15" customHeight="1" x14ac:dyDescent="0.25">
      <c r="A238" s="198" t="s">
        <v>116</v>
      </c>
      <c r="B238" s="207">
        <v>2849</v>
      </c>
      <c r="C238" s="207">
        <v>663</v>
      </c>
      <c r="D238" s="217">
        <v>0.23271323271323271</v>
      </c>
      <c r="E238" s="218">
        <v>2.3818364338364337</v>
      </c>
      <c r="F238" s="218">
        <v>4.1655347499999991</v>
      </c>
      <c r="G238" s="207">
        <v>11047</v>
      </c>
      <c r="H238" s="207">
        <v>26312.147084591084</v>
      </c>
      <c r="I238" s="208">
        <v>1.5785124514401682E-2</v>
      </c>
    </row>
    <row r="239" spans="1:9" ht="15" customHeight="1" x14ac:dyDescent="0.25">
      <c r="A239" s="201" t="s">
        <v>193</v>
      </c>
      <c r="B239" s="209">
        <v>2849</v>
      </c>
      <c r="C239" s="209">
        <v>663</v>
      </c>
      <c r="D239" s="219">
        <v>0.23271323271323271</v>
      </c>
      <c r="E239" s="220">
        <v>2.3818364338364337</v>
      </c>
      <c r="F239" s="220">
        <v>4.1655347499999991</v>
      </c>
      <c r="G239" s="209">
        <v>11047</v>
      </c>
      <c r="H239" s="209">
        <v>26312.147084591084</v>
      </c>
      <c r="I239" s="210">
        <v>1.5785124514401682E-2</v>
      </c>
    </row>
    <row r="240" spans="1:9" ht="15" customHeight="1" x14ac:dyDescent="0.25">
      <c r="A240" s="198" t="s">
        <v>117</v>
      </c>
      <c r="B240" s="207">
        <v>208</v>
      </c>
      <c r="C240" s="207">
        <v>42</v>
      </c>
      <c r="D240" s="217">
        <v>0.20192307692307693</v>
      </c>
      <c r="E240" s="218">
        <v>2.4446483516483517</v>
      </c>
      <c r="F240" s="218">
        <v>4.3333332499999999</v>
      </c>
      <c r="G240" s="207">
        <v>728</v>
      </c>
      <c r="H240" s="207">
        <v>1779.704</v>
      </c>
      <c r="I240" s="208">
        <v>1.0676760489542285E-3</v>
      </c>
    </row>
    <row r="241" spans="1:9" ht="15" customHeight="1" x14ac:dyDescent="0.25">
      <c r="A241" s="201" t="s">
        <v>192</v>
      </c>
      <c r="B241" s="209">
        <v>208</v>
      </c>
      <c r="C241" s="209">
        <v>42</v>
      </c>
      <c r="D241" s="219">
        <v>0.20192307692307693</v>
      </c>
      <c r="E241" s="220">
        <v>2.4446483516483517</v>
      </c>
      <c r="F241" s="220">
        <v>4.3333332499999999</v>
      </c>
      <c r="G241" s="209">
        <v>728</v>
      </c>
      <c r="H241" s="209">
        <v>1779.704</v>
      </c>
      <c r="I241" s="210">
        <v>1.0676760489542285E-3</v>
      </c>
    </row>
    <row r="242" spans="1:9" ht="15" customHeight="1" x14ac:dyDescent="0.25">
      <c r="A242" s="198" t="s">
        <v>380</v>
      </c>
      <c r="B242" s="207">
        <v>58</v>
      </c>
      <c r="C242" s="207">
        <v>20</v>
      </c>
      <c r="D242" s="217">
        <v>0.34482758620689657</v>
      </c>
      <c r="E242" s="218">
        <v>2.1531231527093597</v>
      </c>
      <c r="F242" s="218">
        <v>4.6124999999999998</v>
      </c>
      <c r="G242" s="207">
        <v>369</v>
      </c>
      <c r="H242" s="207">
        <v>794.50244334975378</v>
      </c>
      <c r="I242" s="208">
        <v>4.7663613140170832E-4</v>
      </c>
    </row>
    <row r="243" spans="1:9" ht="15" customHeight="1" x14ac:dyDescent="0.25">
      <c r="A243" s="201" t="s">
        <v>379</v>
      </c>
      <c r="B243" s="209">
        <v>58</v>
      </c>
      <c r="C243" s="209">
        <v>20</v>
      </c>
      <c r="D243" s="219">
        <v>0.34482758620689657</v>
      </c>
      <c r="E243" s="220">
        <v>2.1531231527093597</v>
      </c>
      <c r="F243" s="220">
        <v>4.6124999999999998</v>
      </c>
      <c r="G243" s="209">
        <v>369</v>
      </c>
      <c r="H243" s="209">
        <v>794.50244334975378</v>
      </c>
      <c r="I243" s="210">
        <v>4.7663613140170832E-4</v>
      </c>
    </row>
    <row r="244" spans="1:9" ht="15" customHeight="1" x14ac:dyDescent="0.25">
      <c r="A244" s="198" t="s">
        <v>131</v>
      </c>
      <c r="B244" s="207">
        <v>11</v>
      </c>
      <c r="C244" s="207">
        <v>10</v>
      </c>
      <c r="D244" s="217">
        <v>0.90909090909090906</v>
      </c>
      <c r="E244" s="218">
        <v>1.1000000000000001</v>
      </c>
      <c r="F244" s="218">
        <v>4.8499999999999996</v>
      </c>
      <c r="G244" s="207">
        <v>194</v>
      </c>
      <c r="H244" s="207">
        <v>213.4</v>
      </c>
      <c r="I244" s="208">
        <v>1.2802245140025104E-4</v>
      </c>
    </row>
    <row r="245" spans="1:9" ht="15" customHeight="1" x14ac:dyDescent="0.25">
      <c r="A245" s="201" t="s">
        <v>251</v>
      </c>
      <c r="B245" s="209">
        <v>11</v>
      </c>
      <c r="C245" s="209">
        <v>10</v>
      </c>
      <c r="D245" s="219">
        <v>0.90909090909090906</v>
      </c>
      <c r="E245" s="220">
        <v>1.1000000000000001</v>
      </c>
      <c r="F245" s="220">
        <v>4.8499999999999996</v>
      </c>
      <c r="G245" s="209">
        <v>194</v>
      </c>
      <c r="H245" s="209">
        <v>213.4</v>
      </c>
      <c r="I245" s="210">
        <v>1.2802245140025104E-4</v>
      </c>
    </row>
    <row r="246" spans="1:9" ht="15" customHeight="1" x14ac:dyDescent="0.25">
      <c r="A246" s="198" t="s">
        <v>440</v>
      </c>
      <c r="B246" s="207">
        <v>1609</v>
      </c>
      <c r="C246" s="207">
        <v>556</v>
      </c>
      <c r="D246" s="217">
        <v>0.34555624611559976</v>
      </c>
      <c r="E246" s="218">
        <v>2.1516366864956051</v>
      </c>
      <c r="F246" s="218">
        <v>4.2954132500000002</v>
      </c>
      <c r="G246" s="207">
        <v>9553</v>
      </c>
      <c r="H246" s="207">
        <v>20554.585266092516</v>
      </c>
      <c r="I246" s="208">
        <v>1.2331060886975845E-2</v>
      </c>
    </row>
    <row r="247" spans="1:9" ht="15" customHeight="1" x14ac:dyDescent="0.25">
      <c r="A247" s="201" t="s">
        <v>191</v>
      </c>
      <c r="B247" s="209">
        <v>1609</v>
      </c>
      <c r="C247" s="209">
        <v>556</v>
      </c>
      <c r="D247" s="219">
        <v>0.34555624611559976</v>
      </c>
      <c r="E247" s="220">
        <v>2.1516366864956051</v>
      </c>
      <c r="F247" s="220">
        <v>4.2954132500000002</v>
      </c>
      <c r="G247" s="209">
        <v>9553</v>
      </c>
      <c r="H247" s="209">
        <v>20554.585266092516</v>
      </c>
      <c r="I247" s="210">
        <v>1.2331060886975845E-2</v>
      </c>
    </row>
    <row r="248" spans="1:9" ht="15" customHeight="1" x14ac:dyDescent="0.25">
      <c r="A248" s="198" t="s">
        <v>119</v>
      </c>
      <c r="B248" s="207">
        <v>1569</v>
      </c>
      <c r="C248" s="207">
        <v>432</v>
      </c>
      <c r="D248" s="217">
        <v>0.27533460803059273</v>
      </c>
      <c r="E248" s="218">
        <v>2.2948888281890194</v>
      </c>
      <c r="F248" s="218">
        <v>4.1643514999999995</v>
      </c>
      <c r="G248" s="207">
        <v>7196</v>
      </c>
      <c r="H248" s="207">
        <v>16514.020007648185</v>
      </c>
      <c r="I248" s="208">
        <v>9.9070540011804743E-3</v>
      </c>
    </row>
    <row r="249" spans="1:9" ht="15" customHeight="1" x14ac:dyDescent="0.25">
      <c r="A249" s="201" t="s">
        <v>190</v>
      </c>
      <c r="B249" s="209">
        <v>1569</v>
      </c>
      <c r="C249" s="209">
        <v>432</v>
      </c>
      <c r="D249" s="219">
        <v>0.27533460803059273</v>
      </c>
      <c r="E249" s="220">
        <v>2.2948888281890194</v>
      </c>
      <c r="F249" s="220">
        <v>4.1643514999999995</v>
      </c>
      <c r="G249" s="209">
        <v>7196</v>
      </c>
      <c r="H249" s="209">
        <v>16514.020007648185</v>
      </c>
      <c r="I249" s="210">
        <v>9.9070540011804743E-3</v>
      </c>
    </row>
    <row r="250" spans="1:9" ht="15" customHeight="1" x14ac:dyDescent="0.25">
      <c r="A250" s="198" t="s">
        <v>120</v>
      </c>
      <c r="B250" s="207">
        <v>634</v>
      </c>
      <c r="C250" s="207">
        <v>407</v>
      </c>
      <c r="D250" s="217">
        <v>0.64195583596214512</v>
      </c>
      <c r="E250" s="218">
        <v>1.5469815232086526</v>
      </c>
      <c r="F250" s="218">
        <v>4.4391887499999996</v>
      </c>
      <c r="G250" s="207">
        <v>7227</v>
      </c>
      <c r="H250" s="207">
        <v>11180.035468228933</v>
      </c>
      <c r="I250" s="208">
        <v>6.707101909017907E-3</v>
      </c>
    </row>
    <row r="251" spans="1:9" ht="15" customHeight="1" x14ac:dyDescent="0.25">
      <c r="A251" s="201" t="s">
        <v>189</v>
      </c>
      <c r="B251" s="209">
        <v>634</v>
      </c>
      <c r="C251" s="209">
        <v>407</v>
      </c>
      <c r="D251" s="219">
        <v>0.64195583596214512</v>
      </c>
      <c r="E251" s="220">
        <v>1.5469815232086526</v>
      </c>
      <c r="F251" s="220">
        <v>4.4391887499999996</v>
      </c>
      <c r="G251" s="209">
        <v>7227</v>
      </c>
      <c r="H251" s="209">
        <v>11180.035468228933</v>
      </c>
      <c r="I251" s="210">
        <v>6.707101909017907E-3</v>
      </c>
    </row>
    <row r="252" spans="1:9" ht="15" customHeight="1" x14ac:dyDescent="0.25">
      <c r="A252" s="198" t="s">
        <v>501</v>
      </c>
      <c r="B252" s="207">
        <v>14</v>
      </c>
      <c r="C252" s="207">
        <v>12</v>
      </c>
      <c r="D252" s="217">
        <v>0.8571428571428571</v>
      </c>
      <c r="E252" s="218">
        <v>1.1666666666666667</v>
      </c>
      <c r="F252" s="218">
        <v>4.2708329999999997</v>
      </c>
      <c r="G252" s="207">
        <v>205</v>
      </c>
      <c r="H252" s="207">
        <v>239.16666666666669</v>
      </c>
      <c r="I252" s="208">
        <v>1.4348033252058751E-4</v>
      </c>
    </row>
    <row r="253" spans="1:9" ht="15" customHeight="1" x14ac:dyDescent="0.25">
      <c r="A253" s="201" t="s">
        <v>188</v>
      </c>
      <c r="B253" s="209">
        <v>14</v>
      </c>
      <c r="C253" s="209">
        <v>12</v>
      </c>
      <c r="D253" s="219">
        <v>0.8571428571428571</v>
      </c>
      <c r="E253" s="220">
        <v>1.1666666666666667</v>
      </c>
      <c r="F253" s="220">
        <v>4.2708329999999997</v>
      </c>
      <c r="G253" s="209">
        <v>205</v>
      </c>
      <c r="H253" s="209">
        <v>239.16666666666669</v>
      </c>
      <c r="I253" s="210">
        <v>1.4348033252058751E-4</v>
      </c>
    </row>
    <row r="254" spans="1:9" ht="15" customHeight="1" x14ac:dyDescent="0.25">
      <c r="A254" s="198" t="s">
        <v>122</v>
      </c>
      <c r="B254" s="207">
        <v>3006</v>
      </c>
      <c r="C254" s="207">
        <v>1040</v>
      </c>
      <c r="D254" s="217">
        <v>0.34597471723220224</v>
      </c>
      <c r="E254" s="218">
        <v>2.1507830054177361</v>
      </c>
      <c r="F254" s="218">
        <v>4.2411054999999998</v>
      </c>
      <c r="G254" s="207">
        <v>17643</v>
      </c>
      <c r="H254" s="207">
        <v>37946.264564585115</v>
      </c>
      <c r="I254" s="208">
        <v>2.2764638289787562E-2</v>
      </c>
    </row>
    <row r="255" spans="1:9" ht="15" customHeight="1" x14ac:dyDescent="0.25">
      <c r="A255" s="201" t="s">
        <v>184</v>
      </c>
      <c r="B255" s="209">
        <v>3006</v>
      </c>
      <c r="C255" s="209">
        <v>1040</v>
      </c>
      <c r="D255" s="219">
        <v>0.34597471723220224</v>
      </c>
      <c r="E255" s="220">
        <v>2.1507830054177361</v>
      </c>
      <c r="F255" s="220">
        <v>4.2411054999999998</v>
      </c>
      <c r="G255" s="209">
        <v>17643</v>
      </c>
      <c r="H255" s="209">
        <v>37946.264564585115</v>
      </c>
      <c r="I255" s="210">
        <v>2.2764638289787562E-2</v>
      </c>
    </row>
    <row r="256" spans="1:9" ht="15" customHeight="1" x14ac:dyDescent="0.25">
      <c r="A256" s="198" t="s">
        <v>123</v>
      </c>
      <c r="B256" s="207">
        <v>93</v>
      </c>
      <c r="C256" s="207">
        <v>42</v>
      </c>
      <c r="D256" s="217">
        <v>0.45161290322580644</v>
      </c>
      <c r="E256" s="218">
        <v>1.9352811059907835</v>
      </c>
      <c r="F256" s="218">
        <v>4.5773804999999994</v>
      </c>
      <c r="G256" s="207">
        <v>769</v>
      </c>
      <c r="H256" s="207">
        <v>1488.2311705069126</v>
      </c>
      <c r="I256" s="208">
        <v>8.9281632004948425E-4</v>
      </c>
    </row>
    <row r="257" spans="1:9" ht="15" customHeight="1" x14ac:dyDescent="0.25">
      <c r="A257" s="201" t="s">
        <v>183</v>
      </c>
      <c r="B257" s="209">
        <v>93</v>
      </c>
      <c r="C257" s="209">
        <v>42</v>
      </c>
      <c r="D257" s="219">
        <v>0.45161290322580644</v>
      </c>
      <c r="E257" s="220">
        <v>1.9352811059907835</v>
      </c>
      <c r="F257" s="220">
        <v>4.5773804999999994</v>
      </c>
      <c r="G257" s="209">
        <v>769</v>
      </c>
      <c r="H257" s="209">
        <v>1488.2311705069126</v>
      </c>
      <c r="I257" s="210">
        <v>8.9281632004948425E-4</v>
      </c>
    </row>
    <row r="258" spans="1:9" ht="15" customHeight="1" x14ac:dyDescent="0.25">
      <c r="A258" s="198" t="s">
        <v>124</v>
      </c>
      <c r="B258" s="207">
        <v>1113</v>
      </c>
      <c r="C258" s="207">
        <v>731</v>
      </c>
      <c r="D258" s="217">
        <v>0.65678346810422283</v>
      </c>
      <c r="E258" s="218">
        <v>1.516733153638814</v>
      </c>
      <c r="F258" s="218">
        <v>4.4415180000000003</v>
      </c>
      <c r="G258" s="207">
        <v>12987</v>
      </c>
      <c r="H258" s="207">
        <v>19697.813466307278</v>
      </c>
      <c r="I258" s="208">
        <v>1.1817068262331462E-2</v>
      </c>
    </row>
    <row r="259" spans="1:9" ht="15" customHeight="1" x14ac:dyDescent="0.25">
      <c r="A259" s="201" t="s">
        <v>178</v>
      </c>
      <c r="B259" s="209">
        <v>1113</v>
      </c>
      <c r="C259" s="209">
        <v>731</v>
      </c>
      <c r="D259" s="219">
        <v>0.65678346810422283</v>
      </c>
      <c r="E259" s="220">
        <v>1.516733153638814</v>
      </c>
      <c r="F259" s="220">
        <v>4.4415180000000003</v>
      </c>
      <c r="G259" s="209">
        <v>12987</v>
      </c>
      <c r="H259" s="209">
        <v>19697.813466307278</v>
      </c>
      <c r="I259" s="210">
        <v>1.1817068262331462E-2</v>
      </c>
    </row>
    <row r="260" spans="1:9" ht="15" customHeight="1" x14ac:dyDescent="0.25">
      <c r="A260" s="198" t="s">
        <v>125</v>
      </c>
      <c r="B260" s="207">
        <v>1048</v>
      </c>
      <c r="C260" s="207">
        <v>583</v>
      </c>
      <c r="D260" s="217">
        <v>0.55629770992366412</v>
      </c>
      <c r="E260" s="218">
        <v>1.7217241003271537</v>
      </c>
      <c r="F260" s="218">
        <v>4.2560029999999998</v>
      </c>
      <c r="G260" s="207">
        <v>9925</v>
      </c>
      <c r="H260" s="207">
        <v>17088.111695747</v>
      </c>
      <c r="I260" s="208">
        <v>1.0251461804549352E-2</v>
      </c>
    </row>
    <row r="261" spans="1:9" ht="15" customHeight="1" x14ac:dyDescent="0.25">
      <c r="A261" s="201" t="s">
        <v>176</v>
      </c>
      <c r="B261" s="209">
        <v>1048</v>
      </c>
      <c r="C261" s="209">
        <v>583</v>
      </c>
      <c r="D261" s="219">
        <v>0.55629770992366412</v>
      </c>
      <c r="E261" s="220">
        <v>1.7217241003271537</v>
      </c>
      <c r="F261" s="220">
        <v>4.2560029999999998</v>
      </c>
      <c r="G261" s="209">
        <v>9925</v>
      </c>
      <c r="H261" s="209">
        <v>17088.111695747</v>
      </c>
      <c r="I261" s="210">
        <v>1.0251461804549352E-2</v>
      </c>
    </row>
    <row r="262" spans="1:9" x14ac:dyDescent="0.25">
      <c r="A262" s="204" t="s">
        <v>13</v>
      </c>
      <c r="B262" s="211">
        <v>124759</v>
      </c>
      <c r="C262" s="211">
        <v>48371</v>
      </c>
      <c r="D262" s="221">
        <v>0.38771551551391081</v>
      </c>
      <c r="E262" s="222">
        <v>1.8819892931134343</v>
      </c>
      <c r="F262" s="222">
        <v>4.3128075469191485</v>
      </c>
      <c r="G262" s="211">
        <v>834047</v>
      </c>
      <c r="H262" s="211">
        <v>1666895.1239874598</v>
      </c>
      <c r="I262" s="212">
        <v>1</v>
      </c>
    </row>
    <row r="264" spans="1:9" x14ac:dyDescent="0.25">
      <c r="A264" s="5"/>
    </row>
    <row r="265" spans="1:9" x14ac:dyDescent="0.25">
      <c r="A265" s="137" t="s">
        <v>542</v>
      </c>
    </row>
  </sheetData>
  <mergeCells count="1">
    <mergeCell ref="B2:I2"/>
  </mergeCells>
  <hyperlinks>
    <hyperlink ref="A138" r:id="rId1" display="https://vipunen.fi/fi-fi/_layouts/15/xlviewer.aspx?id=/fi-fi/Raportit/Ammatillinen%20koulutus%20-%20opiskelijapalaute%20-%20rahoitusmalli%20-%20aloituskysely.xlsb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2</vt:i4>
      </vt:variant>
    </vt:vector>
  </HeadingPairs>
  <TitlesOfParts>
    <vt:vector size="15" baseType="lpstr">
      <vt:lpstr>OHJEET</vt:lpstr>
      <vt:lpstr>1.1 Jakotaulu</vt:lpstr>
      <vt:lpstr>1.2 Ohjaus-laskentataulu</vt:lpstr>
      <vt:lpstr>1.3 Vertailulukuja</vt:lpstr>
      <vt:lpstr>1.4 Maakuntalukuja</vt:lpstr>
      <vt:lpstr>2.1 Toteut. op.vuodet</vt:lpstr>
      <vt:lpstr>2.2 Tutk. ja osien pain. pist.</vt:lpstr>
      <vt:lpstr>2.3 Työll. ja jatko-opisk.</vt:lpstr>
      <vt:lpstr>2.4 Aloittaneet palaute</vt:lpstr>
      <vt:lpstr>2.5 Päättäneet palaute</vt:lpstr>
      <vt:lpstr>2.6 Työpaikkaohjaajakysely</vt:lpstr>
      <vt:lpstr>2.7 Työpaikkakysely</vt:lpstr>
      <vt:lpstr>Suoritepäätös 2023 oikaistu</vt:lpstr>
      <vt:lpstr>'Suoritepäätös 2023 oikaistu'!Tulostusalue</vt:lpstr>
      <vt:lpstr>'Suoritepäätös 2023 oikaistu'!Tulostusotsikot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2024-01-10T15:26:04Z</dcterms:created>
  <dcterms:modified xsi:type="dcterms:W3CDTF">2024-01-10T15:27:37Z</dcterms:modified>
</cp:coreProperties>
</file>