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ables/table3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ämäTyökirja" hidePivotFieldList="1" defaultThemeVersion="164011"/>
  <bookViews>
    <workbookView xWindow="0" yWindow="0" windowWidth="7430" windowHeight="0" tabRatio="652"/>
  </bookViews>
  <sheets>
    <sheet name="OHJEET" sheetId="62" r:id="rId1"/>
    <sheet name="1.1 Jakotaulu" sheetId="18" r:id="rId2"/>
    <sheet name="1.2 Ohjaus-laskentataulu" sheetId="17" r:id="rId3"/>
    <sheet name="1.3 Vertailulukuja" sheetId="24" r:id="rId4"/>
    <sheet name="1.4 Maakuntalukuja" sheetId="25" r:id="rId5"/>
    <sheet name="2.1 Toteut. op.vuodet" sheetId="5" r:id="rId6"/>
    <sheet name="2.2 Tutk. ja osien pain. pist." sheetId="27" r:id="rId7"/>
    <sheet name="2.3 Työll. ja jatko-opisk." sheetId="3" r:id="rId8"/>
    <sheet name="2.4 Aloittaneet palaute" sheetId="1" r:id="rId9"/>
    <sheet name="2.5 Päättäneet palaute" sheetId="2" r:id="rId10"/>
    <sheet name="2.6 Työpaikkaohjaajakysely" sheetId="61" r:id="rId11"/>
    <sheet name="2.7 Työpaikkakysely" sheetId="60" r:id="rId12"/>
    <sheet name="Suoritepäätös 2022 oikaistu" sheetId="59" state="hidden" r:id="rId13"/>
  </sheets>
  <externalReferences>
    <externalReference r:id="rId14"/>
  </externalReferences>
  <definedNames>
    <definedName name="_xlnm._FilterDatabase" localSheetId="2" hidden="1">'1.2 Ohjaus-laskentataulu'!$C$6:$C$140</definedName>
    <definedName name="_xlnm._FilterDatabase" localSheetId="4" hidden="1">'1.4 Maakuntalukuja'!$F$6:$F$23</definedName>
    <definedName name="FuusiotKpl">[1]Fuusiot!$C$1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24" i="25" l="1"/>
  <c r="BA24" i="25"/>
  <c r="AZ24" i="25"/>
  <c r="BB6" i="25"/>
  <c r="BB7" i="25"/>
  <c r="BB8" i="25"/>
  <c r="BB9" i="25"/>
  <c r="BB10" i="25"/>
  <c r="BB11" i="25"/>
  <c r="BB12" i="25"/>
  <c r="BB13" i="25"/>
  <c r="BB14" i="25"/>
  <c r="BB15" i="25"/>
  <c r="BB16" i="25"/>
  <c r="BB17" i="25"/>
  <c r="BB18" i="25"/>
  <c r="BB19" i="25"/>
  <c r="BB20" i="25"/>
  <c r="BB21" i="25"/>
  <c r="BB22" i="25"/>
  <c r="BB23" i="25"/>
  <c r="BA6" i="25"/>
  <c r="BA7" i="25"/>
  <c r="BA8" i="25"/>
  <c r="BA9" i="25"/>
  <c r="BA10" i="25"/>
  <c r="BA11" i="25"/>
  <c r="BA12" i="25"/>
  <c r="BA13" i="25"/>
  <c r="BA14" i="25"/>
  <c r="BA15" i="25"/>
  <c r="BA16" i="25"/>
  <c r="BA17" i="25"/>
  <c r="BA18" i="25"/>
  <c r="BA19" i="25"/>
  <c r="BA20" i="25"/>
  <c r="BA21" i="25"/>
  <c r="BA22" i="25"/>
  <c r="BA23" i="25"/>
  <c r="AZ23" i="25"/>
  <c r="AN7" i="25"/>
  <c r="AN8" i="25"/>
  <c r="AN9" i="25"/>
  <c r="AN10" i="25"/>
  <c r="AN11" i="25"/>
  <c r="AN12" i="25"/>
  <c r="AN13" i="25"/>
  <c r="AN14" i="25"/>
  <c r="AN15" i="25"/>
  <c r="AN16" i="25"/>
  <c r="AN17" i="25"/>
  <c r="AN18" i="25"/>
  <c r="AN19" i="25"/>
  <c r="AN20" i="25"/>
  <c r="AN21" i="25"/>
  <c r="AN22" i="25"/>
  <c r="AN23" i="25"/>
  <c r="AN6" i="25"/>
  <c r="AM6" i="25"/>
  <c r="AM7" i="25"/>
  <c r="AM8" i="25"/>
  <c r="AM9" i="25"/>
  <c r="AM10" i="25"/>
  <c r="AM11" i="25"/>
  <c r="AM12" i="25"/>
  <c r="AM13" i="25"/>
  <c r="AM14" i="25"/>
  <c r="AM15" i="25"/>
  <c r="AM16" i="25"/>
  <c r="AM17" i="25"/>
  <c r="AM18" i="25"/>
  <c r="AM19" i="25"/>
  <c r="AM20" i="25"/>
  <c r="AM21" i="25"/>
  <c r="AM22" i="25"/>
  <c r="AM23" i="25"/>
  <c r="AL6" i="25"/>
  <c r="AL7" i="25"/>
  <c r="AL8" i="25"/>
  <c r="AL9" i="25"/>
  <c r="AL10" i="25"/>
  <c r="AL11" i="25"/>
  <c r="AL12" i="25"/>
  <c r="AL13" i="25"/>
  <c r="AL14" i="25"/>
  <c r="AL15" i="25"/>
  <c r="AL16" i="25"/>
  <c r="AL17" i="25"/>
  <c r="AL18" i="25"/>
  <c r="AL19" i="25"/>
  <c r="AL20" i="25"/>
  <c r="AL21" i="25"/>
  <c r="AL22" i="25"/>
  <c r="AL23" i="25"/>
  <c r="AK6" i="25"/>
  <c r="AK7" i="25"/>
  <c r="AK8" i="25"/>
  <c r="AK9" i="25"/>
  <c r="AK10" i="25"/>
  <c r="AK11" i="25"/>
  <c r="AK12" i="25"/>
  <c r="AK13" i="25"/>
  <c r="AK14" i="25"/>
  <c r="AK15" i="25"/>
  <c r="AK16" i="25"/>
  <c r="AK17" i="25"/>
  <c r="AK18" i="25"/>
  <c r="AK19" i="25"/>
  <c r="AK20" i="25"/>
  <c r="AK21" i="25"/>
  <c r="AK22" i="25"/>
  <c r="AK23" i="25"/>
  <c r="AJ6" i="25"/>
  <c r="AJ7" i="25"/>
  <c r="AJ8" i="25"/>
  <c r="AJ9" i="25"/>
  <c r="AJ10" i="25"/>
  <c r="AJ11" i="25"/>
  <c r="AJ12" i="25"/>
  <c r="AJ13" i="25"/>
  <c r="AJ14" i="25"/>
  <c r="AJ15" i="25"/>
  <c r="AJ16" i="25"/>
  <c r="AJ17" i="25"/>
  <c r="AJ18" i="25"/>
  <c r="AJ19" i="25"/>
  <c r="AJ20" i="25"/>
  <c r="AJ21" i="25"/>
  <c r="AJ22" i="25"/>
  <c r="AJ23" i="25"/>
  <c r="AI6" i="25"/>
  <c r="AI7" i="25"/>
  <c r="AI8" i="25"/>
  <c r="AI9" i="25"/>
  <c r="AI10" i="25"/>
  <c r="AI11" i="25"/>
  <c r="AI12" i="25"/>
  <c r="AI13" i="25"/>
  <c r="AI14" i="25"/>
  <c r="AI15" i="25"/>
  <c r="AI16" i="25"/>
  <c r="AI17" i="25"/>
  <c r="AI18" i="25"/>
  <c r="AI19" i="25"/>
  <c r="AI20" i="25"/>
  <c r="AI21" i="25"/>
  <c r="AI22" i="25"/>
  <c r="AI23" i="25"/>
  <c r="AG6" i="25"/>
  <c r="AD6" i="25"/>
  <c r="AD7" i="25"/>
  <c r="AD8" i="25"/>
  <c r="AD9" i="25"/>
  <c r="AD10" i="25"/>
  <c r="AD11" i="25"/>
  <c r="AD12" i="25"/>
  <c r="AD13" i="25"/>
  <c r="AD14" i="25"/>
  <c r="AD15" i="25"/>
  <c r="AD16" i="25"/>
  <c r="AD17" i="25"/>
  <c r="AD18" i="25"/>
  <c r="AD19" i="25"/>
  <c r="AD20" i="25"/>
  <c r="AD21" i="25"/>
  <c r="AD22" i="25"/>
  <c r="AD23" i="25"/>
  <c r="AA6" i="25"/>
  <c r="AA7" i="25"/>
  <c r="AA8" i="25"/>
  <c r="AA9" i="25"/>
  <c r="AA10" i="25"/>
  <c r="AA11" i="25"/>
  <c r="AA12" i="25"/>
  <c r="AA13" i="25"/>
  <c r="AA14" i="25"/>
  <c r="AA15" i="25"/>
  <c r="AA16" i="25"/>
  <c r="AA17" i="25"/>
  <c r="AA18" i="25"/>
  <c r="AA19" i="25"/>
  <c r="AA20" i="25"/>
  <c r="AA21" i="25"/>
  <c r="AA22" i="25"/>
  <c r="AA23" i="25"/>
  <c r="X6" i="25"/>
  <c r="AC6" i="25"/>
  <c r="AC7" i="25"/>
  <c r="AC8" i="25"/>
  <c r="AC9" i="25"/>
  <c r="AC10" i="25"/>
  <c r="AC11" i="25"/>
  <c r="AC12" i="25"/>
  <c r="AC13" i="25"/>
  <c r="AC14" i="25"/>
  <c r="AC15" i="25"/>
  <c r="AC16" i="25"/>
  <c r="AC17" i="25"/>
  <c r="AC18" i="25"/>
  <c r="AC19" i="25"/>
  <c r="AC20" i="25"/>
  <c r="AC21" i="25"/>
  <c r="AC22" i="25"/>
  <c r="AC23" i="25"/>
  <c r="Z6" i="25"/>
  <c r="Z7" i="25"/>
  <c r="Z8" i="25"/>
  <c r="Z9" i="25"/>
  <c r="Z10" i="25"/>
  <c r="Z11" i="25"/>
  <c r="Z12" i="25"/>
  <c r="Z13" i="25"/>
  <c r="Z14" i="25"/>
  <c r="Z15" i="25"/>
  <c r="Z16" i="25"/>
  <c r="Z17" i="25"/>
  <c r="Z18" i="25"/>
  <c r="Z19" i="25"/>
  <c r="Z20" i="25"/>
  <c r="Z21" i="25"/>
  <c r="Z22" i="25"/>
  <c r="Z23" i="25"/>
  <c r="W6" i="25"/>
  <c r="AB6" i="25"/>
  <c r="AB7" i="25"/>
  <c r="AB8" i="25"/>
  <c r="AB9" i="25"/>
  <c r="AB10" i="25"/>
  <c r="AB11" i="25"/>
  <c r="AB12" i="25"/>
  <c r="AB13" i="25"/>
  <c r="AB14" i="25"/>
  <c r="AB15" i="25"/>
  <c r="AB16" i="25"/>
  <c r="AB17" i="25"/>
  <c r="AB18" i="25"/>
  <c r="AB19" i="25"/>
  <c r="AB20" i="25"/>
  <c r="AB21" i="25"/>
  <c r="AB22" i="25"/>
  <c r="AB23" i="25"/>
  <c r="Y6" i="25"/>
  <c r="Y7" i="25"/>
  <c r="Y8" i="25"/>
  <c r="Y9" i="25"/>
  <c r="Y10" i="25"/>
  <c r="Y11" i="25"/>
  <c r="Y12" i="25"/>
  <c r="Y13" i="25"/>
  <c r="Y14" i="25"/>
  <c r="Y15" i="25"/>
  <c r="Y16" i="25"/>
  <c r="Y17" i="25"/>
  <c r="Y18" i="25"/>
  <c r="Y19" i="25"/>
  <c r="Y20" i="25"/>
  <c r="Y21" i="25"/>
  <c r="Y22" i="25"/>
  <c r="Y23" i="25"/>
  <c r="V6" i="25"/>
  <c r="Q22" i="18"/>
  <c r="Q21" i="18"/>
  <c r="K11" i="18"/>
  <c r="N10" i="18"/>
  <c r="O10" i="18"/>
  <c r="AL24" i="25" l="1"/>
  <c r="AM24" i="25"/>
  <c r="Z24" i="25"/>
  <c r="AD24" i="25"/>
  <c r="AC24" i="25"/>
  <c r="Y24" i="25"/>
  <c r="AA24" i="25"/>
  <c r="AB24" i="25"/>
  <c r="AI137" i="24"/>
  <c r="R22" i="18" l="1"/>
  <c r="R21" i="18"/>
  <c r="AO82" i="17" l="1"/>
  <c r="AO90" i="17"/>
  <c r="AO98" i="17"/>
  <c r="AO106" i="17"/>
  <c r="AO114" i="17"/>
  <c r="AO66" i="17" l="1"/>
  <c r="AO34" i="17"/>
  <c r="AO138" i="17"/>
  <c r="AO130" i="17"/>
  <c r="AO122" i="17"/>
  <c r="AO123" i="17"/>
  <c r="AO67" i="17"/>
  <c r="AO35" i="17"/>
  <c r="AO140" i="17"/>
  <c r="AO132" i="17"/>
  <c r="AO124" i="17"/>
  <c r="AO116" i="17"/>
  <c r="AO108" i="17"/>
  <c r="AO100" i="17"/>
  <c r="AO92" i="17"/>
  <c r="AO84" i="17"/>
  <c r="AO76" i="17"/>
  <c r="AO68" i="17"/>
  <c r="AO60" i="17"/>
  <c r="AO52" i="17"/>
  <c r="AO44" i="17"/>
  <c r="AO36" i="17"/>
  <c r="AO28" i="17"/>
  <c r="AO20" i="17"/>
  <c r="AO12" i="17"/>
  <c r="AO139" i="17"/>
  <c r="AO131" i="17"/>
  <c r="AO115" i="17"/>
  <c r="AO107" i="17"/>
  <c r="AO99" i="17"/>
  <c r="AO91" i="17"/>
  <c r="AO83" i="17"/>
  <c r="AO75" i="17"/>
  <c r="AO59" i="17"/>
  <c r="AO51" i="17"/>
  <c r="AO43" i="17"/>
  <c r="AO27" i="17"/>
  <c r="AO19" i="17"/>
  <c r="AO11" i="17"/>
  <c r="AO74" i="17"/>
  <c r="AO58" i="17"/>
  <c r="AO50" i="17"/>
  <c r="AO42" i="17"/>
  <c r="AO26" i="17"/>
  <c r="AO18" i="17"/>
  <c r="AO10" i="17"/>
  <c r="AO137" i="17"/>
  <c r="AO129" i="17"/>
  <c r="AO121" i="17"/>
  <c r="AO113" i="17"/>
  <c r="AO105" i="17"/>
  <c r="AO97" i="17"/>
  <c r="AO89" i="17"/>
  <c r="AO81" i="17"/>
  <c r="AO73" i="17"/>
  <c r="AO65" i="17"/>
  <c r="AO57" i="17"/>
  <c r="AO49" i="17"/>
  <c r="AO41" i="17"/>
  <c r="AO33" i="17"/>
  <c r="AO25" i="17"/>
  <c r="AO17" i="17"/>
  <c r="AO9" i="17"/>
  <c r="AO136" i="17"/>
  <c r="AO128" i="17"/>
  <c r="AO120" i="17"/>
  <c r="AO112" i="17"/>
  <c r="AO104" i="17"/>
  <c r="AO96" i="17"/>
  <c r="AO88" i="17"/>
  <c r="AO80" i="17"/>
  <c r="AO72" i="17"/>
  <c r="AO64" i="17"/>
  <c r="AO56" i="17"/>
  <c r="AO48" i="17"/>
  <c r="AO40" i="17"/>
  <c r="AO32" i="17"/>
  <c r="AO24" i="17"/>
  <c r="AO16" i="17"/>
  <c r="AO8" i="17"/>
  <c r="AO135" i="17"/>
  <c r="AO127" i="17"/>
  <c r="AO119" i="17"/>
  <c r="AO111" i="17"/>
  <c r="AO103" i="17"/>
  <c r="AO95" i="17"/>
  <c r="AO87" i="17"/>
  <c r="AO79" i="17"/>
  <c r="AO71" i="17"/>
  <c r="AO63" i="17"/>
  <c r="AO55" i="17"/>
  <c r="AO47" i="17"/>
  <c r="AO39" i="17"/>
  <c r="AO31" i="17"/>
  <c r="AO23" i="17"/>
  <c r="AO15" i="17"/>
  <c r="AO7" i="17"/>
  <c r="AO134" i="17"/>
  <c r="AO126" i="17"/>
  <c r="AO118" i="17"/>
  <c r="AO110" i="17"/>
  <c r="AO102" i="17"/>
  <c r="AO94" i="17"/>
  <c r="AO86" i="17"/>
  <c r="AO78" i="17"/>
  <c r="AO70" i="17"/>
  <c r="AO62" i="17"/>
  <c r="AO54" i="17"/>
  <c r="AO46" i="17"/>
  <c r="AO38" i="17"/>
  <c r="AO30" i="17"/>
  <c r="AO22" i="17"/>
  <c r="AO14" i="17"/>
  <c r="AO6" i="17"/>
  <c r="AO133" i="17"/>
  <c r="AO125" i="17"/>
  <c r="AO117" i="17"/>
  <c r="AO109" i="17"/>
  <c r="AO101" i="17"/>
  <c r="AO93" i="17"/>
  <c r="AO85" i="17"/>
  <c r="AO77" i="17"/>
  <c r="AO69" i="17"/>
  <c r="AO61" i="17"/>
  <c r="AO53" i="17"/>
  <c r="AO45" i="17"/>
  <c r="AO37" i="17"/>
  <c r="AO29" i="17"/>
  <c r="AO21" i="17"/>
  <c r="AO13" i="17"/>
  <c r="AN141" i="17"/>
  <c r="Y6" i="17" l="1"/>
  <c r="Y7" i="17"/>
  <c r="Y8" i="17"/>
  <c r="Y9" i="17"/>
  <c r="Y10" i="17"/>
  <c r="Y11" i="17"/>
  <c r="Y12" i="17"/>
  <c r="Y13" i="17"/>
  <c r="Y14" i="17"/>
  <c r="Y15" i="17"/>
  <c r="Y16" i="17"/>
  <c r="Y17" i="17"/>
  <c r="Y18" i="17"/>
  <c r="Y19" i="17"/>
  <c r="Y20" i="17"/>
  <c r="Y21" i="17"/>
  <c r="Y22" i="17"/>
  <c r="Y23" i="17"/>
  <c r="Y24" i="17"/>
  <c r="Y25" i="17"/>
  <c r="Y26" i="17"/>
  <c r="Y27" i="17"/>
  <c r="Y28" i="17"/>
  <c r="Y29" i="17"/>
  <c r="Y30" i="17"/>
  <c r="Y31" i="17"/>
  <c r="Y32" i="17"/>
  <c r="Y33" i="17"/>
  <c r="Y34" i="17"/>
  <c r="Y35" i="17"/>
  <c r="Y36" i="17"/>
  <c r="Y37" i="17"/>
  <c r="Y38" i="17"/>
  <c r="Y39" i="17"/>
  <c r="Y40" i="17"/>
  <c r="Y41" i="17"/>
  <c r="Y42" i="17"/>
  <c r="Y43" i="17"/>
  <c r="Y44" i="17"/>
  <c r="Y45" i="17"/>
  <c r="Y46" i="17"/>
  <c r="Y47" i="17"/>
  <c r="Y48" i="17"/>
  <c r="Y49" i="17"/>
  <c r="Y50" i="17"/>
  <c r="Y51" i="17"/>
  <c r="Y52" i="17"/>
  <c r="Y53" i="17"/>
  <c r="Y54" i="17"/>
  <c r="Y55" i="17"/>
  <c r="Y56" i="17"/>
  <c r="Y57" i="17"/>
  <c r="Y58" i="17"/>
  <c r="Y59" i="17"/>
  <c r="Y60" i="17"/>
  <c r="Y61" i="17"/>
  <c r="Y62" i="17"/>
  <c r="Y63" i="17"/>
  <c r="Y64" i="17"/>
  <c r="Y65" i="17"/>
  <c r="Y66" i="17"/>
  <c r="Y67" i="17"/>
  <c r="Y68" i="17"/>
  <c r="Y69" i="17"/>
  <c r="Y70" i="17"/>
  <c r="Y71" i="17"/>
  <c r="Y72" i="17"/>
  <c r="Y73" i="17"/>
  <c r="Y74" i="17"/>
  <c r="Y75" i="17"/>
  <c r="Y76" i="17"/>
  <c r="Y77" i="17"/>
  <c r="Y78" i="17"/>
  <c r="Y79" i="17"/>
  <c r="Y80" i="17"/>
  <c r="Y81" i="17"/>
  <c r="Y82" i="17"/>
  <c r="Y83" i="17"/>
  <c r="Y84" i="17"/>
  <c r="Y85" i="17"/>
  <c r="Y86" i="17"/>
  <c r="Y87" i="17"/>
  <c r="Y88" i="17"/>
  <c r="Y89" i="17"/>
  <c r="Y90" i="17"/>
  <c r="Y91" i="17"/>
  <c r="Y92" i="17"/>
  <c r="Y93" i="17"/>
  <c r="Y94" i="17"/>
  <c r="Y95" i="17"/>
  <c r="Y96" i="17"/>
  <c r="Y97" i="17"/>
  <c r="Y98" i="17"/>
  <c r="Y99" i="17"/>
  <c r="Y100" i="17"/>
  <c r="Y101" i="17"/>
  <c r="Y102" i="17"/>
  <c r="Y103" i="17"/>
  <c r="Y104" i="17"/>
  <c r="Y105" i="17"/>
  <c r="Y106" i="17"/>
  <c r="Y107" i="17"/>
  <c r="Y108" i="17"/>
  <c r="Y109" i="17"/>
  <c r="Y110" i="17"/>
  <c r="Y111" i="17"/>
  <c r="Y112" i="17"/>
  <c r="Y113" i="17"/>
  <c r="Y114" i="17"/>
  <c r="Y115" i="17"/>
  <c r="Y116" i="17"/>
  <c r="Y117" i="17"/>
  <c r="Y118" i="17"/>
  <c r="Y119" i="17"/>
  <c r="Y120" i="17"/>
  <c r="Y121" i="17"/>
  <c r="Y122" i="17"/>
  <c r="Y123" i="17"/>
  <c r="Y124" i="17"/>
  <c r="Y125" i="17"/>
  <c r="Y126" i="17"/>
  <c r="Y127" i="17"/>
  <c r="Y128" i="17"/>
  <c r="Y129" i="17"/>
  <c r="Y130" i="17"/>
  <c r="Y131" i="17"/>
  <c r="Y132" i="17"/>
  <c r="Y133" i="17"/>
  <c r="Y134" i="17"/>
  <c r="Y135" i="17"/>
  <c r="Y136" i="17"/>
  <c r="Y137" i="17"/>
  <c r="Y138" i="17"/>
  <c r="Y139" i="17"/>
  <c r="Y140" i="17"/>
  <c r="AH6" i="24"/>
  <c r="AH7" i="24"/>
  <c r="AH8" i="24"/>
  <c r="AH9" i="24"/>
  <c r="AH10" i="24"/>
  <c r="AH11" i="24"/>
  <c r="AH12" i="24"/>
  <c r="AH13" i="24"/>
  <c r="AH14" i="24"/>
  <c r="AH15" i="24"/>
  <c r="AH16" i="24"/>
  <c r="AH17" i="24"/>
  <c r="AH18" i="24"/>
  <c r="AH19" i="24"/>
  <c r="AH20" i="24"/>
  <c r="AH21" i="24"/>
  <c r="AH22" i="24"/>
  <c r="AH23" i="24"/>
  <c r="AH24" i="24"/>
  <c r="AH25" i="24"/>
  <c r="AH26" i="24"/>
  <c r="AH27" i="24"/>
  <c r="AH28" i="24"/>
  <c r="AH29" i="24"/>
  <c r="AH30" i="24"/>
  <c r="AH31" i="24"/>
  <c r="AH32" i="24"/>
  <c r="AH33" i="24"/>
  <c r="AH34" i="24"/>
  <c r="AH35" i="24"/>
  <c r="AH36" i="24"/>
  <c r="AH37" i="24"/>
  <c r="AH38" i="24"/>
  <c r="AH39" i="24"/>
  <c r="AH40" i="24"/>
  <c r="AH41" i="24"/>
  <c r="AH42" i="24"/>
  <c r="AH43" i="24"/>
  <c r="AH44" i="24"/>
  <c r="AH45" i="24"/>
  <c r="AH46" i="24"/>
  <c r="AH47" i="24"/>
  <c r="AH48" i="24"/>
  <c r="AH49" i="24"/>
  <c r="AH50" i="24"/>
  <c r="AH51" i="24"/>
  <c r="AH52" i="24"/>
  <c r="AH53" i="24"/>
  <c r="AH54" i="24"/>
  <c r="AH55" i="24"/>
  <c r="AH56" i="24"/>
  <c r="AH57" i="24"/>
  <c r="AH58" i="24"/>
  <c r="AH59" i="24"/>
  <c r="AH60" i="24"/>
  <c r="AH61" i="24"/>
  <c r="AH62" i="24"/>
  <c r="AH63" i="24"/>
  <c r="AH64" i="24"/>
  <c r="AH65" i="24"/>
  <c r="AH66" i="24"/>
  <c r="AH67" i="24"/>
  <c r="AH68" i="24"/>
  <c r="AH69" i="24"/>
  <c r="AH70" i="24"/>
  <c r="AH71" i="24"/>
  <c r="AH72" i="24"/>
  <c r="AH73" i="24"/>
  <c r="AH74" i="24"/>
  <c r="AH75" i="24"/>
  <c r="AH76" i="24"/>
  <c r="AH77" i="24"/>
  <c r="AH78" i="24"/>
  <c r="AH79" i="24"/>
  <c r="AH80" i="24"/>
  <c r="AH81" i="24"/>
  <c r="AH82" i="24"/>
  <c r="AH83" i="24"/>
  <c r="AH84" i="24"/>
  <c r="AH85" i="24"/>
  <c r="AH86" i="24"/>
  <c r="AH87" i="24"/>
  <c r="AH88" i="24"/>
  <c r="AH89" i="24"/>
  <c r="AH90" i="24"/>
  <c r="AH91" i="24"/>
  <c r="AH92" i="24"/>
  <c r="AH93" i="24"/>
  <c r="AH94" i="24"/>
  <c r="AH95" i="24"/>
  <c r="AH96" i="24"/>
  <c r="AH97" i="24"/>
  <c r="AH98" i="24"/>
  <c r="AH99" i="24"/>
  <c r="AH100" i="24"/>
  <c r="AH101" i="24"/>
  <c r="AH102" i="24"/>
  <c r="AH103" i="24"/>
  <c r="AH104" i="24"/>
  <c r="AH105" i="24"/>
  <c r="AH106" i="24"/>
  <c r="AH107" i="24"/>
  <c r="AH108" i="24"/>
  <c r="AH109" i="24"/>
  <c r="AH110" i="24"/>
  <c r="AH111" i="24"/>
  <c r="AH112" i="24"/>
  <c r="AH113" i="24"/>
  <c r="AH114" i="24"/>
  <c r="AH115" i="24"/>
  <c r="AH116" i="24"/>
  <c r="AH117" i="24"/>
  <c r="AH118" i="24"/>
  <c r="AH119" i="24"/>
  <c r="AH120" i="24"/>
  <c r="AH121" i="24"/>
  <c r="AH122" i="24"/>
  <c r="AH123" i="24"/>
  <c r="AH124" i="24"/>
  <c r="AH125" i="24"/>
  <c r="AH126" i="24"/>
  <c r="AH127" i="24"/>
  <c r="AH128" i="24"/>
  <c r="AH129" i="24"/>
  <c r="AH130" i="24"/>
  <c r="AH131" i="24"/>
  <c r="AH132" i="24"/>
  <c r="AH133" i="24"/>
  <c r="AH134" i="24"/>
  <c r="AH135" i="24"/>
  <c r="AH136" i="24"/>
  <c r="AH137" i="24"/>
  <c r="AH138" i="24"/>
  <c r="AH139" i="24"/>
  <c r="AH140" i="24"/>
  <c r="AH141" i="24"/>
  <c r="AD6" i="24"/>
  <c r="AD7" i="24"/>
  <c r="AD8" i="24"/>
  <c r="AD9" i="24"/>
  <c r="AD10" i="24"/>
  <c r="AD11" i="24"/>
  <c r="AD12" i="24"/>
  <c r="AD13" i="24"/>
  <c r="AD14" i="24"/>
  <c r="AD15" i="24"/>
  <c r="AD16" i="24"/>
  <c r="AD17" i="24"/>
  <c r="AD18" i="24"/>
  <c r="AD19" i="24"/>
  <c r="AD20" i="24"/>
  <c r="AD21" i="24"/>
  <c r="AD22" i="24"/>
  <c r="AD23" i="24"/>
  <c r="AD24" i="24"/>
  <c r="AD25" i="24"/>
  <c r="AD26" i="24"/>
  <c r="AD27" i="24"/>
  <c r="AD28" i="24"/>
  <c r="AD29" i="24"/>
  <c r="AD30" i="24"/>
  <c r="AD31" i="24"/>
  <c r="AD32" i="24"/>
  <c r="AD33" i="24"/>
  <c r="AD34" i="24"/>
  <c r="AD35" i="24"/>
  <c r="AD36" i="24"/>
  <c r="AD37" i="24"/>
  <c r="AD38" i="24"/>
  <c r="AD39" i="24"/>
  <c r="AD40" i="24"/>
  <c r="AD41" i="24"/>
  <c r="AD42" i="24"/>
  <c r="AD43" i="24"/>
  <c r="AD44" i="24"/>
  <c r="AD45" i="24"/>
  <c r="AD46" i="24"/>
  <c r="AD47" i="24"/>
  <c r="AD48" i="24"/>
  <c r="AD49" i="24"/>
  <c r="AD50" i="24"/>
  <c r="AD51" i="24"/>
  <c r="AD52" i="24"/>
  <c r="AD53" i="24"/>
  <c r="AD54" i="24"/>
  <c r="AD55" i="24"/>
  <c r="AD56" i="24"/>
  <c r="AD57" i="24"/>
  <c r="AD58" i="24"/>
  <c r="AD59" i="24"/>
  <c r="AD60" i="24"/>
  <c r="AD61" i="24"/>
  <c r="AD62" i="24"/>
  <c r="AD63" i="24"/>
  <c r="AD64" i="24"/>
  <c r="AD65" i="24"/>
  <c r="AD66" i="24"/>
  <c r="AD67" i="24"/>
  <c r="AD68" i="24"/>
  <c r="AD69" i="24"/>
  <c r="AD70" i="24"/>
  <c r="AD71" i="24"/>
  <c r="AD72" i="24"/>
  <c r="AD73" i="24"/>
  <c r="AD74" i="24"/>
  <c r="AD75" i="24"/>
  <c r="AD76" i="24"/>
  <c r="AD77" i="24"/>
  <c r="AD78" i="24"/>
  <c r="AD79" i="24"/>
  <c r="AD80" i="24"/>
  <c r="AD81" i="24"/>
  <c r="AD82" i="24"/>
  <c r="AD83" i="24"/>
  <c r="AD84" i="24"/>
  <c r="AD85" i="24"/>
  <c r="AD86" i="24"/>
  <c r="AD87" i="24"/>
  <c r="AD88" i="24"/>
  <c r="AD89" i="24"/>
  <c r="AD90" i="24"/>
  <c r="AD91" i="24"/>
  <c r="AD92" i="24"/>
  <c r="AD93" i="24"/>
  <c r="AD94" i="24"/>
  <c r="AD95" i="24"/>
  <c r="AD96" i="24"/>
  <c r="AD97" i="24"/>
  <c r="AD98" i="24"/>
  <c r="AD99" i="24"/>
  <c r="AD100" i="24"/>
  <c r="AD101" i="24"/>
  <c r="AD102" i="24"/>
  <c r="AD103" i="24"/>
  <c r="AD104" i="24"/>
  <c r="AD105" i="24"/>
  <c r="AD106" i="24"/>
  <c r="AD107" i="24"/>
  <c r="AD108" i="24"/>
  <c r="AD109" i="24"/>
  <c r="AD110" i="24"/>
  <c r="AD111" i="24"/>
  <c r="AD112" i="24"/>
  <c r="AD113" i="24"/>
  <c r="AD114" i="24"/>
  <c r="AD115" i="24"/>
  <c r="AD116" i="24"/>
  <c r="AD117" i="24"/>
  <c r="AD118" i="24"/>
  <c r="AD119" i="24"/>
  <c r="AD120" i="24"/>
  <c r="AD121" i="24"/>
  <c r="AD122" i="24"/>
  <c r="AD123" i="24"/>
  <c r="AD124" i="24"/>
  <c r="AD125" i="24"/>
  <c r="AD126" i="24"/>
  <c r="AD127" i="24"/>
  <c r="AD128" i="24"/>
  <c r="AD129" i="24"/>
  <c r="AD130" i="24"/>
  <c r="AD131" i="24"/>
  <c r="AD132" i="24"/>
  <c r="AD133" i="24"/>
  <c r="AD134" i="24"/>
  <c r="AD135" i="24"/>
  <c r="AD136" i="24"/>
  <c r="AD137" i="24"/>
  <c r="AD138" i="24"/>
  <c r="AD139" i="24"/>
  <c r="AD140" i="24"/>
  <c r="AD141" i="24"/>
  <c r="Z6" i="24"/>
  <c r="Z7" i="24"/>
  <c r="Z8" i="24"/>
  <c r="Z9" i="24"/>
  <c r="Z10" i="24"/>
  <c r="Z11" i="24"/>
  <c r="Z12" i="24"/>
  <c r="Z13" i="24"/>
  <c r="Z14" i="24"/>
  <c r="Z15" i="24"/>
  <c r="Z16" i="24"/>
  <c r="Z17" i="24"/>
  <c r="Z18" i="24"/>
  <c r="Z19" i="24"/>
  <c r="Z20" i="24"/>
  <c r="Z21" i="24"/>
  <c r="Z22" i="24"/>
  <c r="Z23" i="24"/>
  <c r="Z24" i="24"/>
  <c r="Z25" i="24"/>
  <c r="Z26" i="24"/>
  <c r="Z27" i="24"/>
  <c r="Z28" i="24"/>
  <c r="Z29" i="24"/>
  <c r="Z30" i="24"/>
  <c r="Z31" i="24"/>
  <c r="Z32" i="24"/>
  <c r="Z33" i="24"/>
  <c r="Z34" i="24"/>
  <c r="Z35" i="24"/>
  <c r="Z36" i="24"/>
  <c r="Z37" i="24"/>
  <c r="Z38" i="24"/>
  <c r="Z39" i="24"/>
  <c r="Z40" i="24"/>
  <c r="Z41" i="24"/>
  <c r="Z42" i="24"/>
  <c r="Z43" i="24"/>
  <c r="Z44" i="24"/>
  <c r="Z45" i="24"/>
  <c r="Z46" i="24"/>
  <c r="Z47" i="24"/>
  <c r="Z48" i="24"/>
  <c r="Z49" i="24"/>
  <c r="Z50" i="24"/>
  <c r="Z51" i="24"/>
  <c r="Z52" i="24"/>
  <c r="Z53" i="24"/>
  <c r="Z54" i="24"/>
  <c r="Z55" i="24"/>
  <c r="Z56" i="24"/>
  <c r="Z57" i="24"/>
  <c r="Z58" i="24"/>
  <c r="Z59" i="24"/>
  <c r="Z60" i="24"/>
  <c r="Z61" i="24"/>
  <c r="Z62" i="24"/>
  <c r="Z63" i="24"/>
  <c r="Z64" i="24"/>
  <c r="Z65" i="24"/>
  <c r="Z66" i="24"/>
  <c r="Z67" i="24"/>
  <c r="Z68" i="24"/>
  <c r="Z69" i="24"/>
  <c r="Z70" i="24"/>
  <c r="Z71" i="24"/>
  <c r="Z72" i="24"/>
  <c r="Z73" i="24"/>
  <c r="Z74" i="24"/>
  <c r="Z75" i="24"/>
  <c r="Z76" i="24"/>
  <c r="Z77" i="24"/>
  <c r="Z78" i="24"/>
  <c r="Z79" i="24"/>
  <c r="Z80" i="24"/>
  <c r="Z81" i="24"/>
  <c r="Z82" i="24"/>
  <c r="Z83" i="24"/>
  <c r="Z84" i="24"/>
  <c r="Z85" i="24"/>
  <c r="Z86" i="24"/>
  <c r="Z87" i="24"/>
  <c r="Z88" i="24"/>
  <c r="Z89" i="24"/>
  <c r="Z90" i="24"/>
  <c r="Z91" i="24"/>
  <c r="Z92" i="24"/>
  <c r="Z93" i="24"/>
  <c r="Z94" i="24"/>
  <c r="Z95" i="24"/>
  <c r="Z96" i="24"/>
  <c r="Z97" i="24"/>
  <c r="Z98" i="24"/>
  <c r="Z99" i="24"/>
  <c r="Z100" i="24"/>
  <c r="Z101" i="24"/>
  <c r="Z102" i="24"/>
  <c r="Z103" i="24"/>
  <c r="Z104" i="24"/>
  <c r="Z105" i="24"/>
  <c r="Z106" i="24"/>
  <c r="Z107" i="24"/>
  <c r="Z108" i="24"/>
  <c r="Z109" i="24"/>
  <c r="Z110" i="24"/>
  <c r="Z111" i="24"/>
  <c r="Z112" i="24"/>
  <c r="Z113" i="24"/>
  <c r="Z114" i="24"/>
  <c r="Z115" i="24"/>
  <c r="Z116" i="24"/>
  <c r="Z117" i="24"/>
  <c r="Z118" i="24"/>
  <c r="Z119" i="24"/>
  <c r="Z120" i="24"/>
  <c r="Z121" i="24"/>
  <c r="Z122" i="24"/>
  <c r="Z123" i="24"/>
  <c r="Z124" i="24"/>
  <c r="Z125" i="24"/>
  <c r="Z126" i="24"/>
  <c r="Z127" i="24"/>
  <c r="Z128" i="24"/>
  <c r="Z129" i="24"/>
  <c r="Z130" i="24"/>
  <c r="Z131" i="24"/>
  <c r="Z132" i="24"/>
  <c r="Z133" i="24"/>
  <c r="Z134" i="24"/>
  <c r="Z135" i="24"/>
  <c r="Z136" i="24"/>
  <c r="Z137" i="24"/>
  <c r="Z138" i="24"/>
  <c r="Z139" i="24"/>
  <c r="Z140" i="24"/>
  <c r="Z141" i="24"/>
  <c r="V6" i="24"/>
  <c r="V7" i="24"/>
  <c r="V8" i="24"/>
  <c r="V9" i="24"/>
  <c r="V10" i="24"/>
  <c r="V11" i="24"/>
  <c r="V12" i="24"/>
  <c r="V13" i="24"/>
  <c r="V14" i="24"/>
  <c r="V15" i="24"/>
  <c r="V16" i="24"/>
  <c r="V17" i="24"/>
  <c r="V18" i="24"/>
  <c r="V19" i="24"/>
  <c r="V20" i="24"/>
  <c r="V21" i="24"/>
  <c r="V22" i="24"/>
  <c r="V23" i="24"/>
  <c r="V24" i="24"/>
  <c r="V25" i="24"/>
  <c r="V26" i="24"/>
  <c r="V27" i="24"/>
  <c r="V28" i="24"/>
  <c r="V29" i="24"/>
  <c r="V30" i="24"/>
  <c r="V31" i="24"/>
  <c r="V32" i="24"/>
  <c r="V33" i="24"/>
  <c r="V34" i="24"/>
  <c r="V35" i="24"/>
  <c r="V36" i="24"/>
  <c r="V37" i="24"/>
  <c r="V38" i="24"/>
  <c r="V39" i="24"/>
  <c r="V40" i="24"/>
  <c r="V41" i="24"/>
  <c r="V42" i="24"/>
  <c r="V43" i="24"/>
  <c r="V44" i="24"/>
  <c r="V45" i="24"/>
  <c r="V46" i="24"/>
  <c r="V47" i="24"/>
  <c r="V48" i="24"/>
  <c r="V49" i="24"/>
  <c r="V50" i="24"/>
  <c r="V51" i="24"/>
  <c r="V52" i="24"/>
  <c r="V53" i="24"/>
  <c r="V54" i="24"/>
  <c r="V55" i="24"/>
  <c r="V56" i="24"/>
  <c r="V57" i="24"/>
  <c r="V58" i="24"/>
  <c r="V59" i="24"/>
  <c r="V60" i="24"/>
  <c r="V61" i="24"/>
  <c r="V62" i="24"/>
  <c r="V63" i="24"/>
  <c r="V64" i="24"/>
  <c r="V65" i="24"/>
  <c r="V66" i="24"/>
  <c r="V67" i="24"/>
  <c r="V68" i="24"/>
  <c r="V69" i="24"/>
  <c r="V70" i="24"/>
  <c r="V71" i="24"/>
  <c r="V72" i="24"/>
  <c r="V73" i="24"/>
  <c r="V74" i="24"/>
  <c r="V75" i="24"/>
  <c r="V76" i="24"/>
  <c r="V77" i="24"/>
  <c r="V78" i="24"/>
  <c r="V79" i="24"/>
  <c r="V80" i="24"/>
  <c r="V81" i="24"/>
  <c r="V82" i="24"/>
  <c r="V83" i="24"/>
  <c r="V84" i="24"/>
  <c r="V85" i="24"/>
  <c r="V86" i="24"/>
  <c r="V87" i="24"/>
  <c r="V88" i="24"/>
  <c r="V89" i="24"/>
  <c r="V90" i="24"/>
  <c r="V91" i="24"/>
  <c r="V92" i="24"/>
  <c r="V93" i="24"/>
  <c r="V94" i="24"/>
  <c r="V95" i="24"/>
  <c r="V96" i="24"/>
  <c r="V97" i="24"/>
  <c r="V98" i="24"/>
  <c r="V99" i="24"/>
  <c r="V100" i="24"/>
  <c r="V101" i="24"/>
  <c r="V102" i="24"/>
  <c r="V103" i="24"/>
  <c r="V104" i="24"/>
  <c r="V105" i="24"/>
  <c r="V106" i="24"/>
  <c r="V107" i="24"/>
  <c r="V108" i="24"/>
  <c r="V109" i="24"/>
  <c r="V110" i="24"/>
  <c r="V111" i="24"/>
  <c r="V112" i="24"/>
  <c r="V113" i="24"/>
  <c r="V114" i="24"/>
  <c r="V115" i="24"/>
  <c r="V116" i="24"/>
  <c r="V117" i="24"/>
  <c r="V118" i="24"/>
  <c r="V119" i="24"/>
  <c r="V120" i="24"/>
  <c r="V121" i="24"/>
  <c r="V122" i="24"/>
  <c r="V123" i="24"/>
  <c r="V124" i="24"/>
  <c r="V125" i="24"/>
  <c r="V126" i="24"/>
  <c r="V127" i="24"/>
  <c r="V128" i="24"/>
  <c r="V129" i="24"/>
  <c r="V130" i="24"/>
  <c r="V131" i="24"/>
  <c r="V132" i="24"/>
  <c r="V133" i="24"/>
  <c r="V134" i="24"/>
  <c r="V135" i="24"/>
  <c r="V136" i="24"/>
  <c r="V137" i="24"/>
  <c r="V138" i="24"/>
  <c r="V139" i="24"/>
  <c r="V140" i="24"/>
  <c r="V141" i="24"/>
  <c r="R6" i="24"/>
  <c r="R7" i="24"/>
  <c r="R8" i="24"/>
  <c r="R9" i="24"/>
  <c r="R10" i="24"/>
  <c r="R11" i="24"/>
  <c r="R12" i="24"/>
  <c r="R13" i="24"/>
  <c r="R14" i="24"/>
  <c r="R15" i="24"/>
  <c r="R16" i="24"/>
  <c r="R17" i="24"/>
  <c r="R18" i="24"/>
  <c r="R19" i="24"/>
  <c r="R20" i="24"/>
  <c r="R21" i="24"/>
  <c r="R22" i="24"/>
  <c r="R23" i="24"/>
  <c r="R24" i="24"/>
  <c r="R25" i="24"/>
  <c r="R26" i="24"/>
  <c r="R27" i="24"/>
  <c r="R28" i="24"/>
  <c r="R29" i="24"/>
  <c r="R30" i="24"/>
  <c r="R31" i="24"/>
  <c r="R32" i="24"/>
  <c r="R33" i="24"/>
  <c r="R34" i="24"/>
  <c r="R35" i="24"/>
  <c r="R36" i="24"/>
  <c r="R37" i="24"/>
  <c r="R38" i="24"/>
  <c r="R39" i="24"/>
  <c r="R40" i="24"/>
  <c r="R41" i="24"/>
  <c r="R42" i="24"/>
  <c r="R43" i="24"/>
  <c r="R44" i="24"/>
  <c r="R45" i="24"/>
  <c r="R46" i="24"/>
  <c r="R47" i="24"/>
  <c r="R48" i="24"/>
  <c r="R49" i="24"/>
  <c r="R50" i="24"/>
  <c r="R51" i="24"/>
  <c r="R52" i="24"/>
  <c r="R53" i="24"/>
  <c r="R54" i="24"/>
  <c r="R55" i="24"/>
  <c r="R56" i="24"/>
  <c r="R57" i="24"/>
  <c r="R58" i="24"/>
  <c r="R59" i="24"/>
  <c r="R60" i="24"/>
  <c r="R61" i="24"/>
  <c r="R62" i="24"/>
  <c r="R63" i="24"/>
  <c r="R64" i="24"/>
  <c r="R65" i="24"/>
  <c r="R66" i="24"/>
  <c r="R67" i="24"/>
  <c r="R68" i="24"/>
  <c r="R69" i="24"/>
  <c r="R70" i="24"/>
  <c r="R71" i="24"/>
  <c r="R72" i="24"/>
  <c r="R73" i="24"/>
  <c r="R74" i="24"/>
  <c r="R75" i="24"/>
  <c r="R76" i="24"/>
  <c r="R77" i="24"/>
  <c r="R78" i="24"/>
  <c r="R79" i="24"/>
  <c r="R80" i="24"/>
  <c r="R81" i="24"/>
  <c r="R82" i="24"/>
  <c r="R83" i="24"/>
  <c r="R84" i="24"/>
  <c r="R85" i="24"/>
  <c r="R86" i="24"/>
  <c r="R87" i="24"/>
  <c r="R88" i="24"/>
  <c r="R89" i="24"/>
  <c r="R90" i="24"/>
  <c r="R91" i="24"/>
  <c r="R92" i="24"/>
  <c r="R93" i="24"/>
  <c r="R94" i="24"/>
  <c r="R95" i="24"/>
  <c r="R96" i="24"/>
  <c r="R97" i="24"/>
  <c r="R98" i="24"/>
  <c r="R99" i="24"/>
  <c r="R100" i="24"/>
  <c r="R101" i="24"/>
  <c r="R102" i="24"/>
  <c r="R103" i="24"/>
  <c r="R104" i="24"/>
  <c r="R105" i="24"/>
  <c r="R106" i="24"/>
  <c r="R107" i="24"/>
  <c r="R108" i="24"/>
  <c r="R109" i="24"/>
  <c r="R110" i="24"/>
  <c r="R111" i="24"/>
  <c r="R112" i="24"/>
  <c r="R113" i="24"/>
  <c r="R114" i="24"/>
  <c r="R115" i="24"/>
  <c r="R116" i="24"/>
  <c r="R117" i="24"/>
  <c r="R118" i="24"/>
  <c r="R119" i="24"/>
  <c r="R120" i="24"/>
  <c r="R121" i="24"/>
  <c r="R122" i="24"/>
  <c r="R123" i="24"/>
  <c r="R124" i="24"/>
  <c r="R125" i="24"/>
  <c r="R126" i="24"/>
  <c r="R127" i="24"/>
  <c r="R128" i="24"/>
  <c r="R129" i="24"/>
  <c r="R130" i="24"/>
  <c r="R131" i="24"/>
  <c r="R132" i="24"/>
  <c r="R133" i="24"/>
  <c r="R134" i="24"/>
  <c r="R135" i="24"/>
  <c r="R136" i="24"/>
  <c r="R137" i="24"/>
  <c r="R138" i="24"/>
  <c r="R139" i="24"/>
  <c r="R140" i="24"/>
  <c r="R141" i="24"/>
  <c r="N6" i="24"/>
  <c r="N7" i="24"/>
  <c r="N8" i="24"/>
  <c r="N9" i="24"/>
  <c r="N10" i="24"/>
  <c r="N11" i="24"/>
  <c r="N12" i="24"/>
  <c r="N13" i="24"/>
  <c r="N14" i="24"/>
  <c r="N15" i="24"/>
  <c r="N16" i="24"/>
  <c r="N17" i="24"/>
  <c r="N18" i="24"/>
  <c r="N19" i="24"/>
  <c r="N20" i="24"/>
  <c r="N21" i="24"/>
  <c r="N22" i="24"/>
  <c r="N23" i="24"/>
  <c r="N24" i="24"/>
  <c r="N25" i="24"/>
  <c r="N26" i="24"/>
  <c r="N27" i="24"/>
  <c r="N28" i="24"/>
  <c r="N29" i="24"/>
  <c r="N30" i="24"/>
  <c r="N31" i="24"/>
  <c r="N32" i="24"/>
  <c r="N33" i="24"/>
  <c r="N34" i="24"/>
  <c r="N35" i="24"/>
  <c r="N36" i="24"/>
  <c r="N37" i="24"/>
  <c r="N38" i="24"/>
  <c r="N39" i="24"/>
  <c r="N40" i="24"/>
  <c r="N41" i="24"/>
  <c r="N42" i="24"/>
  <c r="N43" i="24"/>
  <c r="N44" i="24"/>
  <c r="N45" i="24"/>
  <c r="N46" i="24"/>
  <c r="N47" i="24"/>
  <c r="N48" i="24"/>
  <c r="N49" i="24"/>
  <c r="N50" i="24"/>
  <c r="N51" i="24"/>
  <c r="N52" i="24"/>
  <c r="N53" i="24"/>
  <c r="N54" i="24"/>
  <c r="N55" i="24"/>
  <c r="N56" i="24"/>
  <c r="N57" i="24"/>
  <c r="N58" i="24"/>
  <c r="N59" i="24"/>
  <c r="N60" i="24"/>
  <c r="N61" i="24"/>
  <c r="N62" i="24"/>
  <c r="N63" i="24"/>
  <c r="N64" i="24"/>
  <c r="N65" i="24"/>
  <c r="N66" i="24"/>
  <c r="N67" i="24"/>
  <c r="N68" i="24"/>
  <c r="N69" i="24"/>
  <c r="N70" i="24"/>
  <c r="N71" i="24"/>
  <c r="N72" i="24"/>
  <c r="N73" i="24"/>
  <c r="N74" i="24"/>
  <c r="N75" i="24"/>
  <c r="N76" i="24"/>
  <c r="N77" i="24"/>
  <c r="N78" i="24"/>
  <c r="N79" i="24"/>
  <c r="N80" i="24"/>
  <c r="N81" i="24"/>
  <c r="N82" i="24"/>
  <c r="N83" i="24"/>
  <c r="N84" i="24"/>
  <c r="N85" i="24"/>
  <c r="N86" i="24"/>
  <c r="N87" i="24"/>
  <c r="N88" i="24"/>
  <c r="N89" i="24"/>
  <c r="N90" i="24"/>
  <c r="N91" i="24"/>
  <c r="N92" i="24"/>
  <c r="N93" i="24"/>
  <c r="N94" i="24"/>
  <c r="N95" i="24"/>
  <c r="N96" i="24"/>
  <c r="N97" i="24"/>
  <c r="N98" i="24"/>
  <c r="N99" i="24"/>
  <c r="N100" i="24"/>
  <c r="N101" i="24"/>
  <c r="N102" i="24"/>
  <c r="N103" i="24"/>
  <c r="N104" i="24"/>
  <c r="N105" i="24"/>
  <c r="N106" i="24"/>
  <c r="N107" i="24"/>
  <c r="N108" i="24"/>
  <c r="N109" i="24"/>
  <c r="N110" i="24"/>
  <c r="N111" i="24"/>
  <c r="N112" i="24"/>
  <c r="N113" i="24"/>
  <c r="N114" i="24"/>
  <c r="N115" i="24"/>
  <c r="N116" i="24"/>
  <c r="N117" i="24"/>
  <c r="N118" i="24"/>
  <c r="N119" i="24"/>
  <c r="N120" i="24"/>
  <c r="N121" i="24"/>
  <c r="N122" i="24"/>
  <c r="N123" i="24"/>
  <c r="N124" i="24"/>
  <c r="N125" i="24"/>
  <c r="N126" i="24"/>
  <c r="N127" i="24"/>
  <c r="N128" i="24"/>
  <c r="N129" i="24"/>
  <c r="N130" i="24"/>
  <c r="N131" i="24"/>
  <c r="N132" i="24"/>
  <c r="N133" i="24"/>
  <c r="N134" i="24"/>
  <c r="N135" i="24"/>
  <c r="N136" i="24"/>
  <c r="N137" i="24"/>
  <c r="N138" i="24"/>
  <c r="N139" i="24"/>
  <c r="N140" i="24"/>
  <c r="N141" i="24"/>
  <c r="M137" i="24"/>
  <c r="L137" i="24"/>
  <c r="C148" i="59"/>
  <c r="D148" i="59"/>
  <c r="E148" i="59"/>
  <c r="F148" i="59"/>
  <c r="G148" i="59"/>
  <c r="H148" i="59"/>
  <c r="I148" i="59"/>
  <c r="J148" i="59"/>
  <c r="K148" i="59"/>
  <c r="L148" i="59"/>
  <c r="M148" i="59"/>
  <c r="N148" i="59"/>
  <c r="O148" i="59"/>
  <c r="R148" i="59"/>
  <c r="S148" i="59"/>
  <c r="T148" i="59"/>
  <c r="U148" i="59"/>
  <c r="V148" i="59"/>
  <c r="W148" i="59"/>
  <c r="X148" i="59"/>
  <c r="Y148" i="59"/>
  <c r="Z148" i="59"/>
  <c r="AA148" i="59"/>
  <c r="AB148" i="59"/>
  <c r="AC148" i="59"/>
  <c r="C149" i="59"/>
  <c r="D149" i="59"/>
  <c r="E149" i="59"/>
  <c r="F149" i="59"/>
  <c r="G149" i="59"/>
  <c r="H149" i="59"/>
  <c r="I149" i="59"/>
  <c r="J149" i="59"/>
  <c r="K149" i="59"/>
  <c r="L149" i="59"/>
  <c r="M149" i="59"/>
  <c r="N149" i="59"/>
  <c r="O149" i="59"/>
  <c r="R149" i="59"/>
  <c r="S149" i="59"/>
  <c r="T149" i="59"/>
  <c r="U149" i="59"/>
  <c r="V149" i="59"/>
  <c r="W149" i="59"/>
  <c r="X149" i="59"/>
  <c r="Y149" i="59"/>
  <c r="Z149" i="59"/>
  <c r="AA149" i="59"/>
  <c r="AB149" i="59"/>
  <c r="AC149" i="59"/>
  <c r="C150" i="59"/>
  <c r="D150" i="59"/>
  <c r="E150" i="59"/>
  <c r="F150" i="59"/>
  <c r="G150" i="59"/>
  <c r="H150" i="59"/>
  <c r="I150" i="59"/>
  <c r="J150" i="59"/>
  <c r="K150" i="59"/>
  <c r="L150" i="59"/>
  <c r="M150" i="59"/>
  <c r="N150" i="59"/>
  <c r="O150" i="59"/>
  <c r="R150" i="59"/>
  <c r="S150" i="59"/>
  <c r="T150" i="59"/>
  <c r="U150" i="59"/>
  <c r="V150" i="59"/>
  <c r="W150" i="59"/>
  <c r="X150" i="59"/>
  <c r="Y150" i="59"/>
  <c r="Z150" i="59"/>
  <c r="AA150" i="59"/>
  <c r="AB150" i="59"/>
  <c r="AC150" i="59"/>
  <c r="AB6" i="17" l="1"/>
  <c r="AB7" i="17"/>
  <c r="AB8" i="17"/>
  <c r="AB9" i="17"/>
  <c r="AB10" i="17"/>
  <c r="AB11" i="17"/>
  <c r="AB12" i="17"/>
  <c r="AB13" i="17"/>
  <c r="AB14" i="17"/>
  <c r="AB15" i="17"/>
  <c r="AB16" i="17"/>
  <c r="AB17" i="17"/>
  <c r="AB18" i="17"/>
  <c r="AB19" i="17"/>
  <c r="AB20" i="17"/>
  <c r="AB21" i="17"/>
  <c r="AB22" i="17"/>
  <c r="AB23" i="17"/>
  <c r="AB24" i="17"/>
  <c r="AB25" i="17"/>
  <c r="AB26" i="17"/>
  <c r="AB27" i="17"/>
  <c r="AB28" i="17"/>
  <c r="AB29" i="17"/>
  <c r="AB30" i="17"/>
  <c r="AB31" i="17"/>
  <c r="AB32" i="17"/>
  <c r="AB33" i="17"/>
  <c r="AB34" i="17"/>
  <c r="AB35" i="17"/>
  <c r="AB36" i="17"/>
  <c r="AB37" i="17"/>
  <c r="AB38" i="17"/>
  <c r="AB39" i="17"/>
  <c r="AB40" i="17"/>
  <c r="AB41" i="17"/>
  <c r="AB42" i="17"/>
  <c r="AB43" i="17"/>
  <c r="AB44" i="17"/>
  <c r="AB45" i="17"/>
  <c r="AB46" i="17"/>
  <c r="AB47" i="17"/>
  <c r="AB48" i="17"/>
  <c r="AB49" i="17"/>
  <c r="AB50" i="17"/>
  <c r="AB51" i="17"/>
  <c r="AB52" i="17"/>
  <c r="AB53" i="17"/>
  <c r="AB54" i="17"/>
  <c r="AB55" i="17"/>
  <c r="AB56" i="17"/>
  <c r="AB57" i="17"/>
  <c r="AB58" i="17"/>
  <c r="AB59" i="17"/>
  <c r="AB60" i="17"/>
  <c r="AB61" i="17"/>
  <c r="AB62" i="17"/>
  <c r="AB63" i="17"/>
  <c r="AB64" i="17"/>
  <c r="AB65" i="17"/>
  <c r="AB66" i="17"/>
  <c r="AB67" i="17"/>
  <c r="AB68" i="17"/>
  <c r="AB69" i="17"/>
  <c r="AB70" i="17"/>
  <c r="AB71" i="17"/>
  <c r="AB72" i="17"/>
  <c r="AB73" i="17"/>
  <c r="AB74" i="17"/>
  <c r="AB75" i="17"/>
  <c r="AB76" i="17"/>
  <c r="AB77" i="17"/>
  <c r="AB78" i="17"/>
  <c r="AB79" i="17"/>
  <c r="AB80" i="17"/>
  <c r="AB81" i="17"/>
  <c r="AB82" i="17"/>
  <c r="AB83" i="17"/>
  <c r="AB84" i="17"/>
  <c r="AB85" i="17"/>
  <c r="AB86" i="17"/>
  <c r="AB87" i="17"/>
  <c r="AB88" i="17"/>
  <c r="AB89" i="17"/>
  <c r="AB90" i="17"/>
  <c r="AB91" i="17"/>
  <c r="AB92" i="17"/>
  <c r="AB93" i="17"/>
  <c r="AB94" i="17"/>
  <c r="AB95" i="17"/>
  <c r="AB96" i="17"/>
  <c r="AB97" i="17"/>
  <c r="AB98" i="17"/>
  <c r="AB99" i="17"/>
  <c r="AB100" i="17"/>
  <c r="AB101" i="17"/>
  <c r="AB102" i="17"/>
  <c r="AB103" i="17"/>
  <c r="AB104" i="17"/>
  <c r="AB105" i="17"/>
  <c r="AB106" i="17"/>
  <c r="AB107" i="17"/>
  <c r="AB108" i="17"/>
  <c r="AB109" i="17"/>
  <c r="AB110" i="17"/>
  <c r="AB111" i="17"/>
  <c r="AB112" i="17"/>
  <c r="AB113" i="17"/>
  <c r="AB114" i="17"/>
  <c r="AB115" i="17"/>
  <c r="AB116" i="17"/>
  <c r="AB117" i="17"/>
  <c r="AB118" i="17"/>
  <c r="AB119" i="17"/>
  <c r="AB120" i="17"/>
  <c r="AB121" i="17"/>
  <c r="AB122" i="17"/>
  <c r="AB123" i="17"/>
  <c r="AB124" i="17"/>
  <c r="AB125" i="17"/>
  <c r="AB126" i="17"/>
  <c r="AB127" i="17"/>
  <c r="AB128" i="17"/>
  <c r="AB129" i="17"/>
  <c r="AB130" i="17"/>
  <c r="AB131" i="17"/>
  <c r="AB132" i="17"/>
  <c r="AB133" i="17"/>
  <c r="AB134" i="17"/>
  <c r="AB135" i="17"/>
  <c r="AB136" i="17"/>
  <c r="AB137" i="17"/>
  <c r="AB138" i="17"/>
  <c r="AB139" i="17"/>
  <c r="AB140" i="17"/>
  <c r="V6" i="17"/>
  <c r="Y141" i="17" l="1"/>
  <c r="Z12" i="17" s="1"/>
  <c r="AB141" i="17"/>
  <c r="AC95" i="17" s="1"/>
  <c r="AC64" i="17" l="1"/>
  <c r="AC127" i="17"/>
  <c r="AC114" i="17"/>
  <c r="AC103" i="17"/>
  <c r="AC57" i="17"/>
  <c r="AC121" i="17"/>
  <c r="AC90" i="17"/>
  <c r="AC52" i="17"/>
  <c r="AC21" i="17"/>
  <c r="AC85" i="17"/>
  <c r="AC6" i="17"/>
  <c r="AC70" i="17"/>
  <c r="AC133" i="17"/>
  <c r="AC47" i="17"/>
  <c r="AC126" i="17"/>
  <c r="Z20" i="17"/>
  <c r="Z13" i="17"/>
  <c r="Z77" i="17"/>
  <c r="Z140" i="17"/>
  <c r="Z70" i="17"/>
  <c r="Z133" i="17"/>
  <c r="Z15" i="17"/>
  <c r="Z79" i="17"/>
  <c r="Z123" i="17"/>
  <c r="Z56" i="17"/>
  <c r="Z120" i="17"/>
  <c r="Z9" i="17"/>
  <c r="Z73" i="17"/>
  <c r="Z136" i="17"/>
  <c r="Z18" i="17"/>
  <c r="Z82" i="17"/>
  <c r="Z27" i="17"/>
  <c r="AC8" i="17"/>
  <c r="AC72" i="17"/>
  <c r="AC135" i="17"/>
  <c r="AC129" i="17"/>
  <c r="AC134" i="17"/>
  <c r="AC65" i="17"/>
  <c r="AC128" i="17"/>
  <c r="AC106" i="17"/>
  <c r="AC60" i="17"/>
  <c r="AC29" i="17"/>
  <c r="AC93" i="17"/>
  <c r="AC14" i="17"/>
  <c r="AC78" i="17"/>
  <c r="Z6" i="17"/>
  <c r="AC55" i="17"/>
  <c r="Z108" i="17"/>
  <c r="Z118" i="17"/>
  <c r="Z115" i="17"/>
  <c r="Z129" i="17"/>
  <c r="Z132" i="17"/>
  <c r="Z7" i="17"/>
  <c r="Z48" i="17"/>
  <c r="Z128" i="17"/>
  <c r="Z28" i="17"/>
  <c r="Z14" i="17"/>
  <c r="Z23" i="17"/>
  <c r="Z100" i="17"/>
  <c r="Z17" i="17"/>
  <c r="Z26" i="17"/>
  <c r="AC16" i="17"/>
  <c r="AC44" i="17"/>
  <c r="AC73" i="17"/>
  <c r="AC68" i="17"/>
  <c r="AC86" i="17"/>
  <c r="Z29" i="17"/>
  <c r="Z86" i="17"/>
  <c r="Z95" i="17"/>
  <c r="Z89" i="17"/>
  <c r="Z91" i="17"/>
  <c r="AC76" i="17"/>
  <c r="AC137" i="17"/>
  <c r="AC30" i="17"/>
  <c r="AC71" i="17"/>
  <c r="Z125" i="17"/>
  <c r="Z40" i="17"/>
  <c r="Z124" i="17"/>
  <c r="Z112" i="17"/>
  <c r="Z61" i="17"/>
  <c r="Z131" i="17"/>
  <c r="Z104" i="17"/>
  <c r="Z66" i="17"/>
  <c r="Z69" i="17"/>
  <c r="Z134" i="17"/>
  <c r="Z65" i="17"/>
  <c r="Z74" i="17"/>
  <c r="Z21" i="17"/>
  <c r="Z78" i="17"/>
  <c r="Z87" i="17"/>
  <c r="Z64" i="17"/>
  <c r="Z81" i="17"/>
  <c r="Z90" i="17"/>
  <c r="AC80" i="17"/>
  <c r="AC9" i="17"/>
  <c r="AC122" i="17"/>
  <c r="AC101" i="17"/>
  <c r="AC22" i="17"/>
  <c r="AC63" i="17"/>
  <c r="Z93" i="17"/>
  <c r="Z67" i="17"/>
  <c r="Z8" i="17"/>
  <c r="Z135" i="17"/>
  <c r="Z43" i="17"/>
  <c r="Z98" i="17"/>
  <c r="AC88" i="17"/>
  <c r="AC17" i="17"/>
  <c r="AC10" i="17"/>
  <c r="AC84" i="17"/>
  <c r="AC109" i="17"/>
  <c r="AC7" i="17"/>
  <c r="Z37" i="17"/>
  <c r="Z30" i="17"/>
  <c r="Z99" i="17"/>
  <c r="Z16" i="17"/>
  <c r="Z19" i="17"/>
  <c r="Z97" i="17"/>
  <c r="Z42" i="17"/>
  <c r="Z106" i="17"/>
  <c r="AC32" i="17"/>
  <c r="AC50" i="17"/>
  <c r="AC25" i="17"/>
  <c r="AC26" i="17"/>
  <c r="AC100" i="17"/>
  <c r="AC117" i="17"/>
  <c r="AC102" i="17"/>
  <c r="AC79" i="17"/>
  <c r="Z45" i="17"/>
  <c r="Z109" i="17"/>
  <c r="Z38" i="17"/>
  <c r="Z102" i="17"/>
  <c r="Z130" i="17"/>
  <c r="Z47" i="17"/>
  <c r="Z111" i="17"/>
  <c r="Z24" i="17"/>
  <c r="Z88" i="17"/>
  <c r="Z51" i="17"/>
  <c r="Z41" i="17"/>
  <c r="Z105" i="17"/>
  <c r="Z107" i="17"/>
  <c r="Z50" i="17"/>
  <c r="Z114" i="17"/>
  <c r="Z92" i="17"/>
  <c r="AC40" i="17"/>
  <c r="AC104" i="17"/>
  <c r="AC66" i="17"/>
  <c r="AC108" i="17"/>
  <c r="AC33" i="17"/>
  <c r="AC97" i="17"/>
  <c r="AC42" i="17"/>
  <c r="AC20" i="17"/>
  <c r="AC116" i="17"/>
  <c r="AC61" i="17"/>
  <c r="AC125" i="17"/>
  <c r="AC46" i="17"/>
  <c r="AC110" i="17"/>
  <c r="AC23" i="17"/>
  <c r="AC87" i="17"/>
  <c r="Z63" i="17"/>
  <c r="Z57" i="17"/>
  <c r="Z116" i="17"/>
  <c r="Z62" i="17"/>
  <c r="Z71" i="17"/>
  <c r="Z84" i="17"/>
  <c r="Z10" i="17"/>
  <c r="Z85" i="17"/>
  <c r="Z35" i="17"/>
  <c r="Z127" i="17"/>
  <c r="Z11" i="17"/>
  <c r="Z59" i="17"/>
  <c r="AC18" i="17"/>
  <c r="AC136" i="17"/>
  <c r="AC37" i="17"/>
  <c r="Z36" i="17"/>
  <c r="Z22" i="17"/>
  <c r="Z31" i="17"/>
  <c r="Z72" i="17"/>
  <c r="Z25" i="17"/>
  <c r="Z34" i="17"/>
  <c r="AC24" i="17"/>
  <c r="AC34" i="17"/>
  <c r="AC81" i="17"/>
  <c r="AC45" i="17"/>
  <c r="AC94" i="17"/>
  <c r="Z44" i="17"/>
  <c r="Z101" i="17"/>
  <c r="Z94" i="17"/>
  <c r="Z39" i="17"/>
  <c r="Z103" i="17"/>
  <c r="Z80" i="17"/>
  <c r="Z33" i="17"/>
  <c r="Z75" i="17"/>
  <c r="Z138" i="17"/>
  <c r="AC96" i="17"/>
  <c r="AC92" i="17"/>
  <c r="AC89" i="17"/>
  <c r="AC12" i="17"/>
  <c r="AC53" i="17"/>
  <c r="AC38" i="17"/>
  <c r="AC15" i="17"/>
  <c r="Z52" i="17"/>
  <c r="Z60" i="17"/>
  <c r="Z53" i="17"/>
  <c r="Z117" i="17"/>
  <c r="Z46" i="17"/>
  <c r="Z110" i="17"/>
  <c r="Z68" i="17"/>
  <c r="Z55" i="17"/>
  <c r="Z119" i="17"/>
  <c r="Z32" i="17"/>
  <c r="Z96" i="17"/>
  <c r="Z83" i="17"/>
  <c r="Z49" i="17"/>
  <c r="Z113" i="17"/>
  <c r="Z76" i="17"/>
  <c r="Z58" i="17"/>
  <c r="Z122" i="17"/>
  <c r="Z139" i="17"/>
  <c r="AC48" i="17"/>
  <c r="AC112" i="17"/>
  <c r="AC82" i="17"/>
  <c r="AC124" i="17"/>
  <c r="AC41" i="17"/>
  <c r="AC105" i="17"/>
  <c r="AC58" i="17"/>
  <c r="AC28" i="17"/>
  <c r="AC131" i="17"/>
  <c r="AC69" i="17"/>
  <c r="AC132" i="17"/>
  <c r="AC54" i="17"/>
  <c r="AC118" i="17"/>
  <c r="AC31" i="17"/>
  <c r="AC13" i="17"/>
  <c r="AC11" i="17"/>
  <c r="AC27" i="17"/>
  <c r="AC43" i="17"/>
  <c r="AC67" i="17"/>
  <c r="AC83" i="17"/>
  <c r="AC99" i="17"/>
  <c r="AC115" i="17"/>
  <c r="AC130" i="17"/>
  <c r="AC19" i="17"/>
  <c r="AC35" i="17"/>
  <c r="AC51" i="17"/>
  <c r="AC59" i="17"/>
  <c r="AC75" i="17"/>
  <c r="AC91" i="17"/>
  <c r="AC107" i="17"/>
  <c r="AC123" i="17"/>
  <c r="AC138" i="17"/>
  <c r="AC56" i="17"/>
  <c r="AC120" i="17"/>
  <c r="AC98" i="17"/>
  <c r="AC139" i="17"/>
  <c r="AC49" i="17"/>
  <c r="AC113" i="17"/>
  <c r="AC74" i="17"/>
  <c r="AC36" i="17"/>
  <c r="AC111" i="17"/>
  <c r="AC77" i="17"/>
  <c r="AC140" i="17"/>
  <c r="AC62" i="17"/>
  <c r="AC39" i="17"/>
  <c r="AC119" i="17"/>
  <c r="Z54" i="17"/>
  <c r="Z126" i="17"/>
  <c r="Z121" i="17"/>
  <c r="Z137" i="17"/>
  <c r="K146" i="59"/>
  <c r="Z141" i="17" l="1"/>
  <c r="AC141" i="17"/>
  <c r="Q20" i="18"/>
  <c r="Q17" i="18"/>
  <c r="Q16" i="18"/>
  <c r="V7" i="17" l="1"/>
  <c r="V8" i="17"/>
  <c r="V9" i="17"/>
  <c r="V10" i="17"/>
  <c r="V11" i="17"/>
  <c r="V12" i="17"/>
  <c r="V13" i="17"/>
  <c r="V14" i="17"/>
  <c r="V15" i="17"/>
  <c r="V16" i="17"/>
  <c r="V17" i="17"/>
  <c r="V18" i="17"/>
  <c r="V19" i="17"/>
  <c r="V20" i="17"/>
  <c r="V21" i="17"/>
  <c r="V22" i="17"/>
  <c r="V23" i="17"/>
  <c r="V24" i="17"/>
  <c r="V25" i="17"/>
  <c r="V26" i="17"/>
  <c r="V27" i="17"/>
  <c r="V28" i="17"/>
  <c r="V29" i="17"/>
  <c r="V30" i="17"/>
  <c r="V31" i="17"/>
  <c r="V32" i="17"/>
  <c r="V33" i="17"/>
  <c r="V34" i="17"/>
  <c r="V35" i="17"/>
  <c r="V36" i="17"/>
  <c r="V37" i="17"/>
  <c r="V38" i="17"/>
  <c r="V39" i="17"/>
  <c r="V40" i="17"/>
  <c r="V41" i="17"/>
  <c r="V42" i="17"/>
  <c r="V43" i="17"/>
  <c r="V44" i="17"/>
  <c r="V45" i="17"/>
  <c r="V46" i="17"/>
  <c r="V47" i="17"/>
  <c r="V48" i="17"/>
  <c r="V49" i="17"/>
  <c r="V50" i="17"/>
  <c r="V51" i="17"/>
  <c r="V52" i="17"/>
  <c r="V53" i="17"/>
  <c r="V54" i="17"/>
  <c r="V55" i="17"/>
  <c r="V56" i="17"/>
  <c r="V57" i="17"/>
  <c r="V58" i="17"/>
  <c r="V59" i="17"/>
  <c r="V60" i="17"/>
  <c r="V61" i="17"/>
  <c r="V62" i="17"/>
  <c r="V63" i="17"/>
  <c r="V64" i="17"/>
  <c r="V65" i="17"/>
  <c r="V66" i="17"/>
  <c r="V67" i="17"/>
  <c r="V68" i="17"/>
  <c r="V69" i="17"/>
  <c r="V70" i="17"/>
  <c r="V71" i="17"/>
  <c r="V72" i="17"/>
  <c r="V73" i="17"/>
  <c r="V74" i="17"/>
  <c r="V75" i="17"/>
  <c r="V76" i="17"/>
  <c r="V77" i="17"/>
  <c r="V78" i="17"/>
  <c r="V79" i="17"/>
  <c r="V80" i="17"/>
  <c r="V81" i="17"/>
  <c r="V82" i="17"/>
  <c r="V83" i="17"/>
  <c r="V84" i="17"/>
  <c r="V85" i="17"/>
  <c r="V86" i="17"/>
  <c r="V87" i="17"/>
  <c r="V88" i="17"/>
  <c r="V89" i="17"/>
  <c r="V90" i="17"/>
  <c r="V91" i="17"/>
  <c r="V92" i="17"/>
  <c r="V93" i="17"/>
  <c r="V94" i="17"/>
  <c r="V95" i="17"/>
  <c r="V96" i="17"/>
  <c r="V97" i="17"/>
  <c r="V98" i="17"/>
  <c r="V99" i="17"/>
  <c r="V100" i="17"/>
  <c r="V101" i="17"/>
  <c r="V102" i="17"/>
  <c r="V103" i="17"/>
  <c r="V104" i="17"/>
  <c r="V105" i="17"/>
  <c r="V106" i="17"/>
  <c r="V107" i="17"/>
  <c r="V108" i="17"/>
  <c r="V109" i="17"/>
  <c r="V110" i="17"/>
  <c r="V111" i="17"/>
  <c r="V112" i="17"/>
  <c r="V113" i="17"/>
  <c r="V114" i="17"/>
  <c r="V115" i="17"/>
  <c r="V116" i="17"/>
  <c r="V117" i="17"/>
  <c r="V118" i="17"/>
  <c r="V119" i="17"/>
  <c r="V120" i="17"/>
  <c r="V121" i="17"/>
  <c r="V122" i="17"/>
  <c r="V123" i="17"/>
  <c r="V124" i="17"/>
  <c r="V125" i="17"/>
  <c r="V126" i="17"/>
  <c r="V127" i="17"/>
  <c r="V128" i="17"/>
  <c r="V129" i="17"/>
  <c r="V130" i="17"/>
  <c r="V131" i="17"/>
  <c r="V132" i="17"/>
  <c r="V133" i="17"/>
  <c r="V134" i="17"/>
  <c r="V135" i="17"/>
  <c r="V136" i="17"/>
  <c r="V137" i="17"/>
  <c r="V138" i="17"/>
  <c r="V139" i="17"/>
  <c r="V140" i="17"/>
  <c r="S6" i="17" l="1"/>
  <c r="S7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S30" i="17"/>
  <c r="S31" i="17"/>
  <c r="S32" i="17"/>
  <c r="S33" i="17"/>
  <c r="S34" i="17"/>
  <c r="S35" i="17"/>
  <c r="S36" i="17"/>
  <c r="S37" i="17"/>
  <c r="S38" i="17"/>
  <c r="S39" i="17"/>
  <c r="S40" i="17"/>
  <c r="S41" i="17"/>
  <c r="S42" i="17"/>
  <c r="S43" i="17"/>
  <c r="S44" i="17"/>
  <c r="S45" i="17"/>
  <c r="S46" i="17"/>
  <c r="S47" i="17"/>
  <c r="S48" i="17"/>
  <c r="S49" i="17"/>
  <c r="S50" i="17"/>
  <c r="S51" i="17"/>
  <c r="S52" i="17"/>
  <c r="S53" i="17"/>
  <c r="S54" i="17"/>
  <c r="S55" i="17"/>
  <c r="S56" i="17"/>
  <c r="S57" i="17"/>
  <c r="S58" i="17"/>
  <c r="S59" i="17"/>
  <c r="S60" i="17"/>
  <c r="S61" i="17"/>
  <c r="S62" i="17"/>
  <c r="S63" i="17"/>
  <c r="S64" i="17"/>
  <c r="S65" i="17"/>
  <c r="S66" i="17"/>
  <c r="S67" i="17"/>
  <c r="S68" i="17"/>
  <c r="S69" i="17"/>
  <c r="S70" i="17"/>
  <c r="S71" i="17"/>
  <c r="S72" i="17"/>
  <c r="S73" i="17"/>
  <c r="S74" i="17"/>
  <c r="S75" i="17"/>
  <c r="S76" i="17"/>
  <c r="S77" i="17"/>
  <c r="S78" i="17"/>
  <c r="S79" i="17"/>
  <c r="S80" i="17"/>
  <c r="S81" i="17"/>
  <c r="S82" i="17"/>
  <c r="S83" i="17"/>
  <c r="S84" i="17"/>
  <c r="S85" i="17"/>
  <c r="S86" i="17"/>
  <c r="S87" i="17"/>
  <c r="S88" i="17"/>
  <c r="S89" i="17"/>
  <c r="S90" i="17"/>
  <c r="S91" i="17"/>
  <c r="S92" i="17"/>
  <c r="S93" i="17"/>
  <c r="S94" i="17"/>
  <c r="S95" i="17"/>
  <c r="S96" i="17"/>
  <c r="S97" i="17"/>
  <c r="S98" i="17"/>
  <c r="S99" i="17"/>
  <c r="S100" i="17"/>
  <c r="S101" i="17"/>
  <c r="S102" i="17"/>
  <c r="S103" i="17"/>
  <c r="S104" i="17"/>
  <c r="S105" i="17"/>
  <c r="S106" i="17"/>
  <c r="S107" i="17"/>
  <c r="S108" i="17"/>
  <c r="S109" i="17"/>
  <c r="S110" i="17"/>
  <c r="S111" i="17"/>
  <c r="S112" i="17"/>
  <c r="S113" i="17"/>
  <c r="S114" i="17"/>
  <c r="S115" i="17"/>
  <c r="S116" i="17"/>
  <c r="S117" i="17"/>
  <c r="S118" i="17"/>
  <c r="S119" i="17"/>
  <c r="S120" i="17"/>
  <c r="S121" i="17"/>
  <c r="S122" i="17"/>
  <c r="S123" i="17"/>
  <c r="S124" i="17"/>
  <c r="S125" i="17"/>
  <c r="S126" i="17"/>
  <c r="S127" i="17"/>
  <c r="S128" i="17"/>
  <c r="S129" i="17"/>
  <c r="S130" i="17"/>
  <c r="S131" i="17"/>
  <c r="S132" i="17"/>
  <c r="S133" i="17"/>
  <c r="S134" i="17"/>
  <c r="S135" i="17"/>
  <c r="S136" i="17"/>
  <c r="S137" i="17"/>
  <c r="S138" i="17"/>
  <c r="S139" i="17"/>
  <c r="S140" i="17"/>
  <c r="P6" i="17"/>
  <c r="P7" i="17"/>
  <c r="P8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P30" i="17"/>
  <c r="P31" i="17"/>
  <c r="P32" i="17"/>
  <c r="P33" i="17"/>
  <c r="P34" i="17"/>
  <c r="P35" i="17"/>
  <c r="P36" i="17"/>
  <c r="P37" i="17"/>
  <c r="P38" i="17"/>
  <c r="P39" i="17"/>
  <c r="P40" i="17"/>
  <c r="P41" i="17"/>
  <c r="P42" i="17"/>
  <c r="P43" i="17"/>
  <c r="P44" i="17"/>
  <c r="P45" i="17"/>
  <c r="P46" i="17"/>
  <c r="P47" i="17"/>
  <c r="P48" i="17"/>
  <c r="P49" i="17"/>
  <c r="P50" i="17"/>
  <c r="P51" i="17"/>
  <c r="P52" i="17"/>
  <c r="P53" i="17"/>
  <c r="P54" i="17"/>
  <c r="P55" i="17"/>
  <c r="P56" i="17"/>
  <c r="P57" i="17"/>
  <c r="P58" i="17"/>
  <c r="P59" i="17"/>
  <c r="P60" i="17"/>
  <c r="P61" i="17"/>
  <c r="P62" i="17"/>
  <c r="P63" i="17"/>
  <c r="P64" i="17"/>
  <c r="P65" i="17"/>
  <c r="P66" i="17"/>
  <c r="P67" i="17"/>
  <c r="P68" i="17"/>
  <c r="P69" i="17"/>
  <c r="P70" i="17"/>
  <c r="P71" i="17"/>
  <c r="P72" i="17"/>
  <c r="P73" i="17"/>
  <c r="P74" i="17"/>
  <c r="P75" i="17"/>
  <c r="P76" i="17"/>
  <c r="P77" i="17"/>
  <c r="P78" i="17"/>
  <c r="P79" i="17"/>
  <c r="P80" i="17"/>
  <c r="P81" i="17"/>
  <c r="P82" i="17"/>
  <c r="P83" i="17"/>
  <c r="P84" i="17"/>
  <c r="P85" i="17"/>
  <c r="P86" i="17"/>
  <c r="P87" i="17"/>
  <c r="P88" i="17"/>
  <c r="P89" i="17"/>
  <c r="P90" i="17"/>
  <c r="P91" i="17"/>
  <c r="P92" i="17"/>
  <c r="P93" i="17"/>
  <c r="P94" i="17"/>
  <c r="P95" i="17"/>
  <c r="P96" i="17"/>
  <c r="P97" i="17"/>
  <c r="P98" i="17"/>
  <c r="P99" i="17"/>
  <c r="P100" i="17"/>
  <c r="P101" i="17"/>
  <c r="P102" i="17"/>
  <c r="P103" i="17"/>
  <c r="P104" i="17"/>
  <c r="P105" i="17"/>
  <c r="P106" i="17"/>
  <c r="P107" i="17"/>
  <c r="P108" i="17"/>
  <c r="P109" i="17"/>
  <c r="P110" i="17"/>
  <c r="P111" i="17"/>
  <c r="P112" i="17"/>
  <c r="P113" i="17"/>
  <c r="P114" i="17"/>
  <c r="P115" i="17"/>
  <c r="P116" i="17"/>
  <c r="P117" i="17"/>
  <c r="P118" i="17"/>
  <c r="P119" i="17"/>
  <c r="P120" i="17"/>
  <c r="P121" i="17"/>
  <c r="P122" i="17"/>
  <c r="P123" i="17"/>
  <c r="P124" i="17"/>
  <c r="P125" i="17"/>
  <c r="P126" i="17"/>
  <c r="P127" i="17"/>
  <c r="P128" i="17"/>
  <c r="P129" i="17"/>
  <c r="P130" i="17"/>
  <c r="P131" i="17"/>
  <c r="P132" i="17"/>
  <c r="P133" i="17"/>
  <c r="P134" i="17"/>
  <c r="P135" i="17"/>
  <c r="P136" i="17"/>
  <c r="P137" i="17"/>
  <c r="P138" i="17"/>
  <c r="P139" i="17"/>
  <c r="P140" i="17"/>
  <c r="I18" i="17" l="1"/>
  <c r="M18" i="17"/>
  <c r="J18" i="17" l="1"/>
  <c r="G18" i="17"/>
  <c r="M6" i="17" l="1"/>
  <c r="M7" i="17"/>
  <c r="M8" i="17"/>
  <c r="M9" i="17"/>
  <c r="M10" i="17"/>
  <c r="M11" i="17"/>
  <c r="M12" i="17"/>
  <c r="M13" i="17"/>
  <c r="M14" i="17"/>
  <c r="M15" i="17"/>
  <c r="M16" i="17"/>
  <c r="M17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74" i="17"/>
  <c r="M32" i="17"/>
  <c r="M33" i="17"/>
  <c r="M34" i="17"/>
  <c r="M35" i="17"/>
  <c r="M36" i="17"/>
  <c r="M37" i="17"/>
  <c r="M38" i="17"/>
  <c r="M39" i="17"/>
  <c r="M40" i="17"/>
  <c r="M41" i="17"/>
  <c r="M42" i="17"/>
  <c r="M43" i="17"/>
  <c r="M44" i="17"/>
  <c r="M45" i="17"/>
  <c r="M46" i="17"/>
  <c r="M47" i="17"/>
  <c r="M48" i="17"/>
  <c r="M49" i="17"/>
  <c r="M50" i="17"/>
  <c r="M51" i="17"/>
  <c r="M52" i="17"/>
  <c r="M53" i="17"/>
  <c r="M54" i="17"/>
  <c r="M55" i="17"/>
  <c r="M57" i="17"/>
  <c r="M58" i="17"/>
  <c r="M59" i="17"/>
  <c r="M60" i="17"/>
  <c r="M61" i="17"/>
  <c r="M63" i="17"/>
  <c r="M64" i="17"/>
  <c r="M65" i="17"/>
  <c r="M66" i="17"/>
  <c r="M67" i="17"/>
  <c r="M68" i="17"/>
  <c r="M69" i="17"/>
  <c r="M70" i="17"/>
  <c r="M71" i="17"/>
  <c r="M72" i="17"/>
  <c r="M73" i="17"/>
  <c r="M75" i="17"/>
  <c r="M76" i="17"/>
  <c r="M77" i="17"/>
  <c r="M78" i="17"/>
  <c r="M79" i="17"/>
  <c r="M80" i="17"/>
  <c r="M81" i="17"/>
  <c r="M82" i="17"/>
  <c r="M83" i="17"/>
  <c r="M84" i="17"/>
  <c r="M85" i="17"/>
  <c r="M86" i="17"/>
  <c r="M87" i="17"/>
  <c r="M88" i="17"/>
  <c r="M89" i="17"/>
  <c r="M90" i="17"/>
  <c r="M91" i="17"/>
  <c r="M92" i="17"/>
  <c r="M93" i="17"/>
  <c r="M94" i="17"/>
  <c r="M95" i="17"/>
  <c r="M96" i="17"/>
  <c r="M97" i="17"/>
  <c r="M62" i="17"/>
  <c r="M98" i="17"/>
  <c r="M99" i="17"/>
  <c r="M100" i="17"/>
  <c r="M101" i="17"/>
  <c r="M102" i="17"/>
  <c r="M103" i="17"/>
  <c r="M104" i="17"/>
  <c r="M105" i="17"/>
  <c r="M106" i="17"/>
  <c r="M107" i="17"/>
  <c r="M108" i="17"/>
  <c r="M109" i="17"/>
  <c r="M110" i="17"/>
  <c r="M111" i="17"/>
  <c r="M112" i="17"/>
  <c r="M113" i="17"/>
  <c r="M114" i="17"/>
  <c r="M115" i="17"/>
  <c r="M116" i="17"/>
  <c r="M117" i="17"/>
  <c r="M118" i="17"/>
  <c r="M119" i="17"/>
  <c r="M120" i="17"/>
  <c r="M121" i="17"/>
  <c r="M122" i="17"/>
  <c r="M123" i="17"/>
  <c r="M124" i="17"/>
  <c r="M125" i="17"/>
  <c r="M126" i="17"/>
  <c r="M56" i="17"/>
  <c r="M127" i="17"/>
  <c r="M128" i="17"/>
  <c r="M129" i="17"/>
  <c r="M130" i="17"/>
  <c r="M131" i="17"/>
  <c r="M132" i="17"/>
  <c r="M133" i="17"/>
  <c r="M134" i="17"/>
  <c r="M135" i="17"/>
  <c r="M136" i="17"/>
  <c r="M137" i="17"/>
  <c r="M138" i="17"/>
  <c r="M139" i="17"/>
  <c r="M140" i="17"/>
  <c r="I6" i="17"/>
  <c r="I7" i="17"/>
  <c r="I8" i="17"/>
  <c r="I9" i="17"/>
  <c r="I10" i="17"/>
  <c r="I11" i="17"/>
  <c r="I12" i="17"/>
  <c r="I13" i="17"/>
  <c r="I14" i="17"/>
  <c r="I15" i="17"/>
  <c r="I16" i="17"/>
  <c r="I17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74" i="17"/>
  <c r="I32" i="17"/>
  <c r="I33" i="17"/>
  <c r="I34" i="17"/>
  <c r="I35" i="17"/>
  <c r="I36" i="17"/>
  <c r="I37" i="17"/>
  <c r="I38" i="17"/>
  <c r="I39" i="17"/>
  <c r="I40" i="17"/>
  <c r="I41" i="17"/>
  <c r="I42" i="17"/>
  <c r="I43" i="17"/>
  <c r="I44" i="17"/>
  <c r="I45" i="17"/>
  <c r="I46" i="17"/>
  <c r="I47" i="17"/>
  <c r="I48" i="17"/>
  <c r="I49" i="17"/>
  <c r="I50" i="17"/>
  <c r="I51" i="17"/>
  <c r="I52" i="17"/>
  <c r="I53" i="17"/>
  <c r="I54" i="17"/>
  <c r="I55" i="17"/>
  <c r="I57" i="17"/>
  <c r="I58" i="17"/>
  <c r="I59" i="17"/>
  <c r="I60" i="17"/>
  <c r="I61" i="17"/>
  <c r="I63" i="17"/>
  <c r="I64" i="17"/>
  <c r="I65" i="17"/>
  <c r="I66" i="17"/>
  <c r="I67" i="17"/>
  <c r="I68" i="17"/>
  <c r="I69" i="17"/>
  <c r="I70" i="17"/>
  <c r="I71" i="17"/>
  <c r="I72" i="17"/>
  <c r="I73" i="17"/>
  <c r="I75" i="17"/>
  <c r="I76" i="17"/>
  <c r="I77" i="17"/>
  <c r="I78" i="17"/>
  <c r="I79" i="17"/>
  <c r="I80" i="17"/>
  <c r="I81" i="17"/>
  <c r="I82" i="17"/>
  <c r="I83" i="17"/>
  <c r="I84" i="17"/>
  <c r="I85" i="17"/>
  <c r="I86" i="17"/>
  <c r="I87" i="17"/>
  <c r="I88" i="17"/>
  <c r="I89" i="17"/>
  <c r="I90" i="17"/>
  <c r="I91" i="17"/>
  <c r="I92" i="17"/>
  <c r="I93" i="17"/>
  <c r="I94" i="17"/>
  <c r="I95" i="17"/>
  <c r="I96" i="17"/>
  <c r="I97" i="17"/>
  <c r="I62" i="17"/>
  <c r="I98" i="17"/>
  <c r="I99" i="17"/>
  <c r="I100" i="17"/>
  <c r="I101" i="17"/>
  <c r="I102" i="17"/>
  <c r="I103" i="17"/>
  <c r="I104" i="17"/>
  <c r="I105" i="17"/>
  <c r="I106" i="17"/>
  <c r="I107" i="17"/>
  <c r="I108" i="17"/>
  <c r="I109" i="17"/>
  <c r="I110" i="17"/>
  <c r="I111" i="17"/>
  <c r="I112" i="17"/>
  <c r="I113" i="17"/>
  <c r="I114" i="17"/>
  <c r="I115" i="17"/>
  <c r="I116" i="17"/>
  <c r="I117" i="17"/>
  <c r="I118" i="17"/>
  <c r="I119" i="17"/>
  <c r="I120" i="17"/>
  <c r="I121" i="17"/>
  <c r="I122" i="17"/>
  <c r="I123" i="17"/>
  <c r="I124" i="17"/>
  <c r="I125" i="17"/>
  <c r="I126" i="17"/>
  <c r="I56" i="17"/>
  <c r="I127" i="17"/>
  <c r="I128" i="17"/>
  <c r="I129" i="17"/>
  <c r="I130" i="17"/>
  <c r="I131" i="17"/>
  <c r="I132" i="17"/>
  <c r="I133" i="17"/>
  <c r="I134" i="17"/>
  <c r="I135" i="17"/>
  <c r="I136" i="17"/>
  <c r="I137" i="17"/>
  <c r="I138" i="17"/>
  <c r="I139" i="17"/>
  <c r="I140" i="17"/>
  <c r="AD142" i="24" l="1"/>
  <c r="AH142" i="24"/>
  <c r="Z142" i="24"/>
  <c r="AI141" i="17" l="1"/>
  <c r="AG141" i="17" l="1"/>
  <c r="AJ141" i="17"/>
  <c r="AH141" i="17"/>
  <c r="AL141" i="17"/>
  <c r="AT141" i="17" l="1"/>
  <c r="V142" i="24" l="1"/>
  <c r="BC7" i="25" l="1"/>
  <c r="BC11" i="25"/>
  <c r="BC15" i="25"/>
  <c r="BC19" i="25"/>
  <c r="BC23" i="25"/>
  <c r="BC9" i="25"/>
  <c r="BC17" i="25"/>
  <c r="BC6" i="25"/>
  <c r="BC14" i="25"/>
  <c r="BC22" i="25"/>
  <c r="BC8" i="25"/>
  <c r="BC12" i="25"/>
  <c r="BC16" i="25"/>
  <c r="BC20" i="25"/>
  <c r="BC13" i="25"/>
  <c r="BC21" i="25"/>
  <c r="BC10" i="25"/>
  <c r="BC18" i="25"/>
  <c r="S141" i="17" l="1"/>
  <c r="T18" i="17" s="1"/>
  <c r="M141" i="17"/>
  <c r="N18" i="17" s="1"/>
  <c r="P141" i="17"/>
  <c r="Q18" i="17" s="1"/>
  <c r="V141" i="17"/>
  <c r="W18" i="17" l="1"/>
  <c r="W6" i="17"/>
  <c r="J8" i="18" l="1"/>
  <c r="J25" i="18" s="1"/>
  <c r="N30" i="18"/>
  <c r="H31" i="18"/>
  <c r="K15" i="18" l="1"/>
  <c r="K14" i="18"/>
  <c r="O18" i="17" s="1"/>
  <c r="AQ18" i="17" s="1"/>
  <c r="J23" i="18"/>
  <c r="J24" i="18"/>
  <c r="O30" i="18"/>
  <c r="N31" i="18"/>
  <c r="O31" i="18"/>
  <c r="L12" i="18" l="1"/>
  <c r="L13" i="18"/>
  <c r="R142" i="24" l="1"/>
  <c r="H6" i="18" l="1"/>
  <c r="R19" i="18" l="1"/>
  <c r="R18" i="18"/>
  <c r="N28" i="18" l="1"/>
  <c r="N29" i="18"/>
  <c r="N27" i="18"/>
  <c r="L20" i="18" l="1"/>
  <c r="O29" i="18"/>
  <c r="O28" i="18"/>
  <c r="N7" i="18"/>
  <c r="M22" i="18" l="1"/>
  <c r="M21" i="18"/>
  <c r="O20" i="18"/>
  <c r="N20" i="18"/>
  <c r="P30" i="18"/>
  <c r="K24" i="18"/>
  <c r="P31" i="18"/>
  <c r="O25" i="18"/>
  <c r="N25" i="18"/>
  <c r="P28" i="18"/>
  <c r="P29" i="18"/>
  <c r="N9" i="18"/>
  <c r="O9" i="18"/>
  <c r="AD95" i="17" l="1"/>
  <c r="AD133" i="17"/>
  <c r="AD46" i="17"/>
  <c r="AD103" i="17"/>
  <c r="AD100" i="17"/>
  <c r="AD28" i="17"/>
  <c r="AD93" i="17"/>
  <c r="AD110" i="17"/>
  <c r="AD29" i="17"/>
  <c r="AD59" i="17"/>
  <c r="AD107" i="17"/>
  <c r="AD32" i="17"/>
  <c r="AD54" i="17"/>
  <c r="AD99" i="17"/>
  <c r="AD9" i="17"/>
  <c r="AD67" i="17"/>
  <c r="AD117" i="17"/>
  <c r="AD84" i="17"/>
  <c r="AD137" i="17"/>
  <c r="AD73" i="17"/>
  <c r="AD121" i="17"/>
  <c r="AD18" i="17"/>
  <c r="AD86" i="17"/>
  <c r="AD83" i="17"/>
  <c r="AD56" i="17"/>
  <c r="AD108" i="17"/>
  <c r="AD124" i="17"/>
  <c r="AD134" i="17"/>
  <c r="AD96" i="17"/>
  <c r="AD135" i="17"/>
  <c r="AD119" i="17"/>
  <c r="AD72" i="17"/>
  <c r="AD69" i="17"/>
  <c r="AD115" i="17"/>
  <c r="AD122" i="17"/>
  <c r="AD126" i="17"/>
  <c r="AD118" i="17"/>
  <c r="AD76" i="17"/>
  <c r="AD132" i="17"/>
  <c r="AD41" i="17"/>
  <c r="AD16" i="17"/>
  <c r="AD78" i="17"/>
  <c r="AD128" i="17"/>
  <c r="AD44" i="17"/>
  <c r="AD80" i="17"/>
  <c r="AD35" i="17"/>
  <c r="AD26" i="17"/>
  <c r="AD109" i="17"/>
  <c r="AD57" i="17"/>
  <c r="AD125" i="17"/>
  <c r="AD114" i="17"/>
  <c r="AD130" i="17"/>
  <c r="AD85" i="17"/>
  <c r="AD136" i="17"/>
  <c r="AD31" i="17"/>
  <c r="AD77" i="17"/>
  <c r="AD82" i="17"/>
  <c r="AD120" i="17"/>
  <c r="AD40" i="17"/>
  <c r="AD97" i="17"/>
  <c r="AD140" i="17"/>
  <c r="AD27" i="17"/>
  <c r="AD17" i="17"/>
  <c r="AD55" i="17"/>
  <c r="AD111" i="17"/>
  <c r="AD66" i="17"/>
  <c r="AD139" i="17"/>
  <c r="AD61" i="17"/>
  <c r="AD127" i="17"/>
  <c r="AD123" i="17"/>
  <c r="AD105" i="17"/>
  <c r="AD68" i="17"/>
  <c r="AD112" i="17"/>
  <c r="AD38" i="17"/>
  <c r="AD106" i="17"/>
  <c r="AD12" i="17"/>
  <c r="AD65" i="17"/>
  <c r="AD15" i="17"/>
  <c r="AD74" i="17"/>
  <c r="AD52" i="17"/>
  <c r="AD47" i="17"/>
  <c r="AD6" i="17"/>
  <c r="AD33" i="17"/>
  <c r="AD113" i="17"/>
  <c r="AD43" i="17"/>
  <c r="AD131" i="17"/>
  <c r="AD63" i="17"/>
  <c r="AD98" i="17"/>
  <c r="AD36" i="17"/>
  <c r="AD25" i="17"/>
  <c r="AD81" i="17"/>
  <c r="AD50" i="17"/>
  <c r="AD62" i="17"/>
  <c r="AD58" i="17"/>
  <c r="AD60" i="17"/>
  <c r="AD45" i="17"/>
  <c r="AD34" i="17"/>
  <c r="AD70" i="17"/>
  <c r="AD7" i="17"/>
  <c r="AD89" i="17"/>
  <c r="AD48" i="17"/>
  <c r="AD14" i="17"/>
  <c r="AD51" i="17"/>
  <c r="AD138" i="17"/>
  <c r="AD88" i="17"/>
  <c r="AD102" i="17"/>
  <c r="AD101" i="17"/>
  <c r="AD53" i="17"/>
  <c r="AD104" i="17"/>
  <c r="AD94" i="17"/>
  <c r="AD8" i="17"/>
  <c r="AD13" i="17"/>
  <c r="AD20" i="17"/>
  <c r="AD75" i="17"/>
  <c r="AD37" i="17"/>
  <c r="AD71" i="17"/>
  <c r="AD91" i="17"/>
  <c r="AD10" i="17"/>
  <c r="AD92" i="17"/>
  <c r="AD129" i="17"/>
  <c r="AD24" i="17"/>
  <c r="AD19" i="17"/>
  <c r="AD22" i="17"/>
  <c r="AD90" i="17"/>
  <c r="AD30" i="17"/>
  <c r="AD42" i="17"/>
  <c r="AD39" i="17"/>
  <c r="AD116" i="17"/>
  <c r="AD21" i="17"/>
  <c r="AD49" i="17"/>
  <c r="AD79" i="17"/>
  <c r="AD87" i="17"/>
  <c r="AD23" i="17"/>
  <c r="AD11" i="17"/>
  <c r="AD64" i="17"/>
  <c r="AA12" i="17"/>
  <c r="AA6" i="17"/>
  <c r="AA107" i="17"/>
  <c r="AA7" i="17"/>
  <c r="AA71" i="17"/>
  <c r="AA17" i="17"/>
  <c r="AA101" i="17"/>
  <c r="AA66" i="17"/>
  <c r="AA15" i="17"/>
  <c r="AA78" i="17"/>
  <c r="AA90" i="17"/>
  <c r="AA21" i="17"/>
  <c r="AA18" i="17"/>
  <c r="AA88" i="17"/>
  <c r="AA33" i="17"/>
  <c r="AA74" i="17"/>
  <c r="AA110" i="17"/>
  <c r="AA65" i="17"/>
  <c r="AA103" i="17"/>
  <c r="AA130" i="17"/>
  <c r="AA136" i="17"/>
  <c r="AA105" i="17"/>
  <c r="AA132" i="17"/>
  <c r="AA25" i="17"/>
  <c r="AA29" i="17"/>
  <c r="AA52" i="17"/>
  <c r="AA104" i="17"/>
  <c r="AA48" i="17"/>
  <c r="AA118" i="17"/>
  <c r="AA121" i="17"/>
  <c r="AA37" i="17"/>
  <c r="AA22" i="17"/>
  <c r="AA61" i="17"/>
  <c r="AA80" i="17"/>
  <c r="AA112" i="17"/>
  <c r="AA97" i="17"/>
  <c r="AA19" i="17"/>
  <c r="AA133" i="17"/>
  <c r="AA102" i="17"/>
  <c r="AA73" i="17"/>
  <c r="AA59" i="17"/>
  <c r="AA100" i="17"/>
  <c r="AA72" i="17"/>
  <c r="AA23" i="17"/>
  <c r="AA119" i="17"/>
  <c r="AA56" i="17"/>
  <c r="AA122" i="17"/>
  <c r="AA43" i="17"/>
  <c r="AA35" i="17"/>
  <c r="AA28" i="17"/>
  <c r="AA36" i="17"/>
  <c r="AA91" i="17"/>
  <c r="AA134" i="17"/>
  <c r="AA93" i="17"/>
  <c r="AA126" i="17"/>
  <c r="AA16" i="17"/>
  <c r="AA70" i="17"/>
  <c r="AA62" i="17"/>
  <c r="AA129" i="17"/>
  <c r="AA116" i="17"/>
  <c r="AA115" i="17"/>
  <c r="AA44" i="17"/>
  <c r="AA13" i="17"/>
  <c r="AA138" i="17"/>
  <c r="AA131" i="17"/>
  <c r="AA63" i="17"/>
  <c r="AA108" i="17"/>
  <c r="AA85" i="17"/>
  <c r="AA128" i="17"/>
  <c r="AA89" i="17"/>
  <c r="AA81" i="17"/>
  <c r="AA96" i="17"/>
  <c r="AA64" i="17"/>
  <c r="AA54" i="17"/>
  <c r="AA41" i="17"/>
  <c r="AA9" i="17"/>
  <c r="AA51" i="17"/>
  <c r="AA120" i="17"/>
  <c r="AA58" i="17"/>
  <c r="AA124" i="17"/>
  <c r="AA11" i="17"/>
  <c r="AA14" i="17"/>
  <c r="AA92" i="17"/>
  <c r="AA27" i="17"/>
  <c r="AA114" i="17"/>
  <c r="AA82" i="17"/>
  <c r="AA34" i="17"/>
  <c r="AA57" i="17"/>
  <c r="AA8" i="17"/>
  <c r="AA117" i="17"/>
  <c r="AA40" i="17"/>
  <c r="AA53" i="17"/>
  <c r="AA69" i="17"/>
  <c r="AA139" i="17"/>
  <c r="AA38" i="17"/>
  <c r="AA140" i="17"/>
  <c r="AA109" i="17"/>
  <c r="AA77" i="17"/>
  <c r="AA75" i="17"/>
  <c r="AA137" i="17"/>
  <c r="AA55" i="17"/>
  <c r="AA24" i="17"/>
  <c r="AA123" i="17"/>
  <c r="AA111" i="17"/>
  <c r="AA79" i="17"/>
  <c r="AA84" i="17"/>
  <c r="AA86" i="17"/>
  <c r="AA87" i="17"/>
  <c r="AA98" i="17"/>
  <c r="AA45" i="17"/>
  <c r="AA68" i="17"/>
  <c r="AA113" i="17"/>
  <c r="AA39" i="17"/>
  <c r="AA95" i="17"/>
  <c r="AA94" i="17"/>
  <c r="AA125" i="17"/>
  <c r="AA32" i="17"/>
  <c r="AA99" i="17"/>
  <c r="AA49" i="17"/>
  <c r="AA30" i="17"/>
  <c r="AA46" i="17"/>
  <c r="AA127" i="17"/>
  <c r="AA10" i="17"/>
  <c r="AA31" i="17"/>
  <c r="AA76" i="17"/>
  <c r="AA106" i="17"/>
  <c r="AA20" i="17"/>
  <c r="AA42" i="17"/>
  <c r="AA83" i="17"/>
  <c r="AA26" i="17"/>
  <c r="AA60" i="17"/>
  <c r="AA47" i="17"/>
  <c r="AA50" i="17"/>
  <c r="AA67" i="17"/>
  <c r="AA135" i="17"/>
  <c r="O21" i="18"/>
  <c r="N21" i="18"/>
  <c r="O22" i="18"/>
  <c r="N22" i="18"/>
  <c r="N142" i="24"/>
  <c r="N15" i="18"/>
  <c r="L17" i="18"/>
  <c r="L16" i="18"/>
  <c r="R18" i="17" s="1"/>
  <c r="Q15" i="18"/>
  <c r="N14" i="18"/>
  <c r="AD141" i="17" l="1"/>
  <c r="AA141" i="17"/>
  <c r="M19" i="18"/>
  <c r="M18" i="18"/>
  <c r="U18" i="17" s="1"/>
  <c r="N11" i="18"/>
  <c r="L25" i="18"/>
  <c r="P11" i="18"/>
  <c r="O17" i="18"/>
  <c r="N17" i="18"/>
  <c r="O16" i="18"/>
  <c r="N16" i="18"/>
  <c r="X18" i="17" l="1"/>
  <c r="AR18" i="17" s="1"/>
  <c r="X6" i="17"/>
  <c r="AI18" i="24"/>
  <c r="BC24" i="25"/>
  <c r="N12" i="18"/>
  <c r="P12" i="18"/>
  <c r="O12" i="18"/>
  <c r="P13" i="18"/>
  <c r="O13" i="18"/>
  <c r="N13" i="18"/>
  <c r="N18" i="18"/>
  <c r="Q18" i="18"/>
  <c r="O18" i="18"/>
  <c r="Q19" i="18"/>
  <c r="O19" i="18"/>
  <c r="N19" i="18"/>
  <c r="AH23" i="25" l="1"/>
  <c r="AH6" i="25"/>
  <c r="AO6" i="25" s="1"/>
  <c r="AH22" i="25"/>
  <c r="AH10" i="25"/>
  <c r="AH9" i="25"/>
  <c r="AH12" i="25"/>
  <c r="AH20" i="25"/>
  <c r="AH14" i="25"/>
  <c r="AH7" i="25"/>
  <c r="AH15" i="25"/>
  <c r="AH21" i="25"/>
  <c r="AH16" i="25"/>
  <c r="AH18" i="25"/>
  <c r="AH19" i="25"/>
  <c r="AH13" i="25"/>
  <c r="AH8" i="25"/>
  <c r="AH11" i="25"/>
  <c r="AH17" i="25"/>
  <c r="F141" i="17"/>
  <c r="Q59" i="17"/>
  <c r="R59" i="17" s="1"/>
  <c r="N29" i="17"/>
  <c r="O29" i="17" s="1"/>
  <c r="W16" i="17"/>
  <c r="X16" i="17" s="1"/>
  <c r="B142" i="24"/>
  <c r="B141" i="17"/>
  <c r="AG12" i="25"/>
  <c r="AG18" i="25"/>
  <c r="V10" i="25"/>
  <c r="S13" i="25"/>
  <c r="V17" i="25"/>
  <c r="M21" i="25"/>
  <c r="P20" i="25"/>
  <c r="B22" i="25"/>
  <c r="V15" i="25"/>
  <c r="S20" i="25"/>
  <c r="S19" i="25"/>
  <c r="C23" i="25"/>
  <c r="B9" i="25"/>
  <c r="D11" i="25"/>
  <c r="M17" i="25"/>
  <c r="S23" i="25"/>
  <c r="M7" i="25"/>
  <c r="V18" i="25"/>
  <c r="S12" i="25"/>
  <c r="S9" i="25"/>
  <c r="E10" i="25"/>
  <c r="P11" i="25"/>
  <c r="D19" i="25"/>
  <c r="C12" i="25"/>
  <c r="M9" i="25"/>
  <c r="S7" i="25"/>
  <c r="F11" i="25"/>
  <c r="B13" i="25"/>
  <c r="E13" i="25"/>
  <c r="P18" i="25"/>
  <c r="C21" i="25"/>
  <c r="D7" i="25"/>
  <c r="B15" i="25"/>
  <c r="D12" i="25"/>
  <c r="S16" i="25"/>
  <c r="M15" i="25"/>
  <c r="M13" i="25"/>
  <c r="S15" i="25"/>
  <c r="F20" i="25"/>
  <c r="P13" i="25"/>
  <c r="P12" i="25"/>
  <c r="D15" i="25"/>
  <c r="C16" i="25"/>
  <c r="E14" i="25"/>
  <c r="S10" i="25"/>
  <c r="M14" i="25"/>
  <c r="D8" i="25"/>
  <c r="B23" i="25"/>
  <c r="E23" i="25"/>
  <c r="E19" i="25"/>
  <c r="B14" i="25"/>
  <c r="D22" i="25"/>
  <c r="F19" i="25"/>
  <c r="P23" i="25"/>
  <c r="V11" i="25"/>
  <c r="V16" i="25"/>
  <c r="D18" i="25"/>
  <c r="E7" i="25"/>
  <c r="P15" i="25"/>
  <c r="M20" i="25"/>
  <c r="F17" i="25"/>
  <c r="S18" i="25"/>
  <c r="M19" i="25"/>
  <c r="M18" i="25"/>
  <c r="P8" i="25"/>
  <c r="B19" i="25"/>
  <c r="B16" i="25"/>
  <c r="C19" i="25"/>
  <c r="C15" i="25"/>
  <c r="B20" i="25"/>
  <c r="C9" i="25"/>
  <c r="F14" i="25"/>
  <c r="P22" i="25"/>
  <c r="V22" i="25"/>
  <c r="E22" i="25"/>
  <c r="F8" i="25"/>
  <c r="E17" i="25"/>
  <c r="E15" i="25"/>
  <c r="V19" i="25"/>
  <c r="F22" i="25"/>
  <c r="B10" i="25"/>
  <c r="E16" i="25"/>
  <c r="F9" i="25"/>
  <c r="M16" i="25"/>
  <c r="C7" i="25"/>
  <c r="P19" i="25"/>
  <c r="C8" i="25"/>
  <c r="V7" i="25"/>
  <c r="V12" i="25"/>
  <c r="M23" i="25"/>
  <c r="S11" i="25"/>
  <c r="V23" i="25"/>
  <c r="B8" i="25"/>
  <c r="E20" i="25"/>
  <c r="V9" i="25"/>
  <c r="P9" i="25"/>
  <c r="D13" i="25"/>
  <c r="M8" i="25"/>
  <c r="D14" i="25"/>
  <c r="E11" i="25"/>
  <c r="C10" i="25"/>
  <c r="B11" i="25"/>
  <c r="D17" i="25"/>
  <c r="V21" i="25"/>
  <c r="C22" i="25"/>
  <c r="S14" i="25"/>
  <c r="B17" i="25"/>
  <c r="E21" i="25"/>
  <c r="F16" i="25"/>
  <c r="F15" i="25"/>
  <c r="C11" i="25"/>
  <c r="F21" i="25"/>
  <c r="F7" i="25"/>
  <c r="V14" i="25"/>
  <c r="F23" i="25"/>
  <c r="B21" i="25"/>
  <c r="C14" i="25"/>
  <c r="F12" i="25"/>
  <c r="S22" i="25"/>
  <c r="F13" i="25"/>
  <c r="B7" i="25"/>
  <c r="C18" i="25"/>
  <c r="D16" i="25"/>
  <c r="S8" i="25"/>
  <c r="M12" i="25"/>
  <c r="M10" i="25"/>
  <c r="D9" i="25"/>
  <c r="D20" i="25"/>
  <c r="E18" i="25"/>
  <c r="B12" i="25"/>
  <c r="E8" i="25"/>
  <c r="P21" i="25"/>
  <c r="P14" i="25"/>
  <c r="E12" i="25"/>
  <c r="M22" i="25"/>
  <c r="C13" i="25"/>
  <c r="D21" i="25"/>
  <c r="S17" i="25"/>
  <c r="C20" i="25"/>
  <c r="F18" i="25"/>
  <c r="S21" i="25"/>
  <c r="D23" i="25"/>
  <c r="E9" i="25"/>
  <c r="C17" i="25"/>
  <c r="M11" i="25"/>
  <c r="V8" i="25"/>
  <c r="V13" i="25"/>
  <c r="P17" i="25"/>
  <c r="V20" i="25"/>
  <c r="P16" i="25"/>
  <c r="D10" i="25"/>
  <c r="F10" i="25"/>
  <c r="P7" i="25"/>
  <c r="P10" i="25"/>
  <c r="B18" i="25"/>
  <c r="AG11" i="25"/>
  <c r="AG13" i="25"/>
  <c r="AG20" i="25"/>
  <c r="B6" i="25"/>
  <c r="AG14" i="25"/>
  <c r="AG9" i="25"/>
  <c r="AG23" i="25"/>
  <c r="M6" i="25"/>
  <c r="F6" i="25"/>
  <c r="P6" i="25"/>
  <c r="AG21" i="25"/>
  <c r="AG8" i="25"/>
  <c r="AG22" i="25"/>
  <c r="C6" i="25"/>
  <c r="D6" i="25"/>
  <c r="E6" i="25"/>
  <c r="AG16" i="25"/>
  <c r="S6" i="25"/>
  <c r="AG10" i="25"/>
  <c r="AG17" i="25"/>
  <c r="AG19" i="25"/>
  <c r="AG15" i="25"/>
  <c r="AG7" i="25"/>
  <c r="AO8" i="25" l="1"/>
  <c r="AO18" i="25"/>
  <c r="AO9" i="25"/>
  <c r="AO13" i="25"/>
  <c r="AO20" i="25"/>
  <c r="AO14" i="25"/>
  <c r="AO19" i="25"/>
  <c r="AO12" i="25"/>
  <c r="AO16" i="25"/>
  <c r="AO10" i="25"/>
  <c r="AO21" i="25"/>
  <c r="AO22" i="25"/>
  <c r="AO17" i="25"/>
  <c r="AO15" i="25"/>
  <c r="AO11" i="25"/>
  <c r="AO7" i="25"/>
  <c r="AO23" i="25"/>
  <c r="N37" i="17"/>
  <c r="Q39" i="17"/>
  <c r="R39" i="17" s="1"/>
  <c r="Q137" i="17"/>
  <c r="R137" i="17" s="1"/>
  <c r="N104" i="17"/>
  <c r="O104" i="17" s="1"/>
  <c r="N116" i="17"/>
  <c r="N108" i="17"/>
  <c r="N30" i="17"/>
  <c r="N10" i="17"/>
  <c r="N38" i="17"/>
  <c r="N24" i="17"/>
  <c r="N82" i="17"/>
  <c r="N12" i="17"/>
  <c r="O12" i="17" s="1"/>
  <c r="T98" i="17"/>
  <c r="U98" i="17" s="1"/>
  <c r="T136" i="17"/>
  <c r="U136" i="17" s="1"/>
  <c r="T102" i="17"/>
  <c r="U102" i="17" s="1"/>
  <c r="T137" i="17"/>
  <c r="U137" i="17" s="1"/>
  <c r="Q138" i="17"/>
  <c r="R138" i="17" s="1"/>
  <c r="Q125" i="17"/>
  <c r="R125" i="17" s="1"/>
  <c r="T85" i="17"/>
  <c r="U85" i="17" s="1"/>
  <c r="T36" i="17"/>
  <c r="U36" i="17" s="1"/>
  <c r="Q92" i="17"/>
  <c r="R92" i="17" s="1"/>
  <c r="T129" i="17"/>
  <c r="U129" i="17" s="1"/>
  <c r="Q47" i="17"/>
  <c r="R47" i="17" s="1"/>
  <c r="N84" i="17"/>
  <c r="T134" i="17"/>
  <c r="U134" i="17" s="1"/>
  <c r="T60" i="17"/>
  <c r="U60" i="17" s="1"/>
  <c r="Q109" i="17"/>
  <c r="R109" i="17" s="1"/>
  <c r="T41" i="17"/>
  <c r="U41" i="17" s="1"/>
  <c r="T57" i="17"/>
  <c r="U57" i="17" s="1"/>
  <c r="T81" i="17"/>
  <c r="U81" i="17" s="1"/>
  <c r="Q97" i="17"/>
  <c r="R97" i="17" s="1"/>
  <c r="Q84" i="17"/>
  <c r="R84" i="17" s="1"/>
  <c r="T74" i="17"/>
  <c r="U74" i="17" s="1"/>
  <c r="Q103" i="17"/>
  <c r="R103" i="17" s="1"/>
  <c r="T20" i="17"/>
  <c r="U20" i="17" s="1"/>
  <c r="Q87" i="17"/>
  <c r="R87" i="17" s="1"/>
  <c r="Q86" i="17"/>
  <c r="R86" i="17" s="1"/>
  <c r="T82" i="17"/>
  <c r="U82" i="17" s="1"/>
  <c r="T62" i="17"/>
  <c r="U62" i="17" s="1"/>
  <c r="Q63" i="17"/>
  <c r="R63" i="17" s="1"/>
  <c r="Q48" i="17"/>
  <c r="R48" i="17" s="1"/>
  <c r="Q50" i="17"/>
  <c r="R50" i="17" s="1"/>
  <c r="T54" i="17"/>
  <c r="U54" i="17" s="1"/>
  <c r="T13" i="17"/>
  <c r="U13" i="17" s="1"/>
  <c r="T29" i="17"/>
  <c r="U29" i="17" s="1"/>
  <c r="T12" i="17"/>
  <c r="U12" i="17" s="1"/>
  <c r="T124" i="17"/>
  <c r="U124" i="17" s="1"/>
  <c r="T11" i="17"/>
  <c r="U11" i="17" s="1"/>
  <c r="T21" i="17"/>
  <c r="U21" i="17" s="1"/>
  <c r="Q25" i="17"/>
  <c r="R25" i="17" s="1"/>
  <c r="T97" i="17"/>
  <c r="U97" i="17" s="1"/>
  <c r="T128" i="17"/>
  <c r="U128" i="17" s="1"/>
  <c r="T80" i="17"/>
  <c r="U80" i="17" s="1"/>
  <c r="T86" i="17"/>
  <c r="U86" i="17" s="1"/>
  <c r="T27" i="17"/>
  <c r="U27" i="17" s="1"/>
  <c r="Q80" i="17"/>
  <c r="R80" i="17" s="1"/>
  <c r="Q32" i="17"/>
  <c r="R32" i="17" s="1"/>
  <c r="Q6" i="17"/>
  <c r="R6" i="17" s="1"/>
  <c r="Q88" i="17"/>
  <c r="R88" i="17" s="1"/>
  <c r="Q124" i="17"/>
  <c r="R124" i="17" s="1"/>
  <c r="T17" i="17"/>
  <c r="U17" i="17" s="1"/>
  <c r="T34" i="17"/>
  <c r="U34" i="17" s="1"/>
  <c r="T125" i="17"/>
  <c r="U125" i="17" s="1"/>
  <c r="T114" i="17"/>
  <c r="U114" i="17" s="1"/>
  <c r="T67" i="17"/>
  <c r="U67" i="17" s="1"/>
  <c r="T130" i="17"/>
  <c r="U130" i="17" s="1"/>
  <c r="Q26" i="17"/>
  <c r="R26" i="17" s="1"/>
  <c r="Q69" i="17"/>
  <c r="R69" i="17" s="1"/>
  <c r="T133" i="17"/>
  <c r="U133" i="17" s="1"/>
  <c r="T50" i="17"/>
  <c r="U50" i="17" s="1"/>
  <c r="T123" i="17"/>
  <c r="U123" i="17" s="1"/>
  <c r="T66" i="17"/>
  <c r="U66" i="17" s="1"/>
  <c r="T72" i="17"/>
  <c r="U72" i="17" s="1"/>
  <c r="Q78" i="17"/>
  <c r="R78" i="17" s="1"/>
  <c r="Q96" i="17"/>
  <c r="R96" i="17" s="1"/>
  <c r="Q81" i="17"/>
  <c r="R81" i="17" s="1"/>
  <c r="Q76" i="17"/>
  <c r="R76" i="17" s="1"/>
  <c r="Q101" i="17"/>
  <c r="R101" i="17" s="1"/>
  <c r="Q12" i="17"/>
  <c r="R12" i="17" s="1"/>
  <c r="N61" i="17"/>
  <c r="N90" i="17"/>
  <c r="N74" i="17"/>
  <c r="N122" i="17"/>
  <c r="N131" i="17"/>
  <c r="N8" i="17"/>
  <c r="N26" i="17"/>
  <c r="N46" i="17"/>
  <c r="N106" i="17"/>
  <c r="N86" i="17"/>
  <c r="N55" i="17"/>
  <c r="N36" i="17"/>
  <c r="N70" i="17"/>
  <c r="N54" i="17"/>
  <c r="N7" i="17"/>
  <c r="N11" i="17"/>
  <c r="N83" i="17"/>
  <c r="N31" i="17"/>
  <c r="N124" i="17"/>
  <c r="N41" i="17"/>
  <c r="N103" i="17"/>
  <c r="N60" i="17"/>
  <c r="N25" i="17"/>
  <c r="N94" i="17"/>
  <c r="N89" i="17"/>
  <c r="N88" i="17"/>
  <c r="N9" i="17"/>
  <c r="N80" i="17"/>
  <c r="N95" i="17"/>
  <c r="N91" i="17"/>
  <c r="N99" i="17"/>
  <c r="N48" i="17"/>
  <c r="N112" i="17"/>
  <c r="N140" i="17"/>
  <c r="N75" i="17"/>
  <c r="N32" i="17"/>
  <c r="N136" i="17"/>
  <c r="N67" i="17"/>
  <c r="N6" i="17"/>
  <c r="T111" i="17"/>
  <c r="U111" i="17" s="1"/>
  <c r="T110" i="17"/>
  <c r="U110" i="17" s="1"/>
  <c r="T88" i="17"/>
  <c r="U88" i="17" s="1"/>
  <c r="T76" i="17"/>
  <c r="U76" i="17" s="1"/>
  <c r="T84" i="17"/>
  <c r="U84" i="17" s="1"/>
  <c r="T78" i="17"/>
  <c r="U78" i="17" s="1"/>
  <c r="Q128" i="17"/>
  <c r="R128" i="17" s="1"/>
  <c r="Q52" i="17"/>
  <c r="R52" i="17" s="1"/>
  <c r="Q105" i="17"/>
  <c r="R105" i="17" s="1"/>
  <c r="T56" i="17"/>
  <c r="U56" i="17" s="1"/>
  <c r="T127" i="17"/>
  <c r="U127" i="17" s="1"/>
  <c r="T83" i="17"/>
  <c r="U83" i="17" s="1"/>
  <c r="T131" i="17"/>
  <c r="U131" i="17" s="1"/>
  <c r="T108" i="17"/>
  <c r="U108" i="17" s="1"/>
  <c r="T101" i="17"/>
  <c r="U101" i="17" s="1"/>
  <c r="Q99" i="17"/>
  <c r="R99" i="17" s="1"/>
  <c r="Q114" i="17"/>
  <c r="R114" i="17" s="1"/>
  <c r="Q9" i="17"/>
  <c r="R9" i="17" s="1"/>
  <c r="Q90" i="17"/>
  <c r="R90" i="17" s="1"/>
  <c r="Q112" i="17"/>
  <c r="R112" i="17" s="1"/>
  <c r="T77" i="17"/>
  <c r="U77" i="17" s="1"/>
  <c r="AH24" i="25"/>
  <c r="S24" i="25"/>
  <c r="AN24" i="25"/>
  <c r="C24" i="25"/>
  <c r="M24" i="25"/>
  <c r="AK24" i="25"/>
  <c r="B24" i="25"/>
  <c r="P24" i="25"/>
  <c r="AJ24" i="25"/>
  <c r="AG24" i="25"/>
  <c r="E24" i="25"/>
  <c r="D24" i="25"/>
  <c r="F24" i="25"/>
  <c r="AI24" i="25"/>
  <c r="V24" i="25"/>
  <c r="T40" i="17"/>
  <c r="U40" i="17" s="1"/>
  <c r="T55" i="17"/>
  <c r="U55" i="17" s="1"/>
  <c r="T44" i="17"/>
  <c r="U44" i="17" s="1"/>
  <c r="T112" i="17"/>
  <c r="U112" i="17" s="1"/>
  <c r="T52" i="17"/>
  <c r="U52" i="17" s="1"/>
  <c r="T33" i="17"/>
  <c r="U33" i="17" s="1"/>
  <c r="T106" i="17"/>
  <c r="U106" i="17" s="1"/>
  <c r="T37" i="17"/>
  <c r="U37" i="17" s="1"/>
  <c r="T22" i="17"/>
  <c r="U22" i="17" s="1"/>
  <c r="T51" i="17"/>
  <c r="U51" i="17" s="1"/>
  <c r="T113" i="17"/>
  <c r="U113" i="17" s="1"/>
  <c r="T31" i="17"/>
  <c r="U31" i="17" s="1"/>
  <c r="T99" i="17"/>
  <c r="U99" i="17" s="1"/>
  <c r="T95" i="17"/>
  <c r="U95" i="17" s="1"/>
  <c r="T93" i="17"/>
  <c r="U93" i="17" s="1"/>
  <c r="T121" i="17"/>
  <c r="U121" i="17" s="1"/>
  <c r="T59" i="17"/>
  <c r="U59" i="17" s="1"/>
  <c r="T117" i="17"/>
  <c r="U117" i="17" s="1"/>
  <c r="T23" i="17"/>
  <c r="U23" i="17" s="1"/>
  <c r="T45" i="17"/>
  <c r="U45" i="17" s="1"/>
  <c r="T46" i="17"/>
  <c r="U46" i="17" s="1"/>
  <c r="T58" i="17"/>
  <c r="U58" i="17" s="1"/>
  <c r="T87" i="17"/>
  <c r="U87" i="17" s="1"/>
  <c r="T104" i="17"/>
  <c r="U104" i="17" s="1"/>
  <c r="T16" i="17"/>
  <c r="U16" i="17" s="1"/>
  <c r="T118" i="17"/>
  <c r="U118" i="17" s="1"/>
  <c r="T139" i="17"/>
  <c r="U139" i="17" s="1"/>
  <c r="T43" i="17"/>
  <c r="U43" i="17" s="1"/>
  <c r="T138" i="17"/>
  <c r="U138" i="17" s="1"/>
  <c r="T126" i="17"/>
  <c r="U126" i="17" s="1"/>
  <c r="T92" i="17"/>
  <c r="U92" i="17" s="1"/>
  <c r="T26" i="17"/>
  <c r="U26" i="17" s="1"/>
  <c r="T48" i="17"/>
  <c r="U48" i="17" s="1"/>
  <c r="T122" i="17"/>
  <c r="U122" i="17" s="1"/>
  <c r="T140" i="17"/>
  <c r="U140" i="17" s="1"/>
  <c r="T15" i="17"/>
  <c r="U15" i="17" s="1"/>
  <c r="T8" i="17"/>
  <c r="U8" i="17" s="1"/>
  <c r="T109" i="17"/>
  <c r="U109" i="17" s="1"/>
  <c r="T89" i="17"/>
  <c r="U89" i="17" s="1"/>
  <c r="T105" i="17"/>
  <c r="U105" i="17" s="1"/>
  <c r="T32" i="17"/>
  <c r="U32" i="17" s="1"/>
  <c r="T71" i="17"/>
  <c r="U71" i="17" s="1"/>
  <c r="T96" i="17"/>
  <c r="U96" i="17" s="1"/>
  <c r="T70" i="17"/>
  <c r="U70" i="17" s="1"/>
  <c r="T49" i="17"/>
  <c r="U49" i="17" s="1"/>
  <c r="T24" i="17"/>
  <c r="U24" i="17" s="1"/>
  <c r="T132" i="17"/>
  <c r="U132" i="17" s="1"/>
  <c r="T73" i="17"/>
  <c r="U73" i="17" s="1"/>
  <c r="T35" i="17"/>
  <c r="U35" i="17" s="1"/>
  <c r="T53" i="17"/>
  <c r="U53" i="17" s="1"/>
  <c r="T100" i="17"/>
  <c r="U100" i="17" s="1"/>
  <c r="T39" i="17"/>
  <c r="U39" i="17" s="1"/>
  <c r="T47" i="17"/>
  <c r="U47" i="17" s="1"/>
  <c r="T10" i="17"/>
  <c r="U10" i="17" s="1"/>
  <c r="T79" i="17"/>
  <c r="U79" i="17" s="1"/>
  <c r="T69" i="17"/>
  <c r="U69" i="17" s="1"/>
  <c r="T14" i="17"/>
  <c r="U14" i="17" s="1"/>
  <c r="T120" i="17"/>
  <c r="U120" i="17" s="1"/>
  <c r="T65" i="17"/>
  <c r="U65" i="17" s="1"/>
  <c r="T6" i="17"/>
  <c r="U6" i="17" s="1"/>
  <c r="T38" i="17"/>
  <c r="U38" i="17" s="1"/>
  <c r="T135" i="17"/>
  <c r="U135" i="17" s="1"/>
  <c r="T107" i="17"/>
  <c r="U107" i="17" s="1"/>
  <c r="T68" i="17"/>
  <c r="U68" i="17" s="1"/>
  <c r="T94" i="17"/>
  <c r="U94" i="17" s="1"/>
  <c r="T119" i="17"/>
  <c r="U119" i="17" s="1"/>
  <c r="T63" i="17"/>
  <c r="U63" i="17" s="1"/>
  <c r="T90" i="17"/>
  <c r="U90" i="17" s="1"/>
  <c r="T30" i="17"/>
  <c r="U30" i="17" s="1"/>
  <c r="T103" i="17"/>
  <c r="U103" i="17" s="1"/>
  <c r="T28" i="17"/>
  <c r="U28" i="17" s="1"/>
  <c r="T7" i="17"/>
  <c r="U7" i="17" s="1"/>
  <c r="T9" i="17"/>
  <c r="U9" i="17" s="1"/>
  <c r="T64" i="17"/>
  <c r="U64" i="17" s="1"/>
  <c r="T75" i="17"/>
  <c r="U75" i="17" s="1"/>
  <c r="T61" i="17"/>
  <c r="U61" i="17" s="1"/>
  <c r="T91" i="17"/>
  <c r="U91" i="17" s="1"/>
  <c r="T116" i="17"/>
  <c r="U116" i="17" s="1"/>
  <c r="T42" i="17"/>
  <c r="U42" i="17" s="1"/>
  <c r="T25" i="17"/>
  <c r="U25" i="17" s="1"/>
  <c r="T19" i="17"/>
  <c r="U19" i="17" s="1"/>
  <c r="T115" i="17"/>
  <c r="U115" i="17" s="1"/>
  <c r="N42" i="17"/>
  <c r="N13" i="17"/>
  <c r="N65" i="17"/>
  <c r="N58" i="17"/>
  <c r="N47" i="17"/>
  <c r="N109" i="17"/>
  <c r="N96" i="17"/>
  <c r="N53" i="17"/>
  <c r="N114" i="17"/>
  <c r="N105" i="17"/>
  <c r="N51" i="17"/>
  <c r="N21" i="17"/>
  <c r="N125" i="17"/>
  <c r="N16" i="17"/>
  <c r="N69" i="17"/>
  <c r="N121" i="17"/>
  <c r="W72" i="17"/>
  <c r="X72" i="17" s="1"/>
  <c r="Q75" i="17"/>
  <c r="R75" i="17" s="1"/>
  <c r="W13" i="17"/>
  <c r="X13" i="17" s="1"/>
  <c r="W34" i="17"/>
  <c r="X34" i="17" s="1"/>
  <c r="W64" i="17"/>
  <c r="X64" i="17" s="1"/>
  <c r="W51" i="17"/>
  <c r="X51" i="17" s="1"/>
  <c r="W102" i="17"/>
  <c r="X102" i="17" s="1"/>
  <c r="N64" i="17"/>
  <c r="N50" i="17"/>
  <c r="N73" i="17"/>
  <c r="Q83" i="17"/>
  <c r="R83" i="17" s="1"/>
  <c r="N81" i="17"/>
  <c r="N57" i="17"/>
  <c r="N102" i="17"/>
  <c r="N56" i="17"/>
  <c r="N129" i="17"/>
  <c r="N137" i="17"/>
  <c r="N68" i="17"/>
  <c r="N87" i="17"/>
  <c r="N62" i="17"/>
  <c r="Q129" i="17"/>
  <c r="R129" i="17" s="1"/>
  <c r="W93" i="17"/>
  <c r="X93" i="17" s="1"/>
  <c r="W15" i="17"/>
  <c r="X15" i="17" s="1"/>
  <c r="N20" i="17"/>
  <c r="N134" i="17"/>
  <c r="N59" i="17"/>
  <c r="N28" i="17"/>
  <c r="N111" i="17"/>
  <c r="N133" i="17"/>
  <c r="N23" i="17"/>
  <c r="N63" i="17"/>
  <c r="N118" i="17"/>
  <c r="N101" i="17"/>
  <c r="Q98" i="17"/>
  <c r="R98" i="17" s="1"/>
  <c r="Q35" i="17"/>
  <c r="R35" i="17" s="1"/>
  <c r="Q51" i="17"/>
  <c r="R51" i="17" s="1"/>
  <c r="Q72" i="17"/>
  <c r="R72" i="17" s="1"/>
  <c r="N72" i="17"/>
  <c r="N71" i="17"/>
  <c r="N98" i="17"/>
  <c r="N115" i="17"/>
  <c r="N100" i="17"/>
  <c r="N117" i="17"/>
  <c r="N14" i="17"/>
  <c r="N138" i="17"/>
  <c r="N128" i="17"/>
  <c r="N120" i="17"/>
  <c r="N130" i="17"/>
  <c r="N22" i="17"/>
  <c r="N97" i="17"/>
  <c r="N66" i="17"/>
  <c r="N139" i="17"/>
  <c r="N40" i="17"/>
  <c r="N44" i="17"/>
  <c r="N34" i="17"/>
  <c r="N45" i="17"/>
  <c r="N77" i="17"/>
  <c r="W40" i="17"/>
  <c r="X40" i="17" s="1"/>
  <c r="W91" i="17"/>
  <c r="X91" i="17" s="1"/>
  <c r="W10" i="17"/>
  <c r="X10" i="17" s="1"/>
  <c r="Q43" i="17"/>
  <c r="R43" i="17" s="1"/>
  <c r="N79" i="17"/>
  <c r="O79" i="17" s="1"/>
  <c r="N33" i="17"/>
  <c r="O33" i="17" s="1"/>
  <c r="N39" i="17"/>
  <c r="N78" i="17"/>
  <c r="N107" i="17"/>
  <c r="N15" i="17"/>
  <c r="N93" i="17"/>
  <c r="N35" i="17"/>
  <c r="N127" i="17"/>
  <c r="N119" i="17"/>
  <c r="N76" i="17"/>
  <c r="N110" i="17"/>
  <c r="N92" i="17"/>
  <c r="N43" i="17"/>
  <c r="N19" i="17"/>
  <c r="N123" i="17"/>
  <c r="N85" i="17"/>
  <c r="N27" i="17"/>
  <c r="N113" i="17"/>
  <c r="N126" i="17"/>
  <c r="N49" i="17"/>
  <c r="N135" i="17"/>
  <c r="N17" i="17"/>
  <c r="N52" i="17"/>
  <c r="N132" i="17"/>
  <c r="W22" i="17"/>
  <c r="X22" i="17" s="1"/>
  <c r="W101" i="17"/>
  <c r="X101" i="17" s="1"/>
  <c r="W19" i="17"/>
  <c r="X19" i="17" s="1"/>
  <c r="W87" i="17"/>
  <c r="X87" i="17" s="1"/>
  <c r="W111" i="17"/>
  <c r="X111" i="17" s="1"/>
  <c r="W69" i="17"/>
  <c r="X69" i="17" s="1"/>
  <c r="W139" i="17"/>
  <c r="X139" i="17" s="1"/>
  <c r="W27" i="17"/>
  <c r="X27" i="17" s="1"/>
  <c r="W17" i="17"/>
  <c r="X17" i="17" s="1"/>
  <c r="W123" i="17"/>
  <c r="X123" i="17" s="1"/>
  <c r="W63" i="17"/>
  <c r="X63" i="17" s="1"/>
  <c r="W83" i="17"/>
  <c r="X83" i="17" s="1"/>
  <c r="W113" i="17"/>
  <c r="X113" i="17" s="1"/>
  <c r="W84" i="17"/>
  <c r="X84" i="17" s="1"/>
  <c r="W128" i="17"/>
  <c r="X128" i="17" s="1"/>
  <c r="W77" i="17"/>
  <c r="X77" i="17" s="1"/>
  <c r="W24" i="17"/>
  <c r="X24" i="17" s="1"/>
  <c r="W55" i="17"/>
  <c r="X55" i="17" s="1"/>
  <c r="W133" i="17"/>
  <c r="X133" i="17" s="1"/>
  <c r="W38" i="17"/>
  <c r="X38" i="17" s="1"/>
  <c r="W73" i="17"/>
  <c r="X73" i="17" s="1"/>
  <c r="W116" i="17"/>
  <c r="X116" i="17" s="1"/>
  <c r="W124" i="17"/>
  <c r="X124" i="17" s="1"/>
  <c r="W48" i="17"/>
  <c r="X48" i="17" s="1"/>
  <c r="W54" i="17"/>
  <c r="X54" i="17" s="1"/>
  <c r="W28" i="17"/>
  <c r="X28" i="17" s="1"/>
  <c r="W35" i="17"/>
  <c r="X35" i="17" s="1"/>
  <c r="W108" i="17"/>
  <c r="X108" i="17" s="1"/>
  <c r="W103" i="17"/>
  <c r="X103" i="17" s="1"/>
  <c r="W42" i="17"/>
  <c r="X42" i="17" s="1"/>
  <c r="W21" i="17"/>
  <c r="X21" i="17" s="1"/>
  <c r="W9" i="17"/>
  <c r="X9" i="17" s="1"/>
  <c r="W57" i="17"/>
  <c r="X57" i="17" s="1"/>
  <c r="W96" i="17"/>
  <c r="X96" i="17" s="1"/>
  <c r="W44" i="17"/>
  <c r="X44" i="17" s="1"/>
  <c r="W135" i="17"/>
  <c r="X135" i="17" s="1"/>
  <c r="W90" i="17"/>
  <c r="X90" i="17" s="1"/>
  <c r="W75" i="17"/>
  <c r="X75" i="17" s="1"/>
  <c r="W86" i="17"/>
  <c r="X86" i="17" s="1"/>
  <c r="W112" i="17"/>
  <c r="X112" i="17" s="1"/>
  <c r="W60" i="17"/>
  <c r="X60" i="17" s="1"/>
  <c r="W138" i="17"/>
  <c r="X138" i="17" s="1"/>
  <c r="W129" i="17"/>
  <c r="X129" i="17" s="1"/>
  <c r="W20" i="17"/>
  <c r="X20" i="17" s="1"/>
  <c r="W71" i="17"/>
  <c r="X71" i="17" s="1"/>
  <c r="W127" i="17"/>
  <c r="X127" i="17" s="1"/>
  <c r="W122" i="17"/>
  <c r="X122" i="17" s="1"/>
  <c r="W89" i="17"/>
  <c r="X89" i="17" s="1"/>
  <c r="W140" i="17"/>
  <c r="X140" i="17" s="1"/>
  <c r="W41" i="17"/>
  <c r="X41" i="17" s="1"/>
  <c r="W92" i="17"/>
  <c r="X92" i="17" s="1"/>
  <c r="W121" i="17"/>
  <c r="X121" i="17" s="1"/>
  <c r="W78" i="17"/>
  <c r="X78" i="17" s="1"/>
  <c r="W99" i="17"/>
  <c r="X99" i="17" s="1"/>
  <c r="W120" i="17"/>
  <c r="X120" i="17" s="1"/>
  <c r="W67" i="17"/>
  <c r="X67" i="17" s="1"/>
  <c r="W68" i="17"/>
  <c r="X68" i="17" s="1"/>
  <c r="W12" i="17"/>
  <c r="X12" i="17" s="1"/>
  <c r="W131" i="17"/>
  <c r="X131" i="17" s="1"/>
  <c r="W26" i="17"/>
  <c r="X26" i="17" s="1"/>
  <c r="W56" i="17"/>
  <c r="X56" i="17" s="1"/>
  <c r="W82" i="17"/>
  <c r="X82" i="17" s="1"/>
  <c r="W7" i="17"/>
  <c r="X7" i="17" s="1"/>
  <c r="W50" i="17"/>
  <c r="X50" i="17" s="1"/>
  <c r="W94" i="17"/>
  <c r="X94" i="17" s="1"/>
  <c r="W30" i="17"/>
  <c r="X30" i="17" s="1"/>
  <c r="W80" i="17"/>
  <c r="X80" i="17" s="1"/>
  <c r="Q115" i="17"/>
  <c r="R115" i="17" s="1"/>
  <c r="Q119" i="17"/>
  <c r="R119" i="17" s="1"/>
  <c r="Q91" i="17"/>
  <c r="R91" i="17" s="1"/>
  <c r="Q64" i="17"/>
  <c r="R64" i="17" s="1"/>
  <c r="Q117" i="17"/>
  <c r="R117" i="17" s="1"/>
  <c r="Q126" i="17"/>
  <c r="R126" i="17" s="1"/>
  <c r="Q122" i="17"/>
  <c r="R122" i="17" s="1"/>
  <c r="Q118" i="17"/>
  <c r="R118" i="17" s="1"/>
  <c r="Q10" i="17"/>
  <c r="R10" i="17" s="1"/>
  <c r="Q15" i="17"/>
  <c r="R15" i="17" s="1"/>
  <c r="Q82" i="17"/>
  <c r="R82" i="17" s="1"/>
  <c r="Q29" i="17"/>
  <c r="R29" i="17" s="1"/>
  <c r="Q104" i="17"/>
  <c r="R104" i="17" s="1"/>
  <c r="Q61" i="17"/>
  <c r="R61" i="17" s="1"/>
  <c r="Q132" i="17"/>
  <c r="R132" i="17" s="1"/>
  <c r="Q70" i="17"/>
  <c r="R70" i="17" s="1"/>
  <c r="Q100" i="17"/>
  <c r="R100" i="17" s="1"/>
  <c r="Q13" i="17"/>
  <c r="R13" i="17" s="1"/>
  <c r="Q94" i="17"/>
  <c r="R94" i="17" s="1"/>
  <c r="Q106" i="17"/>
  <c r="R106" i="17" s="1"/>
  <c r="Q107" i="17"/>
  <c r="R107" i="17" s="1"/>
  <c r="Q79" i="17"/>
  <c r="R79" i="17" s="1"/>
  <c r="Q19" i="17"/>
  <c r="R19" i="17" s="1"/>
  <c r="Q44" i="17"/>
  <c r="R44" i="17" s="1"/>
  <c r="Q68" i="17"/>
  <c r="R68" i="17" s="1"/>
  <c r="Q85" i="17"/>
  <c r="R85" i="17" s="1"/>
  <c r="Q36" i="17"/>
  <c r="R36" i="17" s="1"/>
  <c r="Q14" i="17"/>
  <c r="R14" i="17" s="1"/>
  <c r="Q89" i="17"/>
  <c r="R89" i="17" s="1"/>
  <c r="Q40" i="17"/>
  <c r="R40" i="17" s="1"/>
  <c r="Q34" i="17"/>
  <c r="R34" i="17" s="1"/>
  <c r="Q16" i="17"/>
  <c r="R16" i="17" s="1"/>
  <c r="Q55" i="17"/>
  <c r="R55" i="17" s="1"/>
  <c r="Q8" i="17"/>
  <c r="R8" i="17" s="1"/>
  <c r="Q11" i="17"/>
  <c r="R11" i="17" s="1"/>
  <c r="Q31" i="17"/>
  <c r="R31" i="17" s="1"/>
  <c r="Q134" i="17"/>
  <c r="R134" i="17" s="1"/>
  <c r="Q139" i="17"/>
  <c r="R139" i="17" s="1"/>
  <c r="Q38" i="17"/>
  <c r="R38" i="17" s="1"/>
  <c r="Q17" i="17"/>
  <c r="R17" i="17" s="1"/>
  <c r="Q21" i="17"/>
  <c r="R21" i="17" s="1"/>
  <c r="Q136" i="17"/>
  <c r="R136" i="17" s="1"/>
  <c r="Q121" i="17"/>
  <c r="R121" i="17" s="1"/>
  <c r="Q28" i="17"/>
  <c r="R28" i="17" s="1"/>
  <c r="Q49" i="17"/>
  <c r="R49" i="17" s="1"/>
  <c r="Q27" i="17"/>
  <c r="R27" i="17" s="1"/>
  <c r="Q71" i="17"/>
  <c r="R71" i="17" s="1"/>
  <c r="Q53" i="17"/>
  <c r="R53" i="17" s="1"/>
  <c r="Q67" i="17"/>
  <c r="R67" i="17" s="1"/>
  <c r="Q93" i="17"/>
  <c r="R93" i="17" s="1"/>
  <c r="Q33" i="17"/>
  <c r="R33" i="17" s="1"/>
  <c r="Q77" i="17"/>
  <c r="R77" i="17" s="1"/>
  <c r="Q127" i="17"/>
  <c r="R127" i="17" s="1"/>
  <c r="Q113" i="17"/>
  <c r="R113" i="17" s="1"/>
  <c r="Q131" i="17"/>
  <c r="R131" i="17" s="1"/>
  <c r="Q22" i="17"/>
  <c r="R22" i="17" s="1"/>
  <c r="Q45" i="17"/>
  <c r="R45" i="17" s="1"/>
  <c r="Q41" i="17"/>
  <c r="R41" i="17" s="1"/>
  <c r="Q111" i="17"/>
  <c r="R111" i="17" s="1"/>
  <c r="Q102" i="17"/>
  <c r="R102" i="17" s="1"/>
  <c r="Q46" i="17"/>
  <c r="R46" i="17" s="1"/>
  <c r="Q66" i="17"/>
  <c r="R66" i="17" s="1"/>
  <c r="Q110" i="17"/>
  <c r="R110" i="17" s="1"/>
  <c r="Q73" i="17"/>
  <c r="R73" i="17" s="1"/>
  <c r="Q54" i="17"/>
  <c r="R54" i="17" s="1"/>
  <c r="Q74" i="17"/>
  <c r="R74" i="17" s="1"/>
  <c r="Q30" i="17"/>
  <c r="R30" i="17" s="1"/>
  <c r="Q60" i="17"/>
  <c r="R60" i="17" s="1"/>
  <c r="Q135" i="17"/>
  <c r="R135" i="17" s="1"/>
  <c r="Q130" i="17"/>
  <c r="R130" i="17" s="1"/>
  <c r="Q56" i="17"/>
  <c r="R56" i="17" s="1"/>
  <c r="Q62" i="17"/>
  <c r="R62" i="17" s="1"/>
  <c r="Q20" i="17"/>
  <c r="R20" i="17" s="1"/>
  <c r="Q37" i="17"/>
  <c r="R37" i="17" s="1"/>
  <c r="Q108" i="17"/>
  <c r="R108" i="17" s="1"/>
  <c r="Q58" i="17"/>
  <c r="R58" i="17" s="1"/>
  <c r="W46" i="17"/>
  <c r="X46" i="17" s="1"/>
  <c r="W95" i="17"/>
  <c r="X95" i="17" s="1"/>
  <c r="W39" i="17"/>
  <c r="X39" i="17" s="1"/>
  <c r="W132" i="17"/>
  <c r="X132" i="17" s="1"/>
  <c r="W88" i="17"/>
  <c r="X88" i="17" s="1"/>
  <c r="W79" i="17"/>
  <c r="X79" i="17" s="1"/>
  <c r="W85" i="17"/>
  <c r="X85" i="17" s="1"/>
  <c r="Q133" i="17"/>
  <c r="R133" i="17" s="1"/>
  <c r="AI133" i="24" s="1"/>
  <c r="Q42" i="17"/>
  <c r="R42" i="17" s="1"/>
  <c r="Q120" i="17"/>
  <c r="R120" i="17" s="1"/>
  <c r="Q95" i="17"/>
  <c r="R95" i="17" s="1"/>
  <c r="Q65" i="17"/>
  <c r="R65" i="17" s="1"/>
  <c r="Q24" i="17"/>
  <c r="R24" i="17" s="1"/>
  <c r="Q116" i="17"/>
  <c r="R116" i="17" s="1"/>
  <c r="W11" i="17"/>
  <c r="X11" i="17" s="1"/>
  <c r="W115" i="17"/>
  <c r="X115" i="17" s="1"/>
  <c r="W43" i="17"/>
  <c r="X43" i="17" s="1"/>
  <c r="W52" i="17"/>
  <c r="X52" i="17" s="1"/>
  <c r="W23" i="17"/>
  <c r="X23" i="17" s="1"/>
  <c r="W110" i="17"/>
  <c r="X110" i="17" s="1"/>
  <c r="W125" i="17"/>
  <c r="X125" i="17" s="1"/>
  <c r="W134" i="17"/>
  <c r="X134" i="17" s="1"/>
  <c r="W119" i="17"/>
  <c r="X119" i="17" s="1"/>
  <c r="W58" i="17"/>
  <c r="X58" i="17" s="1"/>
  <c r="W61" i="17"/>
  <c r="X61" i="17" s="1"/>
  <c r="W105" i="17"/>
  <c r="X105" i="17" s="1"/>
  <c r="W107" i="17"/>
  <c r="X107" i="17" s="1"/>
  <c r="W97" i="17"/>
  <c r="X97" i="17" s="1"/>
  <c r="W37" i="17"/>
  <c r="X37" i="17" s="1"/>
  <c r="W47" i="17"/>
  <c r="X47" i="17" s="1"/>
  <c r="W62" i="17"/>
  <c r="X62" i="17" s="1"/>
  <c r="W104" i="17"/>
  <c r="X104" i="17" s="1"/>
  <c r="Q140" i="17"/>
  <c r="R140" i="17" s="1"/>
  <c r="Q123" i="17"/>
  <c r="R123" i="17" s="1"/>
  <c r="AI123" i="24" s="1"/>
  <c r="W32" i="17"/>
  <c r="X32" i="17" s="1"/>
  <c r="W25" i="17"/>
  <c r="X25" i="17" s="1"/>
  <c r="W31" i="17"/>
  <c r="X31" i="17" s="1"/>
  <c r="W118" i="17"/>
  <c r="X118" i="17" s="1"/>
  <c r="W53" i="17"/>
  <c r="X53" i="17" s="1"/>
  <c r="W59" i="17"/>
  <c r="X59" i="17" s="1"/>
  <c r="W109" i="17"/>
  <c r="X109" i="17" s="1"/>
  <c r="W14" i="17"/>
  <c r="X14" i="17" s="1"/>
  <c r="W45" i="17"/>
  <c r="X45" i="17" s="1"/>
  <c r="W136" i="17"/>
  <c r="X136" i="17" s="1"/>
  <c r="W65" i="17"/>
  <c r="X65" i="17" s="1"/>
  <c r="W81" i="17"/>
  <c r="X81" i="17" s="1"/>
  <c r="W106" i="17"/>
  <c r="X106" i="17" s="1"/>
  <c r="W126" i="17"/>
  <c r="X126" i="17" s="1"/>
  <c r="W8" i="17"/>
  <c r="X8" i="17" s="1"/>
  <c r="W66" i="17"/>
  <c r="X66" i="17" s="1"/>
  <c r="W70" i="17"/>
  <c r="X70" i="17" s="1"/>
  <c r="W36" i="17"/>
  <c r="X36" i="17" s="1"/>
  <c r="W98" i="17"/>
  <c r="X98" i="17" s="1"/>
  <c r="W49" i="17"/>
  <c r="X49" i="17" s="1"/>
  <c r="W137" i="17"/>
  <c r="X137" i="17" s="1"/>
  <c r="W29" i="17"/>
  <c r="X29" i="17" s="1"/>
  <c r="W76" i="17"/>
  <c r="X76" i="17" s="1"/>
  <c r="W117" i="17"/>
  <c r="X117" i="17" s="1"/>
  <c r="W100" i="17"/>
  <c r="X100" i="17" s="1"/>
  <c r="W74" i="17"/>
  <c r="X74" i="17" s="1"/>
  <c r="W130" i="17"/>
  <c r="X130" i="17" s="1"/>
  <c r="W33" i="17"/>
  <c r="X33" i="17" s="1"/>
  <c r="W114" i="17"/>
  <c r="X114" i="17" s="1"/>
  <c r="Q7" i="17"/>
  <c r="R7" i="17" s="1"/>
  <c r="Q57" i="17"/>
  <c r="R57" i="17" s="1"/>
  <c r="Q23" i="17"/>
  <c r="R23" i="17" s="1"/>
  <c r="AQ29" i="17"/>
  <c r="AI30" i="24" l="1"/>
  <c r="AI60" i="24"/>
  <c r="AI102" i="24"/>
  <c r="AJ102" i="24" s="1"/>
  <c r="AK102" i="24" s="1"/>
  <c r="AI28" i="24"/>
  <c r="AI77" i="24"/>
  <c r="AI73" i="24"/>
  <c r="AJ73" i="24" s="1"/>
  <c r="AK73" i="24" s="1"/>
  <c r="AI16" i="24"/>
  <c r="AJ16" i="24" s="1"/>
  <c r="AK16" i="24" s="1"/>
  <c r="AI7" i="24"/>
  <c r="AJ7" i="24" s="1"/>
  <c r="AK7" i="24" s="1"/>
  <c r="AI43" i="24"/>
  <c r="AJ43" i="24" s="1"/>
  <c r="AK43" i="24" s="1"/>
  <c r="AI20" i="24"/>
  <c r="AI67" i="24"/>
  <c r="AJ67" i="24" s="1"/>
  <c r="AK67" i="24" s="1"/>
  <c r="AI106" i="24"/>
  <c r="AI72" i="24"/>
  <c r="AI108" i="24"/>
  <c r="AJ108" i="24" s="1"/>
  <c r="AK108" i="24" s="1"/>
  <c r="AI31" i="24"/>
  <c r="AJ31" i="24" s="1"/>
  <c r="AK31" i="24" s="1"/>
  <c r="AI23" i="24"/>
  <c r="AJ23" i="24" s="1"/>
  <c r="AK23" i="24" s="1"/>
  <c r="AI129" i="24"/>
  <c r="AJ129" i="24" s="1"/>
  <c r="AK129" i="24" s="1"/>
  <c r="AI131" i="24"/>
  <c r="AJ131" i="24" s="1"/>
  <c r="AK131" i="24" s="1"/>
  <c r="AI141" i="24"/>
  <c r="AJ141" i="24" s="1"/>
  <c r="AK141" i="24" s="1"/>
  <c r="AI112" i="24"/>
  <c r="AI51" i="24"/>
  <c r="AJ51" i="24" s="1"/>
  <c r="AK51" i="24" s="1"/>
  <c r="AI68" i="24"/>
  <c r="AJ68" i="24" s="1"/>
  <c r="AK68" i="24" s="1"/>
  <c r="AI78" i="24"/>
  <c r="AJ78" i="24" s="1"/>
  <c r="AK78" i="24" s="1"/>
  <c r="AI24" i="24"/>
  <c r="AJ24" i="24" s="1"/>
  <c r="AK24" i="24" s="1"/>
  <c r="AI22" i="24"/>
  <c r="AJ22" i="24" s="1"/>
  <c r="AK22" i="24" s="1"/>
  <c r="AI27" i="24"/>
  <c r="AJ27" i="24" s="1"/>
  <c r="AK27" i="24" s="1"/>
  <c r="AI76" i="24"/>
  <c r="AJ76" i="24" s="1"/>
  <c r="AK76" i="24" s="1"/>
  <c r="AI92" i="24"/>
  <c r="AJ92" i="24" s="1"/>
  <c r="AK92" i="24" s="1"/>
  <c r="AI90" i="24"/>
  <c r="AJ90" i="24" s="1"/>
  <c r="AK90" i="24" s="1"/>
  <c r="AI116" i="24"/>
  <c r="AJ116" i="24" s="1"/>
  <c r="AK116" i="24" s="1"/>
  <c r="AI74" i="24"/>
  <c r="AJ74" i="24" s="1"/>
  <c r="AK74" i="24" s="1"/>
  <c r="AI41" i="24"/>
  <c r="AJ41" i="24" s="1"/>
  <c r="AK41" i="24" s="1"/>
  <c r="AI86" i="24"/>
  <c r="AJ86" i="24" s="1"/>
  <c r="AK86" i="24" s="1"/>
  <c r="AI57" i="24"/>
  <c r="AJ57" i="24" s="1"/>
  <c r="AK57" i="24" s="1"/>
  <c r="AR42" i="17"/>
  <c r="AI42" i="24"/>
  <c r="AJ42" i="24" s="1"/>
  <c r="AK42" i="24" s="1"/>
  <c r="AI135" i="24"/>
  <c r="AJ135" i="24" s="1"/>
  <c r="AK135" i="24" s="1"/>
  <c r="AR46" i="17"/>
  <c r="AI46" i="24"/>
  <c r="AJ46" i="24" s="1"/>
  <c r="AK46" i="24" s="1"/>
  <c r="AI127" i="24"/>
  <c r="AJ127" i="24" s="1"/>
  <c r="AK127" i="24" s="1"/>
  <c r="AI49" i="24"/>
  <c r="AJ49" i="24" s="1"/>
  <c r="AK49" i="24" s="1"/>
  <c r="AI134" i="24"/>
  <c r="AJ134" i="24" s="1"/>
  <c r="AK134" i="24" s="1"/>
  <c r="AR89" i="17"/>
  <c r="AI89" i="24"/>
  <c r="AJ89" i="24" s="1"/>
  <c r="AK89" i="24" s="1"/>
  <c r="AR107" i="17"/>
  <c r="AI107" i="24"/>
  <c r="AJ107" i="24" s="1"/>
  <c r="AK107" i="24" s="1"/>
  <c r="AR104" i="17"/>
  <c r="AI104" i="24"/>
  <c r="AJ104" i="24" s="1"/>
  <c r="AK104" i="24" s="1"/>
  <c r="AR117" i="17"/>
  <c r="AI117" i="24"/>
  <c r="AJ117" i="24" s="1"/>
  <c r="AK117" i="24" s="1"/>
  <c r="AI101" i="24"/>
  <c r="AJ101" i="24" s="1"/>
  <c r="AK101" i="24" s="1"/>
  <c r="AI58" i="24"/>
  <c r="AJ58" i="24" s="1"/>
  <c r="AK58" i="24" s="1"/>
  <c r="AI81" i="24"/>
  <c r="AJ81" i="24" s="1"/>
  <c r="AK81" i="24" s="1"/>
  <c r="AI69" i="24"/>
  <c r="AI124" i="24"/>
  <c r="AJ124" i="24" s="1"/>
  <c r="AK124" i="24" s="1"/>
  <c r="AI87" i="24"/>
  <c r="AJ87" i="24" s="1"/>
  <c r="AK87" i="24" s="1"/>
  <c r="AI37" i="24"/>
  <c r="AJ37" i="24" s="1"/>
  <c r="AK37" i="24" s="1"/>
  <c r="AI93" i="24"/>
  <c r="AJ93" i="24" s="1"/>
  <c r="AK93" i="24" s="1"/>
  <c r="AI136" i="24"/>
  <c r="AJ136" i="24" s="1"/>
  <c r="AK136" i="24" s="1"/>
  <c r="AI8" i="24"/>
  <c r="AJ8" i="24" s="1"/>
  <c r="AK8" i="24" s="1"/>
  <c r="AI85" i="24"/>
  <c r="AJ85" i="24" s="1"/>
  <c r="AK85" i="24" s="1"/>
  <c r="AR13" i="17"/>
  <c r="AI13" i="24"/>
  <c r="AJ13" i="24" s="1"/>
  <c r="AK13" i="24" s="1"/>
  <c r="AR15" i="17"/>
  <c r="AI15" i="24"/>
  <c r="AJ15" i="24" s="1"/>
  <c r="AK15" i="24" s="1"/>
  <c r="AI119" i="24"/>
  <c r="AJ119" i="24" s="1"/>
  <c r="AK119" i="24" s="1"/>
  <c r="AI35" i="24"/>
  <c r="AJ35" i="24" s="1"/>
  <c r="AK35" i="24" s="1"/>
  <c r="AI83" i="24"/>
  <c r="AJ83" i="24" s="1"/>
  <c r="AK83" i="24" s="1"/>
  <c r="AI9" i="24"/>
  <c r="AJ9" i="24" s="1"/>
  <c r="AK9" i="24" s="1"/>
  <c r="AI96" i="24"/>
  <c r="AJ96" i="24" s="1"/>
  <c r="AK96" i="24" s="1"/>
  <c r="AI26" i="24"/>
  <c r="AJ26" i="24" s="1"/>
  <c r="AK26" i="24" s="1"/>
  <c r="AI88" i="24"/>
  <c r="AJ88" i="24" s="1"/>
  <c r="AK88" i="24" s="1"/>
  <c r="AI109" i="24"/>
  <c r="AJ109" i="24" s="1"/>
  <c r="AK109" i="24" s="1"/>
  <c r="AI29" i="24"/>
  <c r="AJ29" i="24" s="1"/>
  <c r="AK29" i="24" s="1"/>
  <c r="AR64" i="17"/>
  <c r="AI64" i="24"/>
  <c r="AJ64" i="24" s="1"/>
  <c r="AK64" i="24" s="1"/>
  <c r="AR100" i="17"/>
  <c r="AI100" i="24"/>
  <c r="AJ100" i="24" s="1"/>
  <c r="AK100" i="24" s="1"/>
  <c r="AI10" i="24"/>
  <c r="AJ10" i="24" s="1"/>
  <c r="AK10" i="24" s="1"/>
  <c r="AI75" i="24"/>
  <c r="AJ75" i="24" s="1"/>
  <c r="AK75" i="24" s="1"/>
  <c r="AI114" i="24"/>
  <c r="AJ114" i="24" s="1"/>
  <c r="AK114" i="24" s="1"/>
  <c r="AI105" i="24"/>
  <c r="AJ105" i="24" s="1"/>
  <c r="AK105" i="24" s="1"/>
  <c r="AI6" i="24"/>
  <c r="AI25" i="24"/>
  <c r="AJ25" i="24" s="1"/>
  <c r="AK25" i="24" s="1"/>
  <c r="AI50" i="24"/>
  <c r="AJ50" i="24" s="1"/>
  <c r="AK50" i="24" s="1"/>
  <c r="AI103" i="24"/>
  <c r="AJ103" i="24" s="1"/>
  <c r="AK103" i="24" s="1"/>
  <c r="AI125" i="24"/>
  <c r="AJ125" i="24" s="1"/>
  <c r="AK125" i="24" s="1"/>
  <c r="AR54" i="17"/>
  <c r="AI54" i="24"/>
  <c r="AJ54" i="24" s="1"/>
  <c r="AK54" i="24" s="1"/>
  <c r="AR45" i="17"/>
  <c r="AI45" i="24"/>
  <c r="AJ45" i="24" s="1"/>
  <c r="AK45" i="24" s="1"/>
  <c r="AI115" i="24"/>
  <c r="AJ115" i="24" s="1"/>
  <c r="AK115" i="24" s="1"/>
  <c r="AI62" i="24"/>
  <c r="AJ62" i="24" s="1"/>
  <c r="AK62" i="24" s="1"/>
  <c r="AI53" i="24"/>
  <c r="AJ53" i="24" s="1"/>
  <c r="AK53" i="24" s="1"/>
  <c r="AR17" i="17"/>
  <c r="AI17" i="24"/>
  <c r="AJ17" i="24" s="1"/>
  <c r="AK17" i="24" s="1"/>
  <c r="AR44" i="17"/>
  <c r="AI44" i="24"/>
  <c r="AJ44" i="24" s="1"/>
  <c r="AK44" i="24" s="1"/>
  <c r="AR70" i="17"/>
  <c r="AI70" i="24"/>
  <c r="AJ70" i="24" s="1"/>
  <c r="AK70" i="24" s="1"/>
  <c r="AR118" i="17"/>
  <c r="AI118" i="24"/>
  <c r="AJ118" i="24" s="1"/>
  <c r="AK118" i="24" s="1"/>
  <c r="AI99" i="24"/>
  <c r="AJ99" i="24" s="1"/>
  <c r="AK99" i="24" s="1"/>
  <c r="AI52" i="24"/>
  <c r="AJ52" i="24" s="1"/>
  <c r="AK52" i="24" s="1"/>
  <c r="AI32" i="24"/>
  <c r="AJ32" i="24" s="1"/>
  <c r="AK32" i="24" s="1"/>
  <c r="AI48" i="24"/>
  <c r="AJ48" i="24" s="1"/>
  <c r="AK48" i="24" s="1"/>
  <c r="AI139" i="24"/>
  <c r="AJ139" i="24" s="1"/>
  <c r="AK139" i="24" s="1"/>
  <c r="AR111" i="17"/>
  <c r="AI111" i="24"/>
  <c r="AJ111" i="24" s="1"/>
  <c r="AK111" i="24" s="1"/>
  <c r="AR33" i="17"/>
  <c r="AI33" i="24"/>
  <c r="AJ33" i="24" s="1"/>
  <c r="AK33" i="24" s="1"/>
  <c r="AR121" i="17"/>
  <c r="AI121" i="24"/>
  <c r="AJ121" i="24" s="1"/>
  <c r="AK121" i="24" s="1"/>
  <c r="AR21" i="17"/>
  <c r="AI21" i="24"/>
  <c r="AJ21" i="24" s="1"/>
  <c r="AK21" i="24" s="1"/>
  <c r="AR55" i="17"/>
  <c r="AI55" i="24"/>
  <c r="AJ55" i="24" s="1"/>
  <c r="AK55" i="24" s="1"/>
  <c r="AI98" i="24"/>
  <c r="AJ98" i="24" s="1"/>
  <c r="AK98" i="24" s="1"/>
  <c r="AI65" i="24"/>
  <c r="AJ65" i="24" s="1"/>
  <c r="AK65" i="24" s="1"/>
  <c r="AR95" i="17"/>
  <c r="AI95" i="24"/>
  <c r="AJ95" i="24" s="1"/>
  <c r="AK95" i="24" s="1"/>
  <c r="AR56" i="17"/>
  <c r="AI56" i="24"/>
  <c r="AJ56" i="24" s="1"/>
  <c r="AK56" i="24" s="1"/>
  <c r="AI110" i="24"/>
  <c r="AJ110" i="24" s="1"/>
  <c r="AK110" i="24" s="1"/>
  <c r="AR71" i="17"/>
  <c r="AI71" i="24"/>
  <c r="AJ71" i="24" s="1"/>
  <c r="AK71" i="24" s="1"/>
  <c r="AI38" i="24"/>
  <c r="AJ38" i="24" s="1"/>
  <c r="AK38" i="24" s="1"/>
  <c r="AI34" i="24"/>
  <c r="AJ34" i="24" s="1"/>
  <c r="AK34" i="24" s="1"/>
  <c r="AR19" i="17"/>
  <c r="AI19" i="24"/>
  <c r="AJ19" i="24" s="1"/>
  <c r="AK19" i="24" s="1"/>
  <c r="AI132" i="24"/>
  <c r="AJ132" i="24" s="1"/>
  <c r="AK132" i="24" s="1"/>
  <c r="AR122" i="17"/>
  <c r="AI122" i="24"/>
  <c r="AJ122" i="24" s="1"/>
  <c r="AK122" i="24" s="1"/>
  <c r="AI128" i="24"/>
  <c r="AJ128" i="24" s="1"/>
  <c r="AK128" i="24" s="1"/>
  <c r="AI80" i="24"/>
  <c r="AJ80" i="24" s="1"/>
  <c r="AK80" i="24" s="1"/>
  <c r="AI63" i="24"/>
  <c r="AJ63" i="24" s="1"/>
  <c r="AK63" i="24" s="1"/>
  <c r="AI84" i="24"/>
  <c r="AJ84" i="24" s="1"/>
  <c r="AK84" i="24" s="1"/>
  <c r="AI138" i="24"/>
  <c r="AJ138" i="24" s="1"/>
  <c r="AK138" i="24" s="1"/>
  <c r="AR14" i="17"/>
  <c r="AI14" i="24"/>
  <c r="AJ14" i="24" s="1"/>
  <c r="AK14" i="24" s="1"/>
  <c r="AI11" i="24"/>
  <c r="AJ11" i="24" s="1"/>
  <c r="AK11" i="24" s="1"/>
  <c r="AR36" i="17"/>
  <c r="AI36" i="24"/>
  <c r="AJ36" i="24" s="1"/>
  <c r="AK36" i="24" s="1"/>
  <c r="AR94" i="17"/>
  <c r="AI94" i="24"/>
  <c r="AJ94" i="24" s="1"/>
  <c r="AK94" i="24" s="1"/>
  <c r="AR82" i="17"/>
  <c r="AI82" i="24"/>
  <c r="AJ82" i="24" s="1"/>
  <c r="AK82" i="24" s="1"/>
  <c r="AR91" i="17"/>
  <c r="AI91" i="24"/>
  <c r="AJ91" i="24" s="1"/>
  <c r="AK91" i="24" s="1"/>
  <c r="AI120" i="24"/>
  <c r="AJ120" i="24" s="1"/>
  <c r="AK120" i="24" s="1"/>
  <c r="AI130" i="24"/>
  <c r="AJ130" i="24" s="1"/>
  <c r="AK130" i="24" s="1"/>
  <c r="AI66" i="24"/>
  <c r="AJ66" i="24" s="1"/>
  <c r="AK66" i="24" s="1"/>
  <c r="AR113" i="17"/>
  <c r="AI113" i="24"/>
  <c r="AJ113" i="24" s="1"/>
  <c r="AK113" i="24" s="1"/>
  <c r="AR139" i="17"/>
  <c r="AI140" i="24"/>
  <c r="AJ140" i="24" s="1"/>
  <c r="AK140" i="24" s="1"/>
  <c r="AI40" i="24"/>
  <c r="AJ40" i="24" s="1"/>
  <c r="AK40" i="24" s="1"/>
  <c r="AI79" i="24"/>
  <c r="AJ79" i="24" s="1"/>
  <c r="AK79" i="24" s="1"/>
  <c r="AI61" i="24"/>
  <c r="AJ61" i="24" s="1"/>
  <c r="AK61" i="24" s="1"/>
  <c r="AI126" i="24"/>
  <c r="AJ126" i="24" s="1"/>
  <c r="AK126" i="24" s="1"/>
  <c r="AR12" i="17"/>
  <c r="AI12" i="24"/>
  <c r="AJ12" i="24" s="1"/>
  <c r="AK12" i="24" s="1"/>
  <c r="AR97" i="17"/>
  <c r="AI97" i="24"/>
  <c r="AJ97" i="24" s="1"/>
  <c r="AK97" i="24" s="1"/>
  <c r="AR47" i="17"/>
  <c r="AI47" i="24"/>
  <c r="AJ47" i="24" s="1"/>
  <c r="AK47" i="24" s="1"/>
  <c r="AR39" i="17"/>
  <c r="AI39" i="24"/>
  <c r="AJ39" i="24" s="1"/>
  <c r="AK39" i="24" s="1"/>
  <c r="AI59" i="24"/>
  <c r="AJ59" i="24" s="1"/>
  <c r="AK59" i="24" s="1"/>
  <c r="AR57" i="17"/>
  <c r="AR134" i="17"/>
  <c r="AR7" i="17"/>
  <c r="AR133" i="17"/>
  <c r="AR58" i="17"/>
  <c r="AR60" i="17"/>
  <c r="AR102" i="17"/>
  <c r="AR77" i="17"/>
  <c r="AR28" i="17"/>
  <c r="AR31" i="17"/>
  <c r="AR106" i="17"/>
  <c r="AR29" i="17"/>
  <c r="AR43" i="17"/>
  <c r="AR72" i="17"/>
  <c r="AR129" i="17"/>
  <c r="AR101" i="17"/>
  <c r="AR76" i="17"/>
  <c r="AR86" i="17"/>
  <c r="AR92" i="17"/>
  <c r="AR112" i="17"/>
  <c r="AR116" i="17"/>
  <c r="AR37" i="17"/>
  <c r="AR74" i="17"/>
  <c r="AR41" i="17"/>
  <c r="AR93" i="17"/>
  <c r="AR136" i="17"/>
  <c r="AR8" i="17"/>
  <c r="AR85" i="17"/>
  <c r="AR119" i="17"/>
  <c r="AR35" i="17"/>
  <c r="AR83" i="17"/>
  <c r="AR90" i="17"/>
  <c r="AR81" i="17"/>
  <c r="AR69" i="17"/>
  <c r="AR124" i="17"/>
  <c r="AR87" i="17"/>
  <c r="AR135" i="17"/>
  <c r="AR68" i="17"/>
  <c r="AR10" i="17"/>
  <c r="AR115" i="17"/>
  <c r="AR98" i="17"/>
  <c r="AR75" i="17"/>
  <c r="AR9" i="17"/>
  <c r="AR96" i="17"/>
  <c r="AR26" i="17"/>
  <c r="AR88" i="17"/>
  <c r="AR109" i="17"/>
  <c r="AR108" i="17"/>
  <c r="AR11" i="17"/>
  <c r="AR65" i="17"/>
  <c r="AR62" i="17"/>
  <c r="AR73" i="17"/>
  <c r="AR22" i="17"/>
  <c r="AR53" i="17"/>
  <c r="AR16" i="17"/>
  <c r="AR114" i="17"/>
  <c r="AR105" i="17"/>
  <c r="AR78" i="17"/>
  <c r="AR6" i="17"/>
  <c r="AR25" i="17"/>
  <c r="AR50" i="17"/>
  <c r="AR103" i="17"/>
  <c r="AR125" i="17"/>
  <c r="AR59" i="17"/>
  <c r="AR127" i="17"/>
  <c r="AR51" i="17"/>
  <c r="AR24" i="17"/>
  <c r="AR20" i="17"/>
  <c r="AR67" i="17"/>
  <c r="AR99" i="17"/>
  <c r="AR52" i="17"/>
  <c r="AR32" i="17"/>
  <c r="AR48" i="17"/>
  <c r="AR138" i="17"/>
  <c r="AR140" i="17"/>
  <c r="AR49" i="17"/>
  <c r="AR30" i="17"/>
  <c r="AR110" i="17"/>
  <c r="AR131" i="17"/>
  <c r="AR38" i="17"/>
  <c r="AR34" i="17"/>
  <c r="AR132" i="17"/>
  <c r="AR23" i="17"/>
  <c r="AR123" i="17"/>
  <c r="AR120" i="17"/>
  <c r="AR130" i="17"/>
  <c r="AR66" i="17"/>
  <c r="AR27" i="17"/>
  <c r="AR40" i="17"/>
  <c r="AR79" i="17"/>
  <c r="AR61" i="17"/>
  <c r="AR126" i="17"/>
  <c r="AR128" i="17"/>
  <c r="AR80" i="17"/>
  <c r="AR63" i="17"/>
  <c r="AR84" i="17"/>
  <c r="AR137" i="17"/>
  <c r="AJ137" i="24"/>
  <c r="AK137" i="24" s="1"/>
  <c r="AJ72" i="24"/>
  <c r="AK72" i="24" s="1"/>
  <c r="AJ69" i="24"/>
  <c r="AK69" i="24" s="1"/>
  <c r="AJ133" i="24"/>
  <c r="AK133" i="24" s="1"/>
  <c r="AJ123" i="24"/>
  <c r="AK123" i="24" s="1"/>
  <c r="AJ60" i="24"/>
  <c r="AK60" i="24" s="1"/>
  <c r="AJ18" i="24"/>
  <c r="AK18" i="24" s="1"/>
  <c r="AJ28" i="24"/>
  <c r="AK28" i="24" s="1"/>
  <c r="AJ20" i="24"/>
  <c r="AK20" i="24" s="1"/>
  <c r="AJ106" i="24"/>
  <c r="AK106" i="24" s="1"/>
  <c r="AQ12" i="17"/>
  <c r="AJ77" i="24"/>
  <c r="AK77" i="24" s="1"/>
  <c r="AJ112" i="24"/>
  <c r="AK112" i="24" s="1"/>
  <c r="AJ30" i="24"/>
  <c r="AK30" i="24" s="1"/>
  <c r="AQ104" i="17"/>
  <c r="AM141" i="17"/>
  <c r="Q141" i="17"/>
  <c r="W141" i="17"/>
  <c r="N141" i="17"/>
  <c r="T141" i="17"/>
  <c r="O113" i="17"/>
  <c r="O35" i="17"/>
  <c r="AE35" i="24" s="1"/>
  <c r="AF35" i="24" s="1"/>
  <c r="AG35" i="24" s="1"/>
  <c r="O77" i="17"/>
  <c r="O28" i="17"/>
  <c r="O87" i="17"/>
  <c r="O65" i="17"/>
  <c r="O85" i="17"/>
  <c r="O119" i="17"/>
  <c r="O15" i="17"/>
  <c r="O39" i="17"/>
  <c r="O34" i="17"/>
  <c r="O66" i="17"/>
  <c r="O130" i="17"/>
  <c r="O14" i="17"/>
  <c r="O118" i="17"/>
  <c r="O111" i="17"/>
  <c r="O134" i="17"/>
  <c r="O137" i="17"/>
  <c r="O57" i="17"/>
  <c r="AE57" i="24" s="1"/>
  <c r="AF57" i="24" s="1"/>
  <c r="AG57" i="24" s="1"/>
  <c r="O73" i="17"/>
  <c r="O16" i="17"/>
  <c r="O105" i="17"/>
  <c r="O42" i="17"/>
  <c r="O52" i="17"/>
  <c r="O126" i="17"/>
  <c r="O123" i="17"/>
  <c r="O92" i="17"/>
  <c r="O127" i="17"/>
  <c r="O107" i="17"/>
  <c r="O44" i="17"/>
  <c r="O97" i="17"/>
  <c r="O120" i="17"/>
  <c r="O117" i="17"/>
  <c r="O98" i="17"/>
  <c r="O63" i="17"/>
  <c r="O62" i="17"/>
  <c r="O129" i="17"/>
  <c r="O81" i="17"/>
  <c r="O50" i="17"/>
  <c r="O125" i="17"/>
  <c r="O114" i="17"/>
  <c r="O109" i="17"/>
  <c r="O67" i="17"/>
  <c r="O140" i="17"/>
  <c r="O91" i="17"/>
  <c r="O9" i="17"/>
  <c r="AE9" i="24" s="1"/>
  <c r="AF9" i="24" s="1"/>
  <c r="AG9" i="24" s="1"/>
  <c r="O94" i="17"/>
  <c r="O103" i="17"/>
  <c r="O54" i="17"/>
  <c r="O46" i="17"/>
  <c r="O122" i="17"/>
  <c r="O61" i="17"/>
  <c r="O38" i="17"/>
  <c r="O37" i="17"/>
  <c r="O100" i="17"/>
  <c r="O56" i="17"/>
  <c r="O64" i="17"/>
  <c r="O121" i="17"/>
  <c r="O136" i="17"/>
  <c r="O112" i="17"/>
  <c r="O95" i="17"/>
  <c r="O25" i="17"/>
  <c r="O41" i="17"/>
  <c r="O83" i="17"/>
  <c r="O70" i="17"/>
  <c r="O86" i="17"/>
  <c r="O26" i="17"/>
  <c r="O74" i="17"/>
  <c r="O108" i="17"/>
  <c r="O17" i="17"/>
  <c r="O110" i="17"/>
  <c r="AE110" i="24" s="1"/>
  <c r="AF110" i="24" s="1"/>
  <c r="AG110" i="24" s="1"/>
  <c r="O78" i="17"/>
  <c r="O40" i="17"/>
  <c r="O47" i="17"/>
  <c r="O132" i="17"/>
  <c r="O135" i="17"/>
  <c r="O27" i="17"/>
  <c r="O43" i="17"/>
  <c r="O76" i="17"/>
  <c r="AE79" i="24" s="1"/>
  <c r="AF79" i="24" s="1"/>
  <c r="AG79" i="24" s="1"/>
  <c r="O93" i="17"/>
  <c r="O45" i="17"/>
  <c r="O139" i="17"/>
  <c r="O22" i="17"/>
  <c r="O138" i="17"/>
  <c r="O115" i="17"/>
  <c r="O72" i="17"/>
  <c r="O101" i="17"/>
  <c r="O133" i="17"/>
  <c r="O59" i="17"/>
  <c r="O20" i="17"/>
  <c r="O68" i="17"/>
  <c r="O102" i="17"/>
  <c r="O69" i="17"/>
  <c r="O51" i="17"/>
  <c r="O96" i="17"/>
  <c r="O58" i="17"/>
  <c r="O13" i="17"/>
  <c r="O6" i="17"/>
  <c r="AE6" i="24" s="1"/>
  <c r="O32" i="17"/>
  <c r="O48" i="17"/>
  <c r="O88" i="17"/>
  <c r="O124" i="17"/>
  <c r="O11" i="17"/>
  <c r="O36" i="17"/>
  <c r="O106" i="17"/>
  <c r="AE113" i="24" s="1"/>
  <c r="AF113" i="24" s="1"/>
  <c r="AG113" i="24" s="1"/>
  <c r="O8" i="17"/>
  <c r="O90" i="17"/>
  <c r="O82" i="17"/>
  <c r="AE82" i="24" s="1"/>
  <c r="AF82" i="24" s="1"/>
  <c r="AG82" i="24" s="1"/>
  <c r="O10" i="17"/>
  <c r="O116" i="17"/>
  <c r="O19" i="17"/>
  <c r="O128" i="17"/>
  <c r="O71" i="17"/>
  <c r="O23" i="17"/>
  <c r="O21" i="17"/>
  <c r="O53" i="17"/>
  <c r="O49" i="17"/>
  <c r="O75" i="17"/>
  <c r="O99" i="17"/>
  <c r="O80" i="17"/>
  <c r="O89" i="17"/>
  <c r="O60" i="17"/>
  <c r="O31" i="17"/>
  <c r="O7" i="17"/>
  <c r="O55" i="17"/>
  <c r="O131" i="17"/>
  <c r="O84" i="17"/>
  <c r="O24" i="17"/>
  <c r="O30" i="17"/>
  <c r="U6" i="25"/>
  <c r="T6" i="25"/>
  <c r="U20" i="25"/>
  <c r="U21" i="25"/>
  <c r="T11" i="25"/>
  <c r="U9" i="25"/>
  <c r="AO24" i="25"/>
  <c r="U23" i="25"/>
  <c r="U12" i="25"/>
  <c r="U14" i="25"/>
  <c r="T20" i="25"/>
  <c r="T9" i="25"/>
  <c r="T13" i="25"/>
  <c r="T8" i="25"/>
  <c r="U19" i="25"/>
  <c r="U7" i="25"/>
  <c r="U10" i="25"/>
  <c r="U17" i="25"/>
  <c r="N16" i="25"/>
  <c r="T23" i="25"/>
  <c r="T7" i="25"/>
  <c r="T14" i="25"/>
  <c r="U11" i="25"/>
  <c r="AQ79" i="17"/>
  <c r="U13" i="25"/>
  <c r="U8" i="25"/>
  <c r="U15" i="25"/>
  <c r="T16" i="25"/>
  <c r="U16" i="25"/>
  <c r="T15" i="25"/>
  <c r="T12" i="25"/>
  <c r="T10" i="25"/>
  <c r="T17" i="25"/>
  <c r="U18" i="25"/>
  <c r="N17" i="25"/>
  <c r="T19" i="25"/>
  <c r="T22" i="25"/>
  <c r="T18" i="25"/>
  <c r="N23" i="25"/>
  <c r="T21" i="25"/>
  <c r="N13" i="25"/>
  <c r="N22" i="25"/>
  <c r="N19" i="25"/>
  <c r="N15" i="25"/>
  <c r="N8" i="25"/>
  <c r="N20" i="25"/>
  <c r="N21" i="25"/>
  <c r="N18" i="25"/>
  <c r="N12" i="25"/>
  <c r="N6" i="25"/>
  <c r="W14" i="25"/>
  <c r="N7" i="25"/>
  <c r="N10" i="25"/>
  <c r="N9" i="25"/>
  <c r="N11" i="25"/>
  <c r="W12" i="25"/>
  <c r="N14" i="25"/>
  <c r="Q14" i="25"/>
  <c r="W15" i="25"/>
  <c r="Q17" i="25"/>
  <c r="Q22" i="25"/>
  <c r="W8" i="25"/>
  <c r="W18" i="25"/>
  <c r="W20" i="25"/>
  <c r="W10" i="25"/>
  <c r="W7" i="25"/>
  <c r="Q18" i="25"/>
  <c r="R15" i="25"/>
  <c r="Q12" i="25"/>
  <c r="Q9" i="25"/>
  <c r="Q13" i="25"/>
  <c r="W9" i="25"/>
  <c r="W21" i="25"/>
  <c r="W17" i="25"/>
  <c r="W13" i="25"/>
  <c r="Q16" i="25"/>
  <c r="Q21" i="25"/>
  <c r="W22" i="25"/>
  <c r="W23" i="25"/>
  <c r="W11" i="25"/>
  <c r="W19" i="25"/>
  <c r="X15" i="25"/>
  <c r="U22" i="25"/>
  <c r="Q15" i="25"/>
  <c r="Q23" i="25"/>
  <c r="Q8" i="25"/>
  <c r="Q11" i="25"/>
  <c r="Q6" i="25"/>
  <c r="Q10" i="25"/>
  <c r="Q20" i="25"/>
  <c r="Q19" i="25"/>
  <c r="Q7" i="25"/>
  <c r="X12" i="25"/>
  <c r="W16" i="25"/>
  <c r="AE14" i="24" l="1"/>
  <c r="AF14" i="24" s="1"/>
  <c r="AG14" i="24" s="1"/>
  <c r="AE43" i="24"/>
  <c r="AF43" i="24" s="1"/>
  <c r="AG43" i="24" s="1"/>
  <c r="AE44" i="24"/>
  <c r="AF44" i="24" s="1"/>
  <c r="AG44" i="24" s="1"/>
  <c r="AE40" i="24"/>
  <c r="AF40" i="24" s="1"/>
  <c r="AG40" i="24" s="1"/>
  <c r="AE33" i="24"/>
  <c r="AF33" i="24" s="1"/>
  <c r="AG33" i="24" s="1"/>
  <c r="AE31" i="24"/>
  <c r="AF31" i="24" s="1"/>
  <c r="AG31" i="24" s="1"/>
  <c r="AE52" i="24"/>
  <c r="AF52" i="24" s="1"/>
  <c r="AG52" i="24" s="1"/>
  <c r="AE103" i="24"/>
  <c r="AF103" i="24" s="1"/>
  <c r="AG103" i="24" s="1"/>
  <c r="AE69" i="24"/>
  <c r="AF69" i="24" s="1"/>
  <c r="AG69" i="24" s="1"/>
  <c r="AE23" i="24"/>
  <c r="AF23" i="24" s="1"/>
  <c r="AG23" i="24" s="1"/>
  <c r="AE21" i="24"/>
  <c r="AF21" i="24" s="1"/>
  <c r="AG21" i="24" s="1"/>
  <c r="AQ72" i="17"/>
  <c r="AE75" i="24"/>
  <c r="AF75" i="24" s="1"/>
  <c r="AG75" i="24" s="1"/>
  <c r="AQ17" i="17"/>
  <c r="AE19" i="24"/>
  <c r="AF19" i="24" s="1"/>
  <c r="AG19" i="24" s="1"/>
  <c r="AQ62" i="17"/>
  <c r="AE65" i="24"/>
  <c r="AF65" i="24" s="1"/>
  <c r="AG65" i="24" s="1"/>
  <c r="AQ53" i="17"/>
  <c r="AQ83" i="17"/>
  <c r="AE86" i="24"/>
  <c r="AF86" i="24" s="1"/>
  <c r="AG86" i="24" s="1"/>
  <c r="AQ80" i="17"/>
  <c r="AE83" i="24"/>
  <c r="AF83" i="24" s="1"/>
  <c r="AG83" i="24" s="1"/>
  <c r="AQ6" i="17"/>
  <c r="AE7" i="24"/>
  <c r="AF7" i="24" s="1"/>
  <c r="AG7" i="24" s="1"/>
  <c r="AQ132" i="17"/>
  <c r="AE138" i="24"/>
  <c r="AF138" i="24" s="1"/>
  <c r="AG138" i="24" s="1"/>
  <c r="AQ54" i="17"/>
  <c r="AE55" i="24"/>
  <c r="AF55" i="24" s="1"/>
  <c r="AG55" i="24" s="1"/>
  <c r="AQ114" i="17"/>
  <c r="AE121" i="24"/>
  <c r="AF121" i="24" s="1"/>
  <c r="AG121" i="24" s="1"/>
  <c r="AQ63" i="17"/>
  <c r="AE66" i="24"/>
  <c r="AF66" i="24" s="1"/>
  <c r="AG66" i="24" s="1"/>
  <c r="AQ57" i="17"/>
  <c r="AE59" i="24"/>
  <c r="AF59" i="24" s="1"/>
  <c r="AG59" i="24" s="1"/>
  <c r="AQ77" i="17"/>
  <c r="AE80" i="24"/>
  <c r="AF80" i="24" s="1"/>
  <c r="AG80" i="24" s="1"/>
  <c r="AQ99" i="17"/>
  <c r="AE105" i="24"/>
  <c r="AF105" i="24" s="1"/>
  <c r="AG105" i="24" s="1"/>
  <c r="AQ36" i="17"/>
  <c r="AE38" i="24"/>
  <c r="AF38" i="24" s="1"/>
  <c r="AG38" i="24" s="1"/>
  <c r="AQ13" i="17"/>
  <c r="AE15" i="24"/>
  <c r="AF15" i="24" s="1"/>
  <c r="AG15" i="24" s="1"/>
  <c r="AQ139" i="17"/>
  <c r="AQ74" i="17"/>
  <c r="AE77" i="24"/>
  <c r="AF77" i="24" s="1"/>
  <c r="AG77" i="24" s="1"/>
  <c r="AQ95" i="17"/>
  <c r="AE101" i="24"/>
  <c r="AF101" i="24" s="1"/>
  <c r="AG101" i="24" s="1"/>
  <c r="AQ37" i="17"/>
  <c r="AE39" i="24"/>
  <c r="AF39" i="24" s="1"/>
  <c r="AG39" i="24" s="1"/>
  <c r="AQ103" i="17"/>
  <c r="AE109" i="24"/>
  <c r="AF109" i="24" s="1"/>
  <c r="AG109" i="24" s="1"/>
  <c r="AQ125" i="17"/>
  <c r="AE131" i="24"/>
  <c r="AF131" i="24" s="1"/>
  <c r="AG131" i="24" s="1"/>
  <c r="AQ98" i="17"/>
  <c r="AE104" i="24"/>
  <c r="AF104" i="24" s="1"/>
  <c r="AG104" i="24" s="1"/>
  <c r="AQ123" i="17"/>
  <c r="AE129" i="24"/>
  <c r="AF129" i="24" s="1"/>
  <c r="AG129" i="24" s="1"/>
  <c r="AQ137" i="17"/>
  <c r="AQ39" i="17"/>
  <c r="AE41" i="24"/>
  <c r="AF41" i="24" s="1"/>
  <c r="AG41" i="24" s="1"/>
  <c r="AQ35" i="17"/>
  <c r="AE37" i="24"/>
  <c r="AF37" i="24" s="1"/>
  <c r="AG37" i="24" s="1"/>
  <c r="AQ75" i="17"/>
  <c r="AE78" i="24"/>
  <c r="AF78" i="24" s="1"/>
  <c r="AG78" i="24" s="1"/>
  <c r="AQ19" i="17"/>
  <c r="AE22" i="24"/>
  <c r="AF22" i="24" s="1"/>
  <c r="AG22" i="24" s="1"/>
  <c r="AQ11" i="17"/>
  <c r="AE13" i="24"/>
  <c r="AF13" i="24" s="1"/>
  <c r="AG13" i="24" s="1"/>
  <c r="AQ58" i="17"/>
  <c r="AE60" i="24"/>
  <c r="AF60" i="24" s="1"/>
  <c r="AG60" i="24" s="1"/>
  <c r="AQ59" i="17"/>
  <c r="AE62" i="24"/>
  <c r="AF62" i="24" s="1"/>
  <c r="AG62" i="24" s="1"/>
  <c r="AQ45" i="17"/>
  <c r="AE47" i="24"/>
  <c r="AF47" i="24" s="1"/>
  <c r="AG47" i="24" s="1"/>
  <c r="AQ40" i="17"/>
  <c r="AE42" i="24"/>
  <c r="AF42" i="24" s="1"/>
  <c r="AG42" i="24" s="1"/>
  <c r="AQ26" i="17"/>
  <c r="AQ112" i="17"/>
  <c r="AE119" i="24"/>
  <c r="AF119" i="24" s="1"/>
  <c r="AG119" i="24" s="1"/>
  <c r="AE140" i="24"/>
  <c r="AF140" i="24" s="1"/>
  <c r="AG140" i="24" s="1"/>
  <c r="AQ94" i="17"/>
  <c r="AE100" i="24"/>
  <c r="AF100" i="24" s="1"/>
  <c r="AG100" i="24" s="1"/>
  <c r="AQ117" i="17"/>
  <c r="AE124" i="24"/>
  <c r="AF124" i="24" s="1"/>
  <c r="AG124" i="24" s="1"/>
  <c r="AQ126" i="17"/>
  <c r="AE133" i="24"/>
  <c r="AF133" i="24" s="1"/>
  <c r="AG133" i="24" s="1"/>
  <c r="AQ134" i="17"/>
  <c r="AQ15" i="17"/>
  <c r="AE17" i="24"/>
  <c r="AF17" i="24" s="1"/>
  <c r="AG17" i="24" s="1"/>
  <c r="AQ113" i="17"/>
  <c r="AE120" i="24"/>
  <c r="AF120" i="24" s="1"/>
  <c r="AG120" i="24" s="1"/>
  <c r="AQ22" i="17"/>
  <c r="AE25" i="24"/>
  <c r="AF25" i="24" s="1"/>
  <c r="AG25" i="24" s="1"/>
  <c r="AE141" i="24"/>
  <c r="AF141" i="24" s="1"/>
  <c r="AG141" i="24" s="1"/>
  <c r="AQ34" i="17"/>
  <c r="AE36" i="24"/>
  <c r="AF36" i="24" s="1"/>
  <c r="AG36" i="24" s="1"/>
  <c r="AQ131" i="17"/>
  <c r="AQ128" i="17"/>
  <c r="AE135" i="24"/>
  <c r="AF135" i="24" s="1"/>
  <c r="AG135" i="24" s="1"/>
  <c r="AQ47" i="17"/>
  <c r="AE49" i="24"/>
  <c r="AF49" i="24" s="1"/>
  <c r="AG49" i="24" s="1"/>
  <c r="AQ55" i="17"/>
  <c r="AE56" i="24"/>
  <c r="AF56" i="24" s="1"/>
  <c r="AG56" i="24" s="1"/>
  <c r="AE20" i="24"/>
  <c r="AF20" i="24" s="1"/>
  <c r="AG20" i="24" s="1"/>
  <c r="AQ116" i="17"/>
  <c r="AE123" i="24"/>
  <c r="AF123" i="24" s="1"/>
  <c r="AG123" i="24" s="1"/>
  <c r="AQ124" i="17"/>
  <c r="AE130" i="24"/>
  <c r="AF130" i="24" s="1"/>
  <c r="AG130" i="24" s="1"/>
  <c r="AQ96" i="17"/>
  <c r="AE102" i="24"/>
  <c r="AF102" i="24" s="1"/>
  <c r="AG102" i="24" s="1"/>
  <c r="AQ133" i="17"/>
  <c r="AE139" i="24"/>
  <c r="AF139" i="24" s="1"/>
  <c r="AG139" i="24" s="1"/>
  <c r="AQ93" i="17"/>
  <c r="AE99" i="24"/>
  <c r="AF99" i="24" s="1"/>
  <c r="AG99" i="24" s="1"/>
  <c r="AQ78" i="17"/>
  <c r="AE81" i="24"/>
  <c r="AF81" i="24" s="1"/>
  <c r="AG81" i="24" s="1"/>
  <c r="AQ86" i="17"/>
  <c r="AE92" i="24"/>
  <c r="AF92" i="24" s="1"/>
  <c r="AG92" i="24" s="1"/>
  <c r="AQ136" i="17"/>
  <c r="AQ9" i="17"/>
  <c r="AE11" i="24"/>
  <c r="AF11" i="24" s="1"/>
  <c r="AG11" i="24" s="1"/>
  <c r="AQ81" i="17"/>
  <c r="AE84" i="24"/>
  <c r="AF84" i="24" s="1"/>
  <c r="AG84" i="24" s="1"/>
  <c r="AQ120" i="17"/>
  <c r="AE126" i="24"/>
  <c r="AF126" i="24" s="1"/>
  <c r="AG126" i="24" s="1"/>
  <c r="AQ52" i="17"/>
  <c r="AE54" i="24"/>
  <c r="AF54" i="24" s="1"/>
  <c r="AG54" i="24" s="1"/>
  <c r="AQ111" i="17"/>
  <c r="AE118" i="24"/>
  <c r="AF118" i="24" s="1"/>
  <c r="AG118" i="24" s="1"/>
  <c r="AQ119" i="17"/>
  <c r="U141" i="17"/>
  <c r="AE87" i="24"/>
  <c r="AF87" i="24" s="1"/>
  <c r="AG87" i="24" s="1"/>
  <c r="AQ71" i="17"/>
  <c r="AE74" i="24"/>
  <c r="AF74" i="24" s="1"/>
  <c r="AG74" i="24" s="1"/>
  <c r="AQ68" i="17"/>
  <c r="AE71" i="24"/>
  <c r="AF71" i="24" s="1"/>
  <c r="AG71" i="24" s="1"/>
  <c r="AE61" i="24"/>
  <c r="AF61" i="24" s="1"/>
  <c r="AG61" i="24" s="1"/>
  <c r="AQ92" i="17"/>
  <c r="AE98" i="24"/>
  <c r="AF98" i="24" s="1"/>
  <c r="AG98" i="24" s="1"/>
  <c r="AQ7" i="17"/>
  <c r="AE8" i="24"/>
  <c r="AF8" i="24" s="1"/>
  <c r="AG8" i="24" s="1"/>
  <c r="AQ49" i="17"/>
  <c r="AE51" i="24"/>
  <c r="AF51" i="24" s="1"/>
  <c r="AG51" i="24" s="1"/>
  <c r="AQ10" i="17"/>
  <c r="AE12" i="24"/>
  <c r="AF12" i="24" s="1"/>
  <c r="AG12" i="24" s="1"/>
  <c r="AQ88" i="17"/>
  <c r="AE94" i="24"/>
  <c r="AF94" i="24" s="1"/>
  <c r="AG94" i="24" s="1"/>
  <c r="AQ51" i="17"/>
  <c r="AE53" i="24"/>
  <c r="AF53" i="24" s="1"/>
  <c r="AG53" i="24" s="1"/>
  <c r="AQ101" i="17"/>
  <c r="AE107" i="24"/>
  <c r="AF107" i="24" s="1"/>
  <c r="AG107" i="24" s="1"/>
  <c r="AQ110" i="17"/>
  <c r="AE117" i="24"/>
  <c r="AF117" i="24" s="1"/>
  <c r="AG117" i="24" s="1"/>
  <c r="AQ70" i="17"/>
  <c r="AE73" i="24"/>
  <c r="AF73" i="24" s="1"/>
  <c r="AG73" i="24" s="1"/>
  <c r="AQ121" i="17"/>
  <c r="AE127" i="24"/>
  <c r="AF127" i="24" s="1"/>
  <c r="AG127" i="24" s="1"/>
  <c r="AQ61" i="17"/>
  <c r="AE64" i="24"/>
  <c r="AF64" i="24" s="1"/>
  <c r="AG64" i="24" s="1"/>
  <c r="AQ91" i="17"/>
  <c r="AE97" i="24"/>
  <c r="AF97" i="24" s="1"/>
  <c r="AG97" i="24" s="1"/>
  <c r="AQ129" i="17"/>
  <c r="AE136" i="24"/>
  <c r="AF136" i="24" s="1"/>
  <c r="AG136" i="24" s="1"/>
  <c r="AQ118" i="17"/>
  <c r="AE125" i="24"/>
  <c r="AF125" i="24" s="1"/>
  <c r="AG125" i="24" s="1"/>
  <c r="AQ85" i="17"/>
  <c r="AE91" i="24"/>
  <c r="AF91" i="24" s="1"/>
  <c r="AG91" i="24" s="1"/>
  <c r="AF6" i="24"/>
  <c r="X141" i="17"/>
  <c r="AQ30" i="17"/>
  <c r="AE32" i="24"/>
  <c r="AF32" i="24" s="1"/>
  <c r="AG32" i="24" s="1"/>
  <c r="AQ82" i="17"/>
  <c r="AE85" i="24"/>
  <c r="AF85" i="24" s="1"/>
  <c r="AG85" i="24" s="1"/>
  <c r="AQ69" i="17"/>
  <c r="AE72" i="24"/>
  <c r="AF72" i="24" s="1"/>
  <c r="AG72" i="24" s="1"/>
  <c r="AQ43" i="17"/>
  <c r="AE45" i="24"/>
  <c r="AF45" i="24" s="1"/>
  <c r="AG45" i="24" s="1"/>
  <c r="AQ64" i="17"/>
  <c r="AE67" i="24"/>
  <c r="AF67" i="24" s="1"/>
  <c r="AG67" i="24" s="1"/>
  <c r="AQ122" i="17"/>
  <c r="AE128" i="24"/>
  <c r="AF128" i="24" s="1"/>
  <c r="AG128" i="24" s="1"/>
  <c r="AQ140" i="17"/>
  <c r="AQ44" i="17"/>
  <c r="AE46" i="24"/>
  <c r="AF46" i="24" s="1"/>
  <c r="AG46" i="24" s="1"/>
  <c r="AQ105" i="17"/>
  <c r="AE111" i="24"/>
  <c r="AF111" i="24" s="1"/>
  <c r="AG111" i="24" s="1"/>
  <c r="AQ14" i="17"/>
  <c r="AE16" i="24"/>
  <c r="AF16" i="24" s="1"/>
  <c r="AG16" i="24" s="1"/>
  <c r="AQ65" i="17"/>
  <c r="AE68" i="24"/>
  <c r="AF68" i="24" s="1"/>
  <c r="AG68" i="24" s="1"/>
  <c r="AQ24" i="17"/>
  <c r="AE27" i="24"/>
  <c r="AF27" i="24" s="1"/>
  <c r="AG27" i="24" s="1"/>
  <c r="AQ60" i="17"/>
  <c r="AE63" i="24"/>
  <c r="AF63" i="24" s="1"/>
  <c r="AG63" i="24" s="1"/>
  <c r="AQ21" i="17"/>
  <c r="AE24" i="24"/>
  <c r="AF24" i="24" s="1"/>
  <c r="AG24" i="24" s="1"/>
  <c r="AQ90" i="17"/>
  <c r="AE96" i="24"/>
  <c r="AF96" i="24" s="1"/>
  <c r="AG96" i="24" s="1"/>
  <c r="AQ48" i="17"/>
  <c r="AE50" i="24"/>
  <c r="AF50" i="24" s="1"/>
  <c r="AG50" i="24" s="1"/>
  <c r="AE112" i="24"/>
  <c r="AF112" i="24" s="1"/>
  <c r="AG112" i="24" s="1"/>
  <c r="AQ115" i="17"/>
  <c r="AE122" i="24"/>
  <c r="AF122" i="24" s="1"/>
  <c r="AG122" i="24" s="1"/>
  <c r="AQ27" i="17"/>
  <c r="AE29" i="24"/>
  <c r="AF29" i="24" s="1"/>
  <c r="AG29" i="24" s="1"/>
  <c r="AQ108" i="17"/>
  <c r="AE115" i="24"/>
  <c r="AF115" i="24" s="1"/>
  <c r="AG115" i="24" s="1"/>
  <c r="AQ56" i="17"/>
  <c r="AE58" i="24"/>
  <c r="AF58" i="24" s="1"/>
  <c r="AG58" i="24" s="1"/>
  <c r="AQ67" i="17"/>
  <c r="AE70" i="24"/>
  <c r="AF70" i="24" s="1"/>
  <c r="AG70" i="24" s="1"/>
  <c r="AQ107" i="17"/>
  <c r="AE114" i="24"/>
  <c r="AF114" i="24" s="1"/>
  <c r="AG114" i="24" s="1"/>
  <c r="AQ16" i="17"/>
  <c r="AE18" i="24"/>
  <c r="AF18" i="24" s="1"/>
  <c r="AG18" i="24" s="1"/>
  <c r="AQ87" i="17"/>
  <c r="AE93" i="24"/>
  <c r="AF93" i="24" s="1"/>
  <c r="AG93" i="24" s="1"/>
  <c r="R141" i="17"/>
  <c r="AQ46" i="17"/>
  <c r="AE48" i="24"/>
  <c r="AF48" i="24" s="1"/>
  <c r="AG48" i="24" s="1"/>
  <c r="AE89" i="24"/>
  <c r="AF89" i="24" s="1"/>
  <c r="AG89" i="24" s="1"/>
  <c r="AQ130" i="17"/>
  <c r="AE137" i="24"/>
  <c r="AF137" i="24" s="1"/>
  <c r="AG137" i="24" s="1"/>
  <c r="AQ84" i="17"/>
  <c r="AE90" i="24"/>
  <c r="AF90" i="24" s="1"/>
  <c r="AG90" i="24" s="1"/>
  <c r="AQ89" i="17"/>
  <c r="AE95" i="24"/>
  <c r="AF95" i="24" s="1"/>
  <c r="AG95" i="24" s="1"/>
  <c r="AQ23" i="17"/>
  <c r="AE26" i="24"/>
  <c r="AF26" i="24" s="1"/>
  <c r="AG26" i="24" s="1"/>
  <c r="AQ8" i="17"/>
  <c r="AE10" i="24"/>
  <c r="AF10" i="24" s="1"/>
  <c r="AG10" i="24" s="1"/>
  <c r="AQ32" i="17"/>
  <c r="AE34" i="24"/>
  <c r="AF34" i="24" s="1"/>
  <c r="AG34" i="24" s="1"/>
  <c r="AQ102" i="17"/>
  <c r="AE108" i="24"/>
  <c r="AF108" i="24" s="1"/>
  <c r="AG108" i="24" s="1"/>
  <c r="AQ138" i="17"/>
  <c r="AQ135" i="17"/>
  <c r="AE132" i="24"/>
  <c r="AF132" i="24" s="1"/>
  <c r="AG132" i="24" s="1"/>
  <c r="AQ25" i="17"/>
  <c r="AE28" i="24"/>
  <c r="AF28" i="24" s="1"/>
  <c r="AG28" i="24" s="1"/>
  <c r="AQ100" i="17"/>
  <c r="AE106" i="24"/>
  <c r="AF106" i="24" s="1"/>
  <c r="AG106" i="24" s="1"/>
  <c r="AE88" i="24"/>
  <c r="AF88" i="24" s="1"/>
  <c r="AG88" i="24" s="1"/>
  <c r="AQ109" i="17"/>
  <c r="AE116" i="24"/>
  <c r="AF116" i="24" s="1"/>
  <c r="AG116" i="24" s="1"/>
  <c r="AQ127" i="17"/>
  <c r="AE134" i="24"/>
  <c r="AF134" i="24" s="1"/>
  <c r="AG134" i="24" s="1"/>
  <c r="AQ73" i="17"/>
  <c r="AE76" i="24"/>
  <c r="AF76" i="24" s="1"/>
  <c r="AG76" i="24" s="1"/>
  <c r="AQ28" i="17"/>
  <c r="AE30" i="24"/>
  <c r="AF30" i="24" s="1"/>
  <c r="AG30" i="24" s="1"/>
  <c r="O141" i="17"/>
  <c r="O20" i="25"/>
  <c r="O6" i="25"/>
  <c r="O8" i="25"/>
  <c r="O21" i="25"/>
  <c r="O13" i="25"/>
  <c r="AQ20" i="17"/>
  <c r="O16" i="25"/>
  <c r="AQ76" i="17"/>
  <c r="O23" i="25"/>
  <c r="AQ38" i="17"/>
  <c r="O12" i="25"/>
  <c r="AQ97" i="17"/>
  <c r="O19" i="25"/>
  <c r="AQ42" i="17"/>
  <c r="O9" i="25"/>
  <c r="AQ31" i="17"/>
  <c r="O10" i="25"/>
  <c r="AQ106" i="17"/>
  <c r="O15" i="25"/>
  <c r="AQ41" i="17"/>
  <c r="O7" i="25"/>
  <c r="AQ50" i="17"/>
  <c r="O11" i="25"/>
  <c r="AQ66" i="17"/>
  <c r="O18" i="25"/>
  <c r="O17" i="25"/>
  <c r="O22" i="25"/>
  <c r="T24" i="25"/>
  <c r="U24" i="25"/>
  <c r="W24" i="25"/>
  <c r="N24" i="25"/>
  <c r="Q24" i="25"/>
  <c r="X14" i="25"/>
  <c r="R13" i="25"/>
  <c r="R14" i="25"/>
  <c r="R23" i="25"/>
  <c r="O14" i="25"/>
  <c r="AQ33" i="17"/>
  <c r="R7" i="25"/>
  <c r="X16" i="25"/>
  <c r="R6" i="25"/>
  <c r="X19" i="25"/>
  <c r="X11" i="25"/>
  <c r="X23" i="25"/>
  <c r="X22" i="25"/>
  <c r="X17" i="25"/>
  <c r="X21" i="25"/>
  <c r="R12" i="25"/>
  <c r="X7" i="25"/>
  <c r="X10" i="25"/>
  <c r="X20" i="25"/>
  <c r="R22" i="25"/>
  <c r="R18" i="25"/>
  <c r="R11" i="25"/>
  <c r="R16" i="25"/>
  <c r="R19" i="25"/>
  <c r="R20" i="25"/>
  <c r="R10" i="25"/>
  <c r="R8" i="25"/>
  <c r="X18" i="25"/>
  <c r="X8" i="25"/>
  <c r="R17" i="25"/>
  <c r="R21" i="25"/>
  <c r="X13" i="25"/>
  <c r="X9" i="25"/>
  <c r="R9" i="25"/>
  <c r="AQ6" i="25" l="1"/>
  <c r="AQ13" i="25"/>
  <c r="AQ21" i="25"/>
  <c r="AQ20" i="25"/>
  <c r="AJ6" i="24"/>
  <c r="AI142" i="24"/>
  <c r="AE142" i="24"/>
  <c r="AF142" i="24"/>
  <c r="AG142" i="24" s="1"/>
  <c r="AG6" i="24"/>
  <c r="AQ19" i="25"/>
  <c r="AQ23" i="25"/>
  <c r="AQ141" i="17"/>
  <c r="AR141" i="17"/>
  <c r="AR17" i="25"/>
  <c r="AR6" i="25"/>
  <c r="AQ14" i="25"/>
  <c r="AQ11" i="25"/>
  <c r="AQ15" i="25"/>
  <c r="AR11" i="25"/>
  <c r="AQ9" i="25"/>
  <c r="AQ12" i="25"/>
  <c r="AQ16" i="25"/>
  <c r="AQ18" i="25"/>
  <c r="AQ7" i="25"/>
  <c r="AQ10" i="25"/>
  <c r="AR16" i="25"/>
  <c r="AR10" i="25"/>
  <c r="AQ17" i="25"/>
  <c r="AR13" i="25"/>
  <c r="AR21" i="25"/>
  <c r="AR9" i="25"/>
  <c r="AQ8" i="25"/>
  <c r="O24" i="25"/>
  <c r="AQ22" i="25"/>
  <c r="X24" i="25"/>
  <c r="R24" i="25"/>
  <c r="AR8" i="25"/>
  <c r="AR20" i="25"/>
  <c r="AR14" i="25"/>
  <c r="AR12" i="25"/>
  <c r="AR7" i="25"/>
  <c r="AR19" i="25"/>
  <c r="AR18" i="25"/>
  <c r="AR23" i="25"/>
  <c r="AR15" i="25"/>
  <c r="AR22" i="25"/>
  <c r="AK6" i="24" l="1"/>
  <c r="AJ142" i="24"/>
  <c r="AK142" i="24" s="1"/>
  <c r="AQ24" i="25"/>
  <c r="AR24" i="25"/>
  <c r="J15" i="17" l="1"/>
  <c r="J42" i="17"/>
  <c r="J112" i="17"/>
  <c r="J119" i="17"/>
  <c r="J68" i="17"/>
  <c r="J102" i="17"/>
  <c r="J131" i="17"/>
  <c r="J103" i="17"/>
  <c r="J135" i="17"/>
  <c r="J133" i="17"/>
  <c r="J57" i="17"/>
  <c r="J46" i="17"/>
  <c r="J6" i="17"/>
  <c r="J129" i="17"/>
  <c r="J9" i="17"/>
  <c r="J96" i="17"/>
  <c r="J138" i="17"/>
  <c r="J51" i="17"/>
  <c r="J113" i="17"/>
  <c r="J33" i="17"/>
  <c r="J64" i="17"/>
  <c r="J105" i="17"/>
  <c r="J71" i="17"/>
  <c r="J100" i="17"/>
  <c r="J65" i="17"/>
  <c r="J81" i="17"/>
  <c r="J114" i="17"/>
  <c r="H8" i="25"/>
  <c r="J36" i="17"/>
  <c r="H17" i="25"/>
  <c r="H18" i="25"/>
  <c r="H9" i="25"/>
  <c r="J77" i="17"/>
  <c r="J128" i="17"/>
  <c r="J53" i="17"/>
  <c r="H13" i="25"/>
  <c r="J106" i="17"/>
  <c r="J39" i="17"/>
  <c r="J127" i="17"/>
  <c r="J52" i="17"/>
  <c r="J111" i="17"/>
  <c r="J59" i="17"/>
  <c r="J117" i="17"/>
  <c r="J87" i="17"/>
  <c r="J73" i="17"/>
  <c r="J58" i="17"/>
  <c r="H11" i="25"/>
  <c r="J19" i="17"/>
  <c r="J122" i="17"/>
  <c r="J121" i="17"/>
  <c r="G77" i="17"/>
  <c r="G119" i="17"/>
  <c r="H19" i="25"/>
  <c r="J130" i="17"/>
  <c r="J116" i="17"/>
  <c r="J101" i="17"/>
  <c r="J86" i="17"/>
  <c r="J72" i="17"/>
  <c r="H14" i="25"/>
  <c r="G33" i="17"/>
  <c r="G114" i="17"/>
  <c r="G113" i="17"/>
  <c r="H15" i="25"/>
  <c r="H23" i="25"/>
  <c r="J125" i="17"/>
  <c r="J123" i="17"/>
  <c r="J107" i="17"/>
  <c r="J93" i="17"/>
  <c r="J80" i="17"/>
  <c r="H20" i="25"/>
  <c r="J45" i="17"/>
  <c r="J110" i="17"/>
  <c r="J50" i="17"/>
  <c r="H16" i="25"/>
  <c r="J120" i="17"/>
  <c r="J27" i="17"/>
  <c r="G48" i="17"/>
  <c r="J48" i="17"/>
  <c r="J88" i="17"/>
  <c r="J11" i="17"/>
  <c r="G15" i="17"/>
  <c r="H6" i="25"/>
  <c r="J140" i="17"/>
  <c r="G140" i="17"/>
  <c r="J8" i="17"/>
  <c r="J37" i="17"/>
  <c r="J54" i="17"/>
  <c r="G54" i="17"/>
  <c r="G106" i="17"/>
  <c r="G39" i="17"/>
  <c r="J14" i="17"/>
  <c r="J92" i="17"/>
  <c r="J91" i="17"/>
  <c r="H12" i="25"/>
  <c r="J30" i="17"/>
  <c r="G30" i="17"/>
  <c r="H7" i="25"/>
  <c r="J41" i="17"/>
  <c r="G41" i="17"/>
  <c r="J69" i="17"/>
  <c r="G69" i="17"/>
  <c r="J90" i="17"/>
  <c r="G90" i="17"/>
  <c r="J47" i="17"/>
  <c r="J32" i="17"/>
  <c r="H21" i="25"/>
  <c r="J134" i="17"/>
  <c r="J63" i="17"/>
  <c r="J78" i="17"/>
  <c r="J56" i="17"/>
  <c r="G138" i="17"/>
  <c r="G110" i="17"/>
  <c r="G96" i="17"/>
  <c r="G50" i="17"/>
  <c r="J66" i="17"/>
  <c r="G66" i="17"/>
  <c r="G128" i="17"/>
  <c r="G63" i="17"/>
  <c r="G78" i="17"/>
  <c r="J28" i="17"/>
  <c r="J40" i="17"/>
  <c r="J25" i="17"/>
  <c r="J26" i="17"/>
  <c r="J13" i="17"/>
  <c r="H22" i="25"/>
  <c r="H141" i="17"/>
  <c r="J79" i="17"/>
  <c r="J16" i="17"/>
  <c r="J17" i="17"/>
  <c r="J55" i="17"/>
  <c r="J108" i="17"/>
  <c r="J115" i="17"/>
  <c r="G17" i="17"/>
  <c r="G127" i="17"/>
  <c r="G53" i="17"/>
  <c r="G14" i="17"/>
  <c r="G111" i="17"/>
  <c r="G59" i="17"/>
  <c r="G117" i="17"/>
  <c r="G87" i="17"/>
  <c r="G73" i="17"/>
  <c r="G58" i="17"/>
  <c r="J44" i="17"/>
  <c r="J139" i="17"/>
  <c r="J89" i="17"/>
  <c r="G131" i="17"/>
  <c r="G102" i="17"/>
  <c r="G130" i="17"/>
  <c r="G116" i="17"/>
  <c r="G101" i="17"/>
  <c r="G86" i="17"/>
  <c r="G72" i="17"/>
  <c r="G57" i="17"/>
  <c r="J10" i="17"/>
  <c r="J84" i="17"/>
  <c r="J24" i="17"/>
  <c r="J31" i="17"/>
  <c r="J60" i="17"/>
  <c r="G36" i="17"/>
  <c r="G125" i="17"/>
  <c r="G135" i="17"/>
  <c r="G123" i="17"/>
  <c r="G107" i="17"/>
  <c r="G93" i="17"/>
  <c r="G80" i="17"/>
  <c r="G64" i="17"/>
  <c r="G47" i="17"/>
  <c r="G32" i="17"/>
  <c r="G134" i="17"/>
  <c r="G8" i="17"/>
  <c r="J62" i="17"/>
  <c r="J104" i="17"/>
  <c r="G104" i="17"/>
  <c r="J21" i="17"/>
  <c r="G21" i="17"/>
  <c r="J83" i="17"/>
  <c r="G83" i="17"/>
  <c r="G35" i="17"/>
  <c r="J35" i="17"/>
  <c r="J118" i="17"/>
  <c r="J75" i="17"/>
  <c r="J70" i="17"/>
  <c r="G7" i="17"/>
  <c r="J7" i="17"/>
  <c r="J124" i="17"/>
  <c r="G38" i="17"/>
  <c r="J38" i="17"/>
  <c r="J12" i="17"/>
  <c r="J97" i="17"/>
  <c r="J82" i="17"/>
  <c r="J137" i="17"/>
  <c r="J126" i="17"/>
  <c r="G27" i="17"/>
  <c r="G11" i="17"/>
  <c r="G92" i="17"/>
  <c r="G91" i="17"/>
  <c r="H10" i="25"/>
  <c r="J29" i="17"/>
  <c r="G29" i="17"/>
  <c r="J132" i="17"/>
  <c r="G62" i="17"/>
  <c r="G37" i="17"/>
  <c r="J61" i="17"/>
  <c r="J98" i="17"/>
  <c r="J95" i="17"/>
  <c r="J136" i="17"/>
  <c r="G16" i="17"/>
  <c r="G61" i="17"/>
  <c r="G105" i="17"/>
  <c r="G44" i="17"/>
  <c r="G139" i="17"/>
  <c r="G89" i="17"/>
  <c r="J109" i="17"/>
  <c r="J94" i="17"/>
  <c r="G26" i="17"/>
  <c r="G10" i="17"/>
  <c r="G84" i="17"/>
  <c r="G24" i="17"/>
  <c r="G31" i="17"/>
  <c r="G120" i="17"/>
  <c r="G60" i="17"/>
  <c r="J43" i="17"/>
  <c r="J85" i="17"/>
  <c r="G67" i="17"/>
  <c r="J67" i="17"/>
  <c r="G20" i="17"/>
  <c r="J20" i="17"/>
  <c r="J49" i="17"/>
  <c r="G79" i="17"/>
  <c r="G97" i="17"/>
  <c r="G25" i="17"/>
  <c r="J99" i="17"/>
  <c r="J74" i="17"/>
  <c r="G133" i="17"/>
  <c r="G51" i="17"/>
  <c r="G6" i="17"/>
  <c r="G132" i="17"/>
  <c r="G118" i="17"/>
  <c r="G103" i="17"/>
  <c r="G88" i="17"/>
  <c r="G75" i="17"/>
  <c r="G42" i="17"/>
  <c r="G28" i="17"/>
  <c r="J34" i="17"/>
  <c r="G22" i="17"/>
  <c r="J22" i="17"/>
  <c r="G23" i="17"/>
  <c r="J23" i="17"/>
  <c r="G34" i="17"/>
  <c r="G98" i="17"/>
  <c r="G126" i="17"/>
  <c r="G13" i="17"/>
  <c r="G95" i="17"/>
  <c r="G82" i="17"/>
  <c r="G109" i="17"/>
  <c r="G136" i="17"/>
  <c r="G124" i="17"/>
  <c r="G108" i="17"/>
  <c r="G94" i="17"/>
  <c r="G81" i="17"/>
  <c r="G65" i="17"/>
  <c r="G43" i="17"/>
  <c r="G137" i="17"/>
  <c r="G129" i="17"/>
  <c r="G115" i="17"/>
  <c r="G100" i="17"/>
  <c r="G85" i="17"/>
  <c r="G71" i="17"/>
  <c r="G55" i="17"/>
  <c r="G40" i="17"/>
  <c r="G9" i="17"/>
  <c r="G70" i="17"/>
  <c r="G12" i="17"/>
  <c r="G56" i="17"/>
  <c r="G68" i="17"/>
  <c r="G76" i="17"/>
  <c r="J76" i="17"/>
  <c r="G49" i="17"/>
  <c r="G112" i="17"/>
  <c r="G52" i="17"/>
  <c r="G19" i="17"/>
  <c r="G122" i="17"/>
  <c r="G46" i="17"/>
  <c r="G121" i="17"/>
  <c r="G99" i="17"/>
  <c r="G74" i="17"/>
  <c r="G45" i="17"/>
  <c r="G6" i="25" l="1"/>
  <c r="J9" i="25"/>
  <c r="I9" i="25" s="1"/>
  <c r="J11" i="25"/>
  <c r="I11" i="25" s="1"/>
  <c r="J21" i="25"/>
  <c r="I21" i="25" s="1"/>
  <c r="J6" i="25"/>
  <c r="I6" i="25" s="1"/>
  <c r="G11" i="25"/>
  <c r="J20" i="25"/>
  <c r="I20" i="25" s="1"/>
  <c r="G17" i="25"/>
  <c r="J13" i="25"/>
  <c r="I13" i="25" s="1"/>
  <c r="J17" i="25"/>
  <c r="I17" i="25" s="1"/>
  <c r="J15" i="25"/>
  <c r="I15" i="25" s="1"/>
  <c r="J10" i="25"/>
  <c r="I10" i="25" s="1"/>
  <c r="J12" i="25"/>
  <c r="I12" i="25" s="1"/>
  <c r="G10" i="25"/>
  <c r="G8" i="25"/>
  <c r="G18" i="25"/>
  <c r="G16" i="25"/>
  <c r="G9" i="25"/>
  <c r="G23" i="25"/>
  <c r="J19" i="25"/>
  <c r="I19" i="25" s="1"/>
  <c r="G13" i="25"/>
  <c r="G19" i="25"/>
  <c r="G20" i="25"/>
  <c r="G15" i="25"/>
  <c r="G21" i="25"/>
  <c r="G12" i="25"/>
  <c r="G7" i="25"/>
  <c r="J14" i="25"/>
  <c r="I14" i="25" s="1"/>
  <c r="J7" i="25"/>
  <c r="I7" i="25" s="1"/>
  <c r="G14" i="25"/>
  <c r="H24" i="25"/>
  <c r="G141" i="17"/>
  <c r="G22" i="25"/>
  <c r="J141" i="17"/>
  <c r="J18" i="25"/>
  <c r="I18" i="25" s="1"/>
  <c r="J23" i="25"/>
  <c r="I23" i="25" s="1"/>
  <c r="J16" i="25"/>
  <c r="I16" i="25" s="1"/>
  <c r="J22" i="25"/>
  <c r="I22" i="25" s="1"/>
  <c r="J8" i="25"/>
  <c r="I8" i="25" s="1"/>
  <c r="K48" i="17" l="1"/>
  <c r="K18" i="17"/>
  <c r="K53" i="17"/>
  <c r="K6" i="17"/>
  <c r="K61" i="17"/>
  <c r="K98" i="17"/>
  <c r="K114" i="17"/>
  <c r="G24" i="25"/>
  <c r="K123" i="17"/>
  <c r="K28" i="17"/>
  <c r="K134" i="17"/>
  <c r="K117" i="17"/>
  <c r="K112" i="17"/>
  <c r="K138" i="17"/>
  <c r="K90" i="17"/>
  <c r="K131" i="17"/>
  <c r="K116" i="17"/>
  <c r="K36" i="17"/>
  <c r="K135" i="17"/>
  <c r="K71" i="17"/>
  <c r="K103" i="17"/>
  <c r="K66" i="17"/>
  <c r="K72" i="17"/>
  <c r="K34" i="17"/>
  <c r="K97" i="17"/>
  <c r="K42" i="17"/>
  <c r="K113" i="17"/>
  <c r="K26" i="17"/>
  <c r="K99" i="17"/>
  <c r="K77" i="17"/>
  <c r="K80" i="17"/>
  <c r="K12" i="17"/>
  <c r="K24" i="17"/>
  <c r="K105" i="17"/>
  <c r="K44" i="17"/>
  <c r="K137" i="17"/>
  <c r="K132" i="17"/>
  <c r="K130" i="17"/>
  <c r="K94" i="17"/>
  <c r="K70" i="17"/>
  <c r="K92" i="17"/>
  <c r="K21" i="17"/>
  <c r="K102" i="17"/>
  <c r="K96" i="17"/>
  <c r="K51" i="17"/>
  <c r="K87" i="17"/>
  <c r="K32" i="17"/>
  <c r="K46" i="17"/>
  <c r="K95" i="17"/>
  <c r="K86" i="17"/>
  <c r="K120" i="17"/>
  <c r="K101" i="17"/>
  <c r="K14" i="17"/>
  <c r="K74" i="17"/>
  <c r="K128" i="17"/>
  <c r="K79" i="17"/>
  <c r="K84" i="17"/>
  <c r="K58" i="17"/>
  <c r="K45" i="17"/>
  <c r="K136" i="17"/>
  <c r="K89" i="17"/>
  <c r="K9" i="17"/>
  <c r="K93" i="17"/>
  <c r="K55" i="17"/>
  <c r="K109" i="17"/>
  <c r="K35" i="17"/>
  <c r="K52" i="17"/>
  <c r="K39" i="17"/>
  <c r="K16" i="17"/>
  <c r="K40" i="17"/>
  <c r="K78" i="17"/>
  <c r="K125" i="17"/>
  <c r="K115" i="17"/>
  <c r="K67" i="17"/>
  <c r="K20" i="17"/>
  <c r="K23" i="17"/>
  <c r="K75" i="17"/>
  <c r="K31" i="17"/>
  <c r="K76" i="17"/>
  <c r="K50" i="17"/>
  <c r="K91" i="17"/>
  <c r="K57" i="17"/>
  <c r="K118" i="17"/>
  <c r="K27" i="17"/>
  <c r="K7" i="17"/>
  <c r="K73" i="17"/>
  <c r="K13" i="17"/>
  <c r="K10" i="17"/>
  <c r="K100" i="17"/>
  <c r="K41" i="17"/>
  <c r="K68" i="17"/>
  <c r="K56" i="17"/>
  <c r="K104" i="17"/>
  <c r="K29" i="17"/>
  <c r="K19" i="17"/>
  <c r="K110" i="17"/>
  <c r="K49" i="17"/>
  <c r="K121" i="17"/>
  <c r="K37" i="17"/>
  <c r="K140" i="17"/>
  <c r="K133" i="17"/>
  <c r="K127" i="17"/>
  <c r="K63" i="17"/>
  <c r="K106" i="17"/>
  <c r="K124" i="17"/>
  <c r="K129" i="17"/>
  <c r="K119" i="17"/>
  <c r="K47" i="17"/>
  <c r="K139" i="17"/>
  <c r="K83" i="17"/>
  <c r="K25" i="17"/>
  <c r="K43" i="17"/>
  <c r="K54" i="17"/>
  <c r="K81" i="17"/>
  <c r="K62" i="17"/>
  <c r="K8" i="17"/>
  <c r="J24" i="25"/>
  <c r="I24" i="25" s="1"/>
  <c r="K22" i="17"/>
  <c r="K65" i="17"/>
  <c r="K15" i="17"/>
  <c r="K122" i="17"/>
  <c r="K30" i="17"/>
  <c r="K88" i="17"/>
  <c r="K60" i="17"/>
  <c r="K11" i="17"/>
  <c r="K64" i="17"/>
  <c r="K108" i="17"/>
  <c r="K85" i="17"/>
  <c r="K107" i="17"/>
  <c r="K126" i="17"/>
  <c r="K17" i="17"/>
  <c r="K33" i="17"/>
  <c r="K38" i="17"/>
  <c r="K111" i="17"/>
  <c r="K82" i="17"/>
  <c r="K59" i="17"/>
  <c r="K69" i="17"/>
  <c r="L69" i="17" l="1"/>
  <c r="L107" i="17"/>
  <c r="L30" i="17"/>
  <c r="AP30" i="17" s="1"/>
  <c r="L62" i="17"/>
  <c r="L119" i="17"/>
  <c r="L37" i="17"/>
  <c r="L73" i="17"/>
  <c r="L31" i="17"/>
  <c r="L40" i="17"/>
  <c r="L9" i="17"/>
  <c r="L128" i="17"/>
  <c r="L32" i="17"/>
  <c r="L94" i="17"/>
  <c r="L12" i="17"/>
  <c r="L131" i="17"/>
  <c r="L59" i="17"/>
  <c r="L129" i="17"/>
  <c r="L104" i="17"/>
  <c r="L89" i="17"/>
  <c r="L87" i="17"/>
  <c r="L114" i="17"/>
  <c r="L82" i="17"/>
  <c r="L108" i="17"/>
  <c r="L54" i="17"/>
  <c r="L124" i="17"/>
  <c r="L56" i="17"/>
  <c r="L27" i="17"/>
  <c r="L39" i="17"/>
  <c r="L136" i="17"/>
  <c r="L14" i="17"/>
  <c r="L51" i="17"/>
  <c r="L130" i="17"/>
  <c r="L77" i="17"/>
  <c r="L66" i="17"/>
  <c r="L138" i="17"/>
  <c r="L98" i="17"/>
  <c r="L85" i="17"/>
  <c r="AP85" i="17" s="1"/>
  <c r="L72" i="17"/>
  <c r="L90" i="17"/>
  <c r="L111" i="17"/>
  <c r="L65" i="17"/>
  <c r="L43" i="17"/>
  <c r="L106" i="17"/>
  <c r="L68" i="17"/>
  <c r="L118" i="17"/>
  <c r="L52" i="17"/>
  <c r="L45" i="17"/>
  <c r="L101" i="17"/>
  <c r="L96" i="17"/>
  <c r="L132" i="17"/>
  <c r="L99" i="17"/>
  <c r="L103" i="17"/>
  <c r="AP103" i="17" s="1"/>
  <c r="L112" i="17"/>
  <c r="L61" i="17"/>
  <c r="L81" i="17"/>
  <c r="L25" i="17"/>
  <c r="L57" i="17"/>
  <c r="L35" i="17"/>
  <c r="L58" i="17"/>
  <c r="L120" i="17"/>
  <c r="L102" i="17"/>
  <c r="L137" i="17"/>
  <c r="L26" i="17"/>
  <c r="L71" i="17"/>
  <c r="L117" i="17"/>
  <c r="L6" i="17"/>
  <c r="L122" i="17"/>
  <c r="L74" i="17"/>
  <c r="L80" i="17"/>
  <c r="L64" i="17"/>
  <c r="L63" i="17"/>
  <c r="L121" i="17"/>
  <c r="L33" i="17"/>
  <c r="L11" i="17"/>
  <c r="L83" i="17"/>
  <c r="L127" i="17"/>
  <c r="L100" i="17"/>
  <c r="L91" i="17"/>
  <c r="L115" i="17"/>
  <c r="L109" i="17"/>
  <c r="L84" i="17"/>
  <c r="L86" i="17"/>
  <c r="L21" i="17"/>
  <c r="L44" i="17"/>
  <c r="L113" i="17"/>
  <c r="L135" i="17"/>
  <c r="L134" i="17"/>
  <c r="L53" i="17"/>
  <c r="L60" i="17"/>
  <c r="L139" i="17"/>
  <c r="L133" i="17"/>
  <c r="L110" i="17"/>
  <c r="L10" i="17"/>
  <c r="L50" i="17"/>
  <c r="L125" i="17"/>
  <c r="L55" i="17"/>
  <c r="L79" i="17"/>
  <c r="L95" i="17"/>
  <c r="L92" i="17"/>
  <c r="L105" i="17"/>
  <c r="L42" i="17"/>
  <c r="L36" i="17"/>
  <c r="L28" i="17"/>
  <c r="L18" i="17"/>
  <c r="L75" i="17"/>
  <c r="L126" i="17"/>
  <c r="L88" i="17"/>
  <c r="L8" i="17"/>
  <c r="L47" i="17"/>
  <c r="L140" i="17"/>
  <c r="L19" i="17"/>
  <c r="L13" i="17"/>
  <c r="L78" i="17"/>
  <c r="L93" i="17"/>
  <c r="L46" i="17"/>
  <c r="L70" i="17"/>
  <c r="L24" i="17"/>
  <c r="L97" i="17"/>
  <c r="L116" i="17"/>
  <c r="L123" i="17"/>
  <c r="L48" i="17"/>
  <c r="L76" i="17"/>
  <c r="K23" i="25"/>
  <c r="K12" i="25"/>
  <c r="L38" i="17"/>
  <c r="L15" i="17"/>
  <c r="K6" i="25"/>
  <c r="L41" i="17"/>
  <c r="K7" i="25"/>
  <c r="K15" i="25"/>
  <c r="L7" i="17"/>
  <c r="K22" i="25"/>
  <c r="K141" i="17"/>
  <c r="L34" i="17"/>
  <c r="K17" i="25"/>
  <c r="K9" i="25"/>
  <c r="L17" i="17"/>
  <c r="K21" i="25"/>
  <c r="K11" i="25"/>
  <c r="L49" i="17"/>
  <c r="K8" i="25"/>
  <c r="L16" i="17"/>
  <c r="K18" i="25"/>
  <c r="L22" i="17"/>
  <c r="L23" i="17"/>
  <c r="K13" i="25"/>
  <c r="K20" i="25"/>
  <c r="L29" i="17"/>
  <c r="K10" i="25"/>
  <c r="L67" i="17"/>
  <c r="K19" i="25"/>
  <c r="K14" i="25"/>
  <c r="L20" i="17"/>
  <c r="K16" i="25"/>
  <c r="AF19" i="17" l="1"/>
  <c r="AS19" i="17" s="1"/>
  <c r="AF28" i="17"/>
  <c r="AF125" i="17"/>
  <c r="AF26" i="17"/>
  <c r="AS26" i="17" s="1"/>
  <c r="AF81" i="17"/>
  <c r="O81" i="24" s="1"/>
  <c r="AF45" i="17"/>
  <c r="AF111" i="17"/>
  <c r="AS111" i="17" s="1"/>
  <c r="AF130" i="17"/>
  <c r="AS130" i="17" s="1"/>
  <c r="AF54" i="17"/>
  <c r="O54" i="24" s="1"/>
  <c r="AF59" i="17"/>
  <c r="AF31" i="17"/>
  <c r="AF22" i="17"/>
  <c r="O22" i="24" s="1"/>
  <c r="AF51" i="17"/>
  <c r="AF73" i="17"/>
  <c r="AS73" i="17" s="1"/>
  <c r="AF29" i="17"/>
  <c r="AF38" i="17"/>
  <c r="O38" i="24" s="1"/>
  <c r="AF24" i="17"/>
  <c r="AS24" i="17" s="1"/>
  <c r="AF47" i="17"/>
  <c r="AF42" i="17"/>
  <c r="AS42" i="17" s="1"/>
  <c r="AF10" i="17"/>
  <c r="AS10" i="17" s="1"/>
  <c r="AF100" i="17"/>
  <c r="AS100" i="17" s="1"/>
  <c r="AF80" i="17"/>
  <c r="AF112" i="17"/>
  <c r="O112" i="24" s="1"/>
  <c r="AF72" i="17"/>
  <c r="AS72" i="17" s="1"/>
  <c r="AF14" i="17"/>
  <c r="AF12" i="17"/>
  <c r="AF37" i="17"/>
  <c r="AF17" i="17"/>
  <c r="AF70" i="17"/>
  <c r="AS70" i="17" s="1"/>
  <c r="AF127" i="17"/>
  <c r="AS127" i="17" s="1"/>
  <c r="AF120" i="17"/>
  <c r="O120" i="24" s="1"/>
  <c r="AF103" i="17"/>
  <c r="O103" i="24" s="1"/>
  <c r="AF85" i="17"/>
  <c r="AF136" i="17"/>
  <c r="AF114" i="17"/>
  <c r="AS114" i="17" s="1"/>
  <c r="AF94" i="17"/>
  <c r="AS94" i="17" s="1"/>
  <c r="AF119" i="17"/>
  <c r="O119" i="24" s="1"/>
  <c r="P119" i="24" s="1"/>
  <c r="AF67" i="17"/>
  <c r="O67" i="24" s="1"/>
  <c r="AF16" i="17"/>
  <c r="AF97" i="17"/>
  <c r="AS97" i="17" s="1"/>
  <c r="AF49" i="17"/>
  <c r="O49" i="24" s="1"/>
  <c r="AF7" i="17"/>
  <c r="AF46" i="17"/>
  <c r="O46" i="24" s="1"/>
  <c r="AF88" i="17"/>
  <c r="O88" i="24" s="1"/>
  <c r="AF92" i="17"/>
  <c r="AS92" i="17" s="1"/>
  <c r="AF133" i="17"/>
  <c r="AF21" i="17"/>
  <c r="O21" i="24" s="1"/>
  <c r="AF122" i="17"/>
  <c r="AF58" i="17"/>
  <c r="AF99" i="17"/>
  <c r="AF106" i="17"/>
  <c r="AS106" i="17" s="1"/>
  <c r="AF98" i="17"/>
  <c r="AS98" i="17" s="1"/>
  <c r="AF87" i="17"/>
  <c r="O87" i="24" s="1"/>
  <c r="AF62" i="17"/>
  <c r="O62" i="24" s="1"/>
  <c r="AF34" i="17"/>
  <c r="O34" i="24" s="1"/>
  <c r="AF15" i="17"/>
  <c r="O15" i="24" s="1"/>
  <c r="AF140" i="17"/>
  <c r="O141" i="24" s="1"/>
  <c r="AF36" i="17"/>
  <c r="AS36" i="17" s="1"/>
  <c r="AF50" i="17"/>
  <c r="AF135" i="17"/>
  <c r="O135" i="24" s="1"/>
  <c r="AF91" i="17"/>
  <c r="O91" i="24" s="1"/>
  <c r="AF64" i="17"/>
  <c r="O64" i="24" s="1"/>
  <c r="AF137" i="17"/>
  <c r="O138" i="24" s="1"/>
  <c r="AF61" i="17"/>
  <c r="O61" i="24" s="1"/>
  <c r="AF90" i="17"/>
  <c r="AS90" i="17" s="1"/>
  <c r="AU90" i="17" s="1"/>
  <c r="AF108" i="17"/>
  <c r="AF131" i="17"/>
  <c r="AS131" i="17" s="1"/>
  <c r="AF20" i="17"/>
  <c r="O20" i="24" s="1"/>
  <c r="AF23" i="17"/>
  <c r="AF76" i="17"/>
  <c r="AF93" i="17"/>
  <c r="AS93" i="17" s="1"/>
  <c r="AF126" i="17"/>
  <c r="AS126" i="17" s="1"/>
  <c r="AF95" i="17"/>
  <c r="O95" i="24" s="1"/>
  <c r="AF139" i="17"/>
  <c r="AF11" i="17"/>
  <c r="AF6" i="17"/>
  <c r="AF132" i="17"/>
  <c r="O132" i="24" s="1"/>
  <c r="AF43" i="17"/>
  <c r="AS43" i="17" s="1"/>
  <c r="AF138" i="17"/>
  <c r="O139" i="24" s="1"/>
  <c r="AF30" i="17"/>
  <c r="O30" i="24" s="1"/>
  <c r="P30" i="24" s="1"/>
  <c r="AF48" i="17"/>
  <c r="O48" i="24" s="1"/>
  <c r="AF79" i="17"/>
  <c r="AF33" i="17"/>
  <c r="O33" i="24" s="1"/>
  <c r="AF117" i="17"/>
  <c r="AS117" i="17" s="1"/>
  <c r="AF65" i="17"/>
  <c r="AS65" i="17" s="1"/>
  <c r="AF66" i="17"/>
  <c r="AF56" i="17"/>
  <c r="O56" i="24" s="1"/>
  <c r="AF9" i="17"/>
  <c r="O9" i="24" s="1"/>
  <c r="P9" i="24" s="1"/>
  <c r="Q9" i="24" s="1"/>
  <c r="AF41" i="17"/>
  <c r="AF18" i="17"/>
  <c r="AF55" i="17"/>
  <c r="O55" i="24" s="1"/>
  <c r="AF109" i="17"/>
  <c r="O109" i="24" s="1"/>
  <c r="AF121" i="17"/>
  <c r="AS121" i="17" s="1"/>
  <c r="AF25" i="17"/>
  <c r="AS25" i="17" s="1"/>
  <c r="AF101" i="17"/>
  <c r="O101" i="24" s="1"/>
  <c r="AF77" i="17"/>
  <c r="AS77" i="17" s="1"/>
  <c r="AF69" i="17"/>
  <c r="AS69" i="17" s="1"/>
  <c r="AP115" i="17"/>
  <c r="AF115" i="17"/>
  <c r="AS115" i="17" s="1"/>
  <c r="AP116" i="17"/>
  <c r="AF116" i="17"/>
  <c r="O116" i="24" s="1"/>
  <c r="AP134" i="17"/>
  <c r="AF134" i="17"/>
  <c r="AS134" i="17" s="1"/>
  <c r="AP63" i="17"/>
  <c r="AA63" i="24" s="1"/>
  <c r="AB63" i="24" s="1"/>
  <c r="AC63" i="24" s="1"/>
  <c r="AF63" i="17"/>
  <c r="AS63" i="17" s="1"/>
  <c r="AP52" i="17"/>
  <c r="AF52" i="17"/>
  <c r="O52" i="24" s="1"/>
  <c r="AP113" i="17"/>
  <c r="AF113" i="17"/>
  <c r="O113" i="24" s="1"/>
  <c r="AP102" i="17"/>
  <c r="AA102" i="24" s="1"/>
  <c r="AB102" i="24" s="1"/>
  <c r="AC102" i="24" s="1"/>
  <c r="AF102" i="17"/>
  <c r="AS102" i="17" s="1"/>
  <c r="AP118" i="17"/>
  <c r="AF118" i="17"/>
  <c r="AS118" i="17" s="1"/>
  <c r="AP82" i="17"/>
  <c r="AF82" i="17"/>
  <c r="O82" i="24" s="1"/>
  <c r="AP8" i="17"/>
  <c r="AF8" i="17"/>
  <c r="AS8" i="17" s="1"/>
  <c r="AP105" i="17"/>
  <c r="AF105" i="17"/>
  <c r="AS105" i="17" s="1"/>
  <c r="AP110" i="17"/>
  <c r="AF110" i="17"/>
  <c r="AS110" i="17" s="1"/>
  <c r="AP44" i="17"/>
  <c r="AF44" i="17"/>
  <c r="O44" i="24" s="1"/>
  <c r="AP74" i="17"/>
  <c r="AA74" i="24" s="1"/>
  <c r="AB74" i="24" s="1"/>
  <c r="AC74" i="24" s="1"/>
  <c r="AF74" i="17"/>
  <c r="AS74" i="17" s="1"/>
  <c r="AP68" i="17"/>
  <c r="AF68" i="17"/>
  <c r="O68" i="24" s="1"/>
  <c r="AP83" i="17"/>
  <c r="AF83" i="17"/>
  <c r="O83" i="24" s="1"/>
  <c r="AP39" i="17"/>
  <c r="AA39" i="24" s="1"/>
  <c r="AB39" i="24" s="1"/>
  <c r="AC39" i="24" s="1"/>
  <c r="AF39" i="17"/>
  <c r="AS39" i="17" s="1"/>
  <c r="AP32" i="17"/>
  <c r="AA32" i="24" s="1"/>
  <c r="AB32" i="24" s="1"/>
  <c r="AC32" i="24" s="1"/>
  <c r="AF32" i="17"/>
  <c r="O32" i="24" s="1"/>
  <c r="AP86" i="17"/>
  <c r="AF86" i="17"/>
  <c r="AS86" i="17" s="1"/>
  <c r="AP35" i="17"/>
  <c r="AF35" i="17"/>
  <c r="AS35" i="17" s="1"/>
  <c r="AP27" i="17"/>
  <c r="AF27" i="17"/>
  <c r="AS27" i="17" s="1"/>
  <c r="AP89" i="17"/>
  <c r="AA89" i="24" s="1"/>
  <c r="AB89" i="24" s="1"/>
  <c r="AC89" i="24" s="1"/>
  <c r="AF89" i="17"/>
  <c r="AS89" i="17" s="1"/>
  <c r="AP128" i="17"/>
  <c r="AF128" i="17"/>
  <c r="O128" i="24" s="1"/>
  <c r="AP78" i="17"/>
  <c r="AF78" i="17"/>
  <c r="O78" i="24" s="1"/>
  <c r="AP75" i="17"/>
  <c r="AF75" i="17"/>
  <c r="AS75" i="17" s="1"/>
  <c r="AP60" i="17"/>
  <c r="AF60" i="17"/>
  <c r="O60" i="24" s="1"/>
  <c r="AP84" i="17"/>
  <c r="AF84" i="17"/>
  <c r="AS84" i="17" s="1"/>
  <c r="AP57" i="17"/>
  <c r="AA57" i="24" s="1"/>
  <c r="AB57" i="24" s="1"/>
  <c r="AC57" i="24" s="1"/>
  <c r="AF57" i="17"/>
  <c r="O57" i="24" s="1"/>
  <c r="P57" i="24" s="1"/>
  <c r="Q57" i="24" s="1"/>
  <c r="AP96" i="17"/>
  <c r="AF96" i="17"/>
  <c r="AS96" i="17" s="1"/>
  <c r="K96" i="24" s="1"/>
  <c r="AP104" i="17"/>
  <c r="AF104" i="17"/>
  <c r="AS104" i="17" s="1"/>
  <c r="AP107" i="17"/>
  <c r="AF107" i="17"/>
  <c r="AS107" i="17" s="1"/>
  <c r="AP123" i="17"/>
  <c r="AF123" i="17"/>
  <c r="O123" i="24" s="1"/>
  <c r="AP13" i="17"/>
  <c r="AF13" i="17"/>
  <c r="AF53" i="17"/>
  <c r="O53" i="24" s="1"/>
  <c r="AP71" i="17"/>
  <c r="AF71" i="17"/>
  <c r="AS71" i="17" s="1"/>
  <c r="AP124" i="17"/>
  <c r="AF124" i="17"/>
  <c r="AS124" i="17" s="1"/>
  <c r="AP129" i="17"/>
  <c r="AF129" i="17"/>
  <c r="AS129" i="17" s="1"/>
  <c r="AP40" i="17"/>
  <c r="AF40" i="17"/>
  <c r="AS40" i="17" s="1"/>
  <c r="AP37" i="17"/>
  <c r="AA37" i="24" s="1"/>
  <c r="AB37" i="24" s="1"/>
  <c r="AC37" i="24" s="1"/>
  <c r="AP92" i="17"/>
  <c r="AP132" i="17"/>
  <c r="AP46" i="17"/>
  <c r="AA46" i="24" s="1"/>
  <c r="AB46" i="24" s="1"/>
  <c r="AC46" i="24" s="1"/>
  <c r="AP19" i="17"/>
  <c r="AP25" i="17"/>
  <c r="L20" i="25"/>
  <c r="AP135" i="17"/>
  <c r="AP120" i="17"/>
  <c r="AP127" i="17"/>
  <c r="AP79" i="17"/>
  <c r="AP125" i="17"/>
  <c r="AP97" i="17"/>
  <c r="AA103" i="24" s="1"/>
  <c r="AB103" i="24" s="1"/>
  <c r="AC103" i="24" s="1"/>
  <c r="AP43" i="17"/>
  <c r="AS12" i="17"/>
  <c r="AP72" i="17"/>
  <c r="AP69" i="17"/>
  <c r="AS125" i="17"/>
  <c r="AP77" i="17"/>
  <c r="AA77" i="24" s="1"/>
  <c r="AB77" i="24" s="1"/>
  <c r="AC77" i="24" s="1"/>
  <c r="AP12" i="17"/>
  <c r="AP14" i="17"/>
  <c r="AP80" i="17"/>
  <c r="AP73" i="17"/>
  <c r="AP101" i="17"/>
  <c r="AP24" i="17"/>
  <c r="AP36" i="17"/>
  <c r="AP50" i="17"/>
  <c r="AP81" i="17"/>
  <c r="O47" i="24"/>
  <c r="AP111" i="17"/>
  <c r="AA111" i="24" s="1"/>
  <c r="AB111" i="24" s="1"/>
  <c r="AC111" i="24" s="1"/>
  <c r="AP59" i="17"/>
  <c r="AP42" i="17"/>
  <c r="AA42" i="24" s="1"/>
  <c r="AB42" i="24" s="1"/>
  <c r="AC42" i="24" s="1"/>
  <c r="AP10" i="17"/>
  <c r="AA10" i="24" s="1"/>
  <c r="AB10" i="24" s="1"/>
  <c r="AC10" i="24" s="1"/>
  <c r="AP64" i="17"/>
  <c r="AP61" i="17"/>
  <c r="AP90" i="17"/>
  <c r="AP51" i="17"/>
  <c r="AS108" i="17"/>
  <c r="AP9" i="17"/>
  <c r="AA9" i="24" s="1"/>
  <c r="AB9" i="24" s="1"/>
  <c r="AC9" i="24" s="1"/>
  <c r="AP66" i="17"/>
  <c r="AA66" i="24" s="1"/>
  <c r="AB66" i="24" s="1"/>
  <c r="AC66" i="24" s="1"/>
  <c r="AP121" i="17"/>
  <c r="AP33" i="17"/>
  <c r="AP56" i="17"/>
  <c r="AP138" i="17"/>
  <c r="AS136" i="17"/>
  <c r="AP114" i="17"/>
  <c r="AP94" i="17"/>
  <c r="AP55" i="17"/>
  <c r="O59" i="24"/>
  <c r="AP53" i="17"/>
  <c r="AP93" i="17"/>
  <c r="AS139" i="17"/>
  <c r="AP11" i="17"/>
  <c r="AP122" i="17"/>
  <c r="AS99" i="17"/>
  <c r="AP106" i="17"/>
  <c r="AP87" i="17"/>
  <c r="AP62" i="17"/>
  <c r="AP6" i="17"/>
  <c r="AP18" i="17"/>
  <c r="AP65" i="17"/>
  <c r="AP109" i="17"/>
  <c r="O7" i="24"/>
  <c r="P7" i="24" s="1"/>
  <c r="AP117" i="17"/>
  <c r="AP28" i="17"/>
  <c r="L14" i="25"/>
  <c r="AP108" i="17"/>
  <c r="AP70" i="17"/>
  <c r="AP131" i="17"/>
  <c r="AP47" i="17"/>
  <c r="AP137" i="17"/>
  <c r="AP21" i="17"/>
  <c r="AP100" i="17"/>
  <c r="AP119" i="17"/>
  <c r="AP136" i="17"/>
  <c r="AP88" i="17"/>
  <c r="AP140" i="17"/>
  <c r="AA141" i="24" s="1"/>
  <c r="AB141" i="24" s="1"/>
  <c r="AC141" i="24" s="1"/>
  <c r="AP126" i="17"/>
  <c r="AP91" i="17"/>
  <c r="AP98" i="17"/>
  <c r="AA98" i="24" s="1"/>
  <c r="AB98" i="24" s="1"/>
  <c r="AC98" i="24" s="1"/>
  <c r="AP58" i="17"/>
  <c r="AP95" i="17"/>
  <c r="AA95" i="24" s="1"/>
  <c r="AB95" i="24" s="1"/>
  <c r="AC95" i="24" s="1"/>
  <c r="AP130" i="17"/>
  <c r="AP54" i="17"/>
  <c r="AA54" i="24" s="1"/>
  <c r="AB54" i="24" s="1"/>
  <c r="AC54" i="24" s="1"/>
  <c r="AP48" i="17"/>
  <c r="AP26" i="17"/>
  <c r="O12" i="24"/>
  <c r="AP99" i="17"/>
  <c r="AP139" i="17"/>
  <c r="AP45" i="17"/>
  <c r="AS18" i="17"/>
  <c r="AA85" i="24"/>
  <c r="AB85" i="24" s="1"/>
  <c r="AC85" i="24" s="1"/>
  <c r="L8" i="25"/>
  <c r="AP16" i="17"/>
  <c r="O125" i="24"/>
  <c r="AP17" i="17"/>
  <c r="L21" i="25"/>
  <c r="L23" i="25"/>
  <c r="AP76" i="17"/>
  <c r="AS33" i="17"/>
  <c r="L9" i="25"/>
  <c r="L16" i="25"/>
  <c r="AP20" i="17"/>
  <c r="AA20" i="24" s="1"/>
  <c r="AB20" i="24" s="1"/>
  <c r="AC20" i="24" s="1"/>
  <c r="AP22" i="17"/>
  <c r="L18" i="25"/>
  <c r="AS59" i="17"/>
  <c r="L11" i="25"/>
  <c r="AP49" i="17"/>
  <c r="AP34" i="17"/>
  <c r="L17" i="25"/>
  <c r="O37" i="24"/>
  <c r="AP41" i="17"/>
  <c r="AA41" i="24" s="1"/>
  <c r="AB41" i="24" s="1"/>
  <c r="AC41" i="24" s="1"/>
  <c r="L7" i="25"/>
  <c r="L19" i="25"/>
  <c r="AP67" i="17"/>
  <c r="L10" i="25"/>
  <c r="AP29" i="17"/>
  <c r="O140" i="24"/>
  <c r="AS46" i="17"/>
  <c r="L141" i="17"/>
  <c r="L22" i="25"/>
  <c r="K24" i="25"/>
  <c r="AS37" i="17"/>
  <c r="L15" i="25"/>
  <c r="AP7" i="17"/>
  <c r="L6" i="25"/>
  <c r="AP15" i="17"/>
  <c r="AP23" i="17"/>
  <c r="L13" i="25"/>
  <c r="AS44" i="17"/>
  <c r="O11" i="24"/>
  <c r="AS66" i="17"/>
  <c r="O137" i="24"/>
  <c r="L12" i="25"/>
  <c r="AP38" i="17"/>
  <c r="O127" i="24" l="1"/>
  <c r="AS62" i="17"/>
  <c r="AS64" i="17"/>
  <c r="AS120" i="17"/>
  <c r="AS21" i="17"/>
  <c r="AS138" i="17"/>
  <c r="O35" i="24"/>
  <c r="P35" i="24" s="1"/>
  <c r="O63" i="24"/>
  <c r="P63" i="24" s="1"/>
  <c r="O75" i="24"/>
  <c r="AS78" i="17"/>
  <c r="E78" i="24" s="1"/>
  <c r="O39" i="24"/>
  <c r="P39" i="24" s="1"/>
  <c r="AS91" i="17"/>
  <c r="G91" i="24" s="1"/>
  <c r="AS81" i="17"/>
  <c r="M81" i="24" s="1"/>
  <c r="AA125" i="24"/>
  <c r="AB125" i="24" s="1"/>
  <c r="AC125" i="24" s="1"/>
  <c r="O100" i="24"/>
  <c r="P100" i="24" s="1"/>
  <c r="AS87" i="17"/>
  <c r="E87" i="24" s="1"/>
  <c r="AS119" i="17"/>
  <c r="M119" i="24" s="1"/>
  <c r="AS140" i="17"/>
  <c r="I141" i="24" s="1"/>
  <c r="O14" i="24"/>
  <c r="P14" i="24" s="1"/>
  <c r="AS48" i="17"/>
  <c r="I48" i="24" s="1"/>
  <c r="AS68" i="17"/>
  <c r="M68" i="24" s="1"/>
  <c r="AS132" i="17"/>
  <c r="M132" i="24" s="1"/>
  <c r="O102" i="24"/>
  <c r="P102" i="24" s="1"/>
  <c r="AA82" i="24"/>
  <c r="AB82" i="24" s="1"/>
  <c r="AC82" i="24" s="1"/>
  <c r="AS101" i="17"/>
  <c r="E101" i="24" s="1"/>
  <c r="AS116" i="17"/>
  <c r="F116" i="24" s="1"/>
  <c r="AA78" i="24"/>
  <c r="AB78" i="24" s="1"/>
  <c r="AC78" i="24" s="1"/>
  <c r="O71" i="24"/>
  <c r="P71" i="24" s="1"/>
  <c r="AA48" i="24"/>
  <c r="AB48" i="24" s="1"/>
  <c r="AC48" i="24" s="1"/>
  <c r="AA107" i="24"/>
  <c r="AB107" i="24" s="1"/>
  <c r="AC107" i="24" s="1"/>
  <c r="AA86" i="24"/>
  <c r="AB86" i="24" s="1"/>
  <c r="AC86" i="24" s="1"/>
  <c r="O77" i="24"/>
  <c r="P77" i="24" s="1"/>
  <c r="O69" i="24"/>
  <c r="P69" i="24" s="1"/>
  <c r="AA123" i="24"/>
  <c r="AB123" i="24" s="1"/>
  <c r="AC123" i="24" s="1"/>
  <c r="AA92" i="24"/>
  <c r="AB92" i="24" s="1"/>
  <c r="AC92" i="24" s="1"/>
  <c r="AA115" i="24"/>
  <c r="AB115" i="24" s="1"/>
  <c r="AC115" i="24" s="1"/>
  <c r="AA122" i="24"/>
  <c r="AB122" i="24" s="1"/>
  <c r="AC122" i="24" s="1"/>
  <c r="AA130" i="24"/>
  <c r="AB130" i="24" s="1"/>
  <c r="AC130" i="24" s="1"/>
  <c r="AS88" i="17"/>
  <c r="AS57" i="17"/>
  <c r="S57" i="24" s="1"/>
  <c r="T57" i="24" s="1"/>
  <c r="U57" i="24" s="1"/>
  <c r="AS109" i="17"/>
  <c r="AA120" i="24"/>
  <c r="AB120" i="24" s="1"/>
  <c r="AC120" i="24" s="1"/>
  <c r="AA87" i="24"/>
  <c r="AB87" i="24" s="1"/>
  <c r="AC87" i="24" s="1"/>
  <c r="AA127" i="24"/>
  <c r="AB127" i="24" s="1"/>
  <c r="AC127" i="24" s="1"/>
  <c r="AA90" i="24"/>
  <c r="AB90" i="24" s="1"/>
  <c r="AC90" i="24" s="1"/>
  <c r="AA136" i="24"/>
  <c r="AB136" i="24" s="1"/>
  <c r="AC136" i="24" s="1"/>
  <c r="AA110" i="24"/>
  <c r="AB110" i="24" s="1"/>
  <c r="AC110" i="24" s="1"/>
  <c r="AS60" i="17"/>
  <c r="L60" i="24" s="1"/>
  <c r="AS30" i="17"/>
  <c r="M30" i="24" s="1"/>
  <c r="O89" i="24"/>
  <c r="P89" i="24" s="1"/>
  <c r="AS103" i="17"/>
  <c r="L103" i="24" s="1"/>
  <c r="O130" i="24"/>
  <c r="P130" i="24" s="1"/>
  <c r="AS135" i="17"/>
  <c r="J135" i="24" s="1"/>
  <c r="AS9" i="17"/>
  <c r="I9" i="24" s="1"/>
  <c r="AS32" i="17"/>
  <c r="L32" i="24" s="1"/>
  <c r="O126" i="24"/>
  <c r="P126" i="24" s="1"/>
  <c r="O117" i="24"/>
  <c r="P117" i="24" s="1"/>
  <c r="O98" i="24"/>
  <c r="P98" i="24" s="1"/>
  <c r="AA71" i="24"/>
  <c r="AB71" i="24" s="1"/>
  <c r="AC71" i="24" s="1"/>
  <c r="AA61" i="24"/>
  <c r="AB61" i="24" s="1"/>
  <c r="AC61" i="24" s="1"/>
  <c r="AS53" i="17"/>
  <c r="M53" i="24" s="1"/>
  <c r="AA114" i="24"/>
  <c r="AB114" i="24" s="1"/>
  <c r="AC114" i="24" s="1"/>
  <c r="AA73" i="24"/>
  <c r="AB73" i="24" s="1"/>
  <c r="AC73" i="24" s="1"/>
  <c r="AA108" i="24"/>
  <c r="AB108" i="24" s="1"/>
  <c r="AC108" i="24" s="1"/>
  <c r="O129" i="24"/>
  <c r="P129" i="24" s="1"/>
  <c r="Q129" i="24" s="1"/>
  <c r="AA52" i="24"/>
  <c r="AB52" i="24" s="1"/>
  <c r="AC52" i="24" s="1"/>
  <c r="AA65" i="24"/>
  <c r="AB65" i="24" s="1"/>
  <c r="AC65" i="24" s="1"/>
  <c r="AA34" i="24"/>
  <c r="AB34" i="24" s="1"/>
  <c r="AC34" i="24" s="1"/>
  <c r="AA138" i="24"/>
  <c r="AB138" i="24" s="1"/>
  <c r="AC138" i="24" s="1"/>
  <c r="AA84" i="24"/>
  <c r="AB84" i="24" s="1"/>
  <c r="AC84" i="24" s="1"/>
  <c r="AA72" i="24"/>
  <c r="AB72" i="24" s="1"/>
  <c r="AC72" i="24" s="1"/>
  <c r="AA44" i="24"/>
  <c r="AB44" i="24" s="1"/>
  <c r="AC44" i="24" s="1"/>
  <c r="AA118" i="24"/>
  <c r="AB118" i="24" s="1"/>
  <c r="AC118" i="24" s="1"/>
  <c r="AA45" i="24"/>
  <c r="AB45" i="24" s="1"/>
  <c r="AC45" i="24" s="1"/>
  <c r="AA109" i="24"/>
  <c r="AB109" i="24" s="1"/>
  <c r="AC109" i="24" s="1"/>
  <c r="AS128" i="17"/>
  <c r="L128" i="24" s="1"/>
  <c r="AA129" i="24"/>
  <c r="AB129" i="24" s="1"/>
  <c r="AC129" i="24" s="1"/>
  <c r="AS82" i="17"/>
  <c r="L82" i="24" s="1"/>
  <c r="AA91" i="24"/>
  <c r="AB91" i="24" s="1"/>
  <c r="AC91" i="24" s="1"/>
  <c r="AA29" i="24"/>
  <c r="AB29" i="24" s="1"/>
  <c r="AC29" i="24" s="1"/>
  <c r="AA81" i="24"/>
  <c r="AB81" i="24" s="1"/>
  <c r="AC81" i="24" s="1"/>
  <c r="AA117" i="24"/>
  <c r="AB117" i="24" s="1"/>
  <c r="AC117" i="24" s="1"/>
  <c r="AA76" i="24"/>
  <c r="AB76" i="24" s="1"/>
  <c r="AC76" i="24" s="1"/>
  <c r="AA88" i="24"/>
  <c r="AB88" i="24" s="1"/>
  <c r="AC88" i="24" s="1"/>
  <c r="AA135" i="24"/>
  <c r="AB135" i="24" s="1"/>
  <c r="AC135" i="24" s="1"/>
  <c r="AA56" i="24"/>
  <c r="AB56" i="24" s="1"/>
  <c r="AC56" i="24" s="1"/>
  <c r="AA69" i="24"/>
  <c r="AB69" i="24" s="1"/>
  <c r="AC69" i="24" s="1"/>
  <c r="AA15" i="24"/>
  <c r="AB15" i="24" s="1"/>
  <c r="AC15" i="24" s="1"/>
  <c r="AA140" i="24"/>
  <c r="AB140" i="24" s="1"/>
  <c r="AC140" i="24" s="1"/>
  <c r="AA53" i="24"/>
  <c r="AB53" i="24" s="1"/>
  <c r="AC53" i="24" s="1"/>
  <c r="AA132" i="24"/>
  <c r="AB132" i="24" s="1"/>
  <c r="AC132" i="24" s="1"/>
  <c r="AA80" i="24"/>
  <c r="AB80" i="24" s="1"/>
  <c r="AC80" i="24" s="1"/>
  <c r="AA99" i="24"/>
  <c r="AB99" i="24" s="1"/>
  <c r="AC99" i="24" s="1"/>
  <c r="AA126" i="24"/>
  <c r="AB126" i="24" s="1"/>
  <c r="AC126" i="24" s="1"/>
  <c r="AS83" i="17"/>
  <c r="L83" i="24" s="1"/>
  <c r="L107" i="24"/>
  <c r="M107" i="24"/>
  <c r="L104" i="24"/>
  <c r="M104" i="24"/>
  <c r="L35" i="24"/>
  <c r="M35" i="24"/>
  <c r="L42" i="24"/>
  <c r="M42" i="24"/>
  <c r="L25" i="24"/>
  <c r="M25" i="24"/>
  <c r="L10" i="24"/>
  <c r="M10" i="24"/>
  <c r="L65" i="24"/>
  <c r="M65" i="24"/>
  <c r="L75" i="24"/>
  <c r="M75" i="24"/>
  <c r="L24" i="24"/>
  <c r="M24" i="24"/>
  <c r="L115" i="24"/>
  <c r="M115" i="24"/>
  <c r="L99" i="24"/>
  <c r="M99" i="24"/>
  <c r="L136" i="24"/>
  <c r="M136" i="24"/>
  <c r="L108" i="24"/>
  <c r="M108" i="24"/>
  <c r="L130" i="24"/>
  <c r="M130" i="24"/>
  <c r="L73" i="24"/>
  <c r="M73" i="24"/>
  <c r="L43" i="24"/>
  <c r="M43" i="24"/>
  <c r="L12" i="24"/>
  <c r="M12" i="24"/>
  <c r="L66" i="24"/>
  <c r="M66" i="24"/>
  <c r="L64" i="24"/>
  <c r="M64" i="24"/>
  <c r="L124" i="24"/>
  <c r="M124" i="24"/>
  <c r="L111" i="24"/>
  <c r="M111" i="24"/>
  <c r="L36" i="24"/>
  <c r="M36" i="24"/>
  <c r="L90" i="24"/>
  <c r="M90" i="24"/>
  <c r="L127" i="24"/>
  <c r="M127" i="24"/>
  <c r="L110" i="24"/>
  <c r="M110" i="24"/>
  <c r="L44" i="24"/>
  <c r="M44" i="24"/>
  <c r="L92" i="24"/>
  <c r="M92" i="24"/>
  <c r="L72" i="24"/>
  <c r="M72" i="24"/>
  <c r="L37" i="24"/>
  <c r="M37" i="24"/>
  <c r="L19" i="24"/>
  <c r="M19" i="24"/>
  <c r="L93" i="24"/>
  <c r="M93" i="24"/>
  <c r="J124" i="24"/>
  <c r="L117" i="24"/>
  <c r="M117" i="24"/>
  <c r="L125" i="24"/>
  <c r="M125" i="24"/>
  <c r="L40" i="24"/>
  <c r="M40" i="24"/>
  <c r="L8" i="24"/>
  <c r="M8" i="24"/>
  <c r="L105" i="24"/>
  <c r="M105" i="24"/>
  <c r="L21" i="24"/>
  <c r="M21" i="24"/>
  <c r="L70" i="24"/>
  <c r="M70" i="24"/>
  <c r="L77" i="24"/>
  <c r="M77" i="24"/>
  <c r="L71" i="24"/>
  <c r="M71" i="24"/>
  <c r="L96" i="24"/>
  <c r="M96" i="24"/>
  <c r="L86" i="24"/>
  <c r="M86" i="24"/>
  <c r="L84" i="24"/>
  <c r="M84" i="24"/>
  <c r="L139" i="24"/>
  <c r="M139" i="24"/>
  <c r="L26" i="24"/>
  <c r="M26" i="24"/>
  <c r="L74" i="24"/>
  <c r="M74" i="24"/>
  <c r="L97" i="24"/>
  <c r="M97" i="24"/>
  <c r="L121" i="24"/>
  <c r="M121" i="24"/>
  <c r="L39" i="24"/>
  <c r="M39" i="24"/>
  <c r="L140" i="24"/>
  <c r="M140" i="24"/>
  <c r="L134" i="24"/>
  <c r="M134" i="24"/>
  <c r="L63" i="24"/>
  <c r="M63" i="24"/>
  <c r="L46" i="24"/>
  <c r="M46" i="24"/>
  <c r="L89" i="24"/>
  <c r="M89" i="24"/>
  <c r="L81" i="24"/>
  <c r="I104" i="24"/>
  <c r="L98" i="24"/>
  <c r="M98" i="24"/>
  <c r="L100" i="24"/>
  <c r="M100" i="24"/>
  <c r="L69" i="24"/>
  <c r="M69" i="24"/>
  <c r="L102" i="24"/>
  <c r="M102" i="24"/>
  <c r="L94" i="24"/>
  <c r="M94" i="24"/>
  <c r="L120" i="24"/>
  <c r="M120" i="24"/>
  <c r="L106" i="24"/>
  <c r="M106" i="24"/>
  <c r="L59" i="24"/>
  <c r="M59" i="24"/>
  <c r="L33" i="24"/>
  <c r="M33" i="24"/>
  <c r="L118" i="24"/>
  <c r="M118" i="24"/>
  <c r="L18" i="24"/>
  <c r="M18" i="24"/>
  <c r="L62" i="24"/>
  <c r="M62" i="24"/>
  <c r="S121" i="24"/>
  <c r="T121" i="24" s="1"/>
  <c r="U121" i="24" s="1"/>
  <c r="L114" i="24"/>
  <c r="M114" i="24"/>
  <c r="L126" i="24"/>
  <c r="M126" i="24"/>
  <c r="L131" i="24"/>
  <c r="M131" i="24"/>
  <c r="L27" i="24"/>
  <c r="M27" i="24"/>
  <c r="L129" i="24"/>
  <c r="M129" i="24"/>
  <c r="AA28" i="24"/>
  <c r="AB28" i="24" s="1"/>
  <c r="AC28" i="24" s="1"/>
  <c r="O110" i="24"/>
  <c r="P110" i="24" s="1"/>
  <c r="O111" i="24"/>
  <c r="P111" i="24" s="1"/>
  <c r="AS95" i="17"/>
  <c r="AS13" i="17"/>
  <c r="F13" i="24" s="1"/>
  <c r="O118" i="24"/>
  <c r="P118" i="24" s="1"/>
  <c r="O65" i="24"/>
  <c r="P65" i="24" s="1"/>
  <c r="O58" i="24"/>
  <c r="P58" i="24" s="1"/>
  <c r="AU138" i="17"/>
  <c r="O10" i="24"/>
  <c r="P10" i="24" s="1"/>
  <c r="O28" i="24"/>
  <c r="P28" i="24" s="1"/>
  <c r="AA21" i="24"/>
  <c r="AB21" i="24" s="1"/>
  <c r="AC21" i="24" s="1"/>
  <c r="O13" i="24"/>
  <c r="P13" i="24" s="1"/>
  <c r="AA94" i="24"/>
  <c r="AB94" i="24" s="1"/>
  <c r="AC94" i="24" s="1"/>
  <c r="AA96" i="24"/>
  <c r="AB96" i="24" s="1"/>
  <c r="AC96" i="24" s="1"/>
  <c r="AA128" i="24"/>
  <c r="AB128" i="24" s="1"/>
  <c r="AC128" i="24" s="1"/>
  <c r="AP9" i="25"/>
  <c r="F104" i="24"/>
  <c r="AA22" i="24"/>
  <c r="AB22" i="24" s="1"/>
  <c r="AC22" i="24" s="1"/>
  <c r="AS122" i="17"/>
  <c r="E122" i="24" s="1"/>
  <c r="O133" i="24"/>
  <c r="P133" i="24" s="1"/>
  <c r="AA59" i="24"/>
  <c r="AB59" i="24" s="1"/>
  <c r="AC59" i="24" s="1"/>
  <c r="O16" i="24"/>
  <c r="P16" i="24" s="1"/>
  <c r="AS47" i="17"/>
  <c r="K47" i="24" s="1"/>
  <c r="O108" i="24"/>
  <c r="P108" i="24" s="1"/>
  <c r="AS14" i="17"/>
  <c r="I14" i="24" s="1"/>
  <c r="J104" i="24"/>
  <c r="O114" i="24"/>
  <c r="P114" i="24" s="1"/>
  <c r="O66" i="24"/>
  <c r="P66" i="24" s="1"/>
  <c r="O72" i="24"/>
  <c r="P72" i="24" s="1"/>
  <c r="AS51" i="17"/>
  <c r="AU51" i="17" s="1"/>
  <c r="O24" i="24"/>
  <c r="P24" i="24" s="1"/>
  <c r="O76" i="24"/>
  <c r="P76" i="24" s="1"/>
  <c r="AS6" i="17"/>
  <c r="O93" i="24"/>
  <c r="P93" i="24" s="1"/>
  <c r="AA93" i="24"/>
  <c r="AB93" i="24" s="1"/>
  <c r="AC93" i="24" s="1"/>
  <c r="O92" i="24"/>
  <c r="P92" i="24" s="1"/>
  <c r="O136" i="24"/>
  <c r="P136" i="24" s="1"/>
  <c r="AU18" i="17"/>
  <c r="H96" i="24"/>
  <c r="H124" i="24"/>
  <c r="AS85" i="17"/>
  <c r="K104" i="24"/>
  <c r="AU114" i="17"/>
  <c r="AA134" i="24"/>
  <c r="AB134" i="24" s="1"/>
  <c r="AC134" i="24" s="1"/>
  <c r="AA16" i="24"/>
  <c r="AB16" i="24" s="1"/>
  <c r="AC16" i="24" s="1"/>
  <c r="O107" i="24"/>
  <c r="P107" i="24" s="1"/>
  <c r="AS79" i="17"/>
  <c r="AS58" i="17"/>
  <c r="E58" i="24" s="1"/>
  <c r="AA30" i="24"/>
  <c r="AB30" i="24" s="1"/>
  <c r="AC30" i="24" s="1"/>
  <c r="AA35" i="24"/>
  <c r="AB35" i="24" s="1"/>
  <c r="AC35" i="24" s="1"/>
  <c r="AS113" i="17"/>
  <c r="F113" i="24" s="1"/>
  <c r="AS11" i="17"/>
  <c r="G11" i="24" s="1"/>
  <c r="AS61" i="17"/>
  <c r="H61" i="24" s="1"/>
  <c r="O74" i="24"/>
  <c r="P74" i="24" s="1"/>
  <c r="AS80" i="17"/>
  <c r="G80" i="24" s="1"/>
  <c r="O106" i="24"/>
  <c r="P106" i="24" s="1"/>
  <c r="O80" i="24"/>
  <c r="P80" i="24" s="1"/>
  <c r="AS28" i="17"/>
  <c r="K28" i="24" s="1"/>
  <c r="AA106" i="24"/>
  <c r="AB106" i="24" s="1"/>
  <c r="AC106" i="24" s="1"/>
  <c r="AA14" i="24"/>
  <c r="AB14" i="24" s="1"/>
  <c r="AC14" i="24" s="1"/>
  <c r="O122" i="24"/>
  <c r="P122" i="24" s="1"/>
  <c r="O105" i="24"/>
  <c r="P105" i="24" s="1"/>
  <c r="O97" i="24"/>
  <c r="P97" i="24" s="1"/>
  <c r="AS55" i="17"/>
  <c r="AA13" i="24"/>
  <c r="AB13" i="24" s="1"/>
  <c r="AC13" i="24" s="1"/>
  <c r="AU134" i="17"/>
  <c r="AS137" i="17"/>
  <c r="H138" i="24" s="1"/>
  <c r="AU98" i="17"/>
  <c r="AS50" i="17"/>
  <c r="I50" i="24" s="1"/>
  <c r="O131" i="24"/>
  <c r="P131" i="24" s="1"/>
  <c r="S104" i="24"/>
  <c r="T104" i="24" s="1"/>
  <c r="U104" i="24" s="1"/>
  <c r="E104" i="24"/>
  <c r="AA11" i="24"/>
  <c r="AB11" i="24" s="1"/>
  <c r="AC11" i="24" s="1"/>
  <c r="G104" i="24"/>
  <c r="AF14" i="25"/>
  <c r="H104" i="24"/>
  <c r="F121" i="24"/>
  <c r="AA100" i="24"/>
  <c r="AB100" i="24" s="1"/>
  <c r="AC100" i="24" s="1"/>
  <c r="AA24" i="24"/>
  <c r="AB24" i="24" s="1"/>
  <c r="AC24" i="24" s="1"/>
  <c r="AA49" i="24"/>
  <c r="AB49" i="24" s="1"/>
  <c r="AC49" i="24" s="1"/>
  <c r="AA116" i="24"/>
  <c r="AB116" i="24" s="1"/>
  <c r="AC116" i="24" s="1"/>
  <c r="O29" i="24"/>
  <c r="P29" i="24" s="1"/>
  <c r="AS45" i="17"/>
  <c r="J45" i="24" s="1"/>
  <c r="O134" i="24"/>
  <c r="P134" i="24" s="1"/>
  <c r="O94" i="24"/>
  <c r="P94" i="24" s="1"/>
  <c r="AS52" i="17"/>
  <c r="I52" i="24" s="1"/>
  <c r="AA97" i="24"/>
  <c r="AB97" i="24" s="1"/>
  <c r="AC97" i="24" s="1"/>
  <c r="AA27" i="24"/>
  <c r="AB27" i="24" s="1"/>
  <c r="AC27" i="24" s="1"/>
  <c r="O84" i="24"/>
  <c r="P84" i="24" s="1"/>
  <c r="AA137" i="24"/>
  <c r="AB137" i="24" s="1"/>
  <c r="AC137" i="24" s="1"/>
  <c r="AF20" i="25"/>
  <c r="I96" i="24"/>
  <c r="AA38" i="24"/>
  <c r="AB38" i="24" s="1"/>
  <c r="AC38" i="24" s="1"/>
  <c r="AA113" i="24"/>
  <c r="AB113" i="24" s="1"/>
  <c r="AC113" i="24" s="1"/>
  <c r="AA60" i="24"/>
  <c r="AB60" i="24" s="1"/>
  <c r="AC60" i="24" s="1"/>
  <c r="AA124" i="24"/>
  <c r="AB124" i="24" s="1"/>
  <c r="AC124" i="24" s="1"/>
  <c r="S96" i="24"/>
  <c r="T96" i="24" s="1"/>
  <c r="U96" i="24" s="1"/>
  <c r="J96" i="24"/>
  <c r="AA131" i="24"/>
  <c r="AB131" i="24" s="1"/>
  <c r="AC131" i="24" s="1"/>
  <c r="AA121" i="24"/>
  <c r="AB121" i="24" s="1"/>
  <c r="AC121" i="24" s="1"/>
  <c r="O27" i="24"/>
  <c r="P27" i="24" s="1"/>
  <c r="O86" i="24"/>
  <c r="P86" i="24" s="1"/>
  <c r="O96" i="24"/>
  <c r="P96" i="24" s="1"/>
  <c r="Q96" i="24" s="1"/>
  <c r="AA58" i="24"/>
  <c r="AB58" i="24" s="1"/>
  <c r="AC58" i="24" s="1"/>
  <c r="E96" i="24"/>
  <c r="AA12" i="24"/>
  <c r="AB12" i="24" s="1"/>
  <c r="AC12" i="24" s="1"/>
  <c r="O85" i="24"/>
  <c r="P85" i="24" s="1"/>
  <c r="O42" i="24"/>
  <c r="P42" i="24" s="1"/>
  <c r="F96" i="24"/>
  <c r="AS56" i="17"/>
  <c r="E56" i="24" s="1"/>
  <c r="O50" i="24"/>
  <c r="P50" i="24" s="1"/>
  <c r="G96" i="24"/>
  <c r="AA7" i="24"/>
  <c r="AB7" i="24" s="1"/>
  <c r="AC7" i="24" s="1"/>
  <c r="AA67" i="24"/>
  <c r="AB67" i="24" s="1"/>
  <c r="AC67" i="24" s="1"/>
  <c r="AA55" i="24"/>
  <c r="AB55" i="24" s="1"/>
  <c r="AC55" i="24" s="1"/>
  <c r="AA62" i="24"/>
  <c r="AB62" i="24" s="1"/>
  <c r="AC62" i="24" s="1"/>
  <c r="AS123" i="17"/>
  <c r="F123" i="24" s="1"/>
  <c r="AA101" i="24"/>
  <c r="AB101" i="24" s="1"/>
  <c r="AC101" i="24" s="1"/>
  <c r="E121" i="24"/>
  <c r="G121" i="24"/>
  <c r="O73" i="24"/>
  <c r="P73" i="24" s="1"/>
  <c r="O90" i="24"/>
  <c r="P90" i="24" s="1"/>
  <c r="H121" i="24"/>
  <c r="AA83" i="24"/>
  <c r="AB83" i="24" s="1"/>
  <c r="AC83" i="24" s="1"/>
  <c r="AA104" i="24"/>
  <c r="AB104" i="24" s="1"/>
  <c r="AC104" i="24" s="1"/>
  <c r="AA68" i="24"/>
  <c r="AB68" i="24" s="1"/>
  <c r="AC68" i="24" s="1"/>
  <c r="O45" i="24"/>
  <c r="P45" i="24" s="1"/>
  <c r="O41" i="24"/>
  <c r="P41" i="24" s="1"/>
  <c r="O121" i="24"/>
  <c r="P121" i="24" s="1"/>
  <c r="J121" i="24"/>
  <c r="AA50" i="24"/>
  <c r="AB50" i="24" s="1"/>
  <c r="AC50" i="24" s="1"/>
  <c r="K121" i="24"/>
  <c r="AA75" i="24"/>
  <c r="AB75" i="24" s="1"/>
  <c r="AC75" i="24" s="1"/>
  <c r="AP14" i="25"/>
  <c r="I121" i="24"/>
  <c r="O104" i="24"/>
  <c r="P104" i="24" s="1"/>
  <c r="Q104" i="24" s="1"/>
  <c r="AA105" i="24"/>
  <c r="AB105" i="24" s="1"/>
  <c r="AC105" i="24" s="1"/>
  <c r="O124" i="24"/>
  <c r="P124" i="24" s="1"/>
  <c r="I124" i="24"/>
  <c r="E124" i="24"/>
  <c r="O115" i="24"/>
  <c r="P115" i="24" s="1"/>
  <c r="K124" i="24"/>
  <c r="AU117" i="17"/>
  <c r="AS54" i="17"/>
  <c r="E54" i="24" s="1"/>
  <c r="AP20" i="25"/>
  <c r="S124" i="24"/>
  <c r="T124" i="24" s="1"/>
  <c r="U124" i="24" s="1"/>
  <c r="F124" i="24"/>
  <c r="G124" i="24"/>
  <c r="AA64" i="24"/>
  <c r="AB64" i="24" s="1"/>
  <c r="AC64" i="24" s="1"/>
  <c r="AA47" i="24"/>
  <c r="AB47" i="24" s="1"/>
  <c r="AC47" i="24" s="1"/>
  <c r="O99" i="24"/>
  <c r="P99" i="24" s="1"/>
  <c r="F130" i="24"/>
  <c r="AA26" i="24"/>
  <c r="AB26" i="24" s="1"/>
  <c r="AC26" i="24" s="1"/>
  <c r="F66" i="24"/>
  <c r="AA70" i="24"/>
  <c r="AB70" i="24" s="1"/>
  <c r="AC70" i="24" s="1"/>
  <c r="F102" i="24"/>
  <c r="F10" i="24"/>
  <c r="AA6" i="24"/>
  <c r="AB6" i="24" s="1"/>
  <c r="AA36" i="24"/>
  <c r="AB36" i="24" s="1"/>
  <c r="AC36" i="24" s="1"/>
  <c r="AA51" i="24"/>
  <c r="AB51" i="24" s="1"/>
  <c r="AC51" i="24" s="1"/>
  <c r="AA25" i="24"/>
  <c r="AB25" i="24" s="1"/>
  <c r="AC25" i="24" s="1"/>
  <c r="AA79" i="24"/>
  <c r="AB79" i="24" s="1"/>
  <c r="AC79" i="24" s="1"/>
  <c r="F125" i="24"/>
  <c r="AA43" i="24"/>
  <c r="AB43" i="24" s="1"/>
  <c r="AC43" i="24" s="1"/>
  <c r="F92" i="24"/>
  <c r="F127" i="24"/>
  <c r="F65" i="24"/>
  <c r="F62" i="24"/>
  <c r="F137" i="24"/>
  <c r="AA8" i="24"/>
  <c r="AB8" i="24" s="1"/>
  <c r="AC8" i="24" s="1"/>
  <c r="AA19" i="24"/>
  <c r="AB19" i="24" s="1"/>
  <c r="AC19" i="24" s="1"/>
  <c r="F69" i="24"/>
  <c r="AA17" i="24"/>
  <c r="AB17" i="24" s="1"/>
  <c r="AC17" i="24" s="1"/>
  <c r="F73" i="24"/>
  <c r="F99" i="24"/>
  <c r="F105" i="24"/>
  <c r="AA40" i="24"/>
  <c r="AB40" i="24" s="1"/>
  <c r="AC40" i="24" s="1"/>
  <c r="F131" i="24"/>
  <c r="F39" i="24"/>
  <c r="F89" i="24"/>
  <c r="F74" i="24"/>
  <c r="AA23" i="24"/>
  <c r="AB23" i="24" s="1"/>
  <c r="AC23" i="24" s="1"/>
  <c r="F21" i="24"/>
  <c r="AA18" i="24"/>
  <c r="AB18" i="24" s="1"/>
  <c r="AC18" i="24" s="1"/>
  <c r="I110" i="24"/>
  <c r="K110" i="24"/>
  <c r="J110" i="24"/>
  <c r="H110" i="24"/>
  <c r="G110" i="24"/>
  <c r="E110" i="24"/>
  <c r="I126" i="24"/>
  <c r="K126" i="24"/>
  <c r="J126" i="24"/>
  <c r="H126" i="24"/>
  <c r="G126" i="24"/>
  <c r="E126" i="24"/>
  <c r="K27" i="24"/>
  <c r="I27" i="24"/>
  <c r="J27" i="24"/>
  <c r="H27" i="24"/>
  <c r="G27" i="24"/>
  <c r="E27" i="24"/>
  <c r="J90" i="24"/>
  <c r="K90" i="24"/>
  <c r="I90" i="24"/>
  <c r="H90" i="24"/>
  <c r="G90" i="24"/>
  <c r="E90" i="24"/>
  <c r="K72" i="24"/>
  <c r="J72" i="24"/>
  <c r="I72" i="24"/>
  <c r="H72" i="24"/>
  <c r="G72" i="24"/>
  <c r="E72" i="24"/>
  <c r="K118" i="24"/>
  <c r="J118" i="24"/>
  <c r="I118" i="24"/>
  <c r="H118" i="24"/>
  <c r="G118" i="24"/>
  <c r="E118" i="24"/>
  <c r="J93" i="24"/>
  <c r="I93" i="24"/>
  <c r="K93" i="24"/>
  <c r="H93" i="24"/>
  <c r="G93" i="24"/>
  <c r="E93" i="24"/>
  <c r="I117" i="24"/>
  <c r="K117" i="24"/>
  <c r="J117" i="24"/>
  <c r="H117" i="24"/>
  <c r="G117" i="24"/>
  <c r="E117" i="24"/>
  <c r="J37" i="24"/>
  <c r="K37" i="24"/>
  <c r="I37" i="24"/>
  <c r="H37" i="24"/>
  <c r="G37" i="24"/>
  <c r="E37" i="24"/>
  <c r="I84" i="24"/>
  <c r="J84" i="24"/>
  <c r="K84" i="24"/>
  <c r="H84" i="24"/>
  <c r="G84" i="24"/>
  <c r="E84" i="24"/>
  <c r="I106" i="24"/>
  <c r="J106" i="24"/>
  <c r="K106" i="24"/>
  <c r="H106" i="24"/>
  <c r="G106" i="24"/>
  <c r="E106" i="24"/>
  <c r="F72" i="24"/>
  <c r="F90" i="24"/>
  <c r="K77" i="24"/>
  <c r="I77" i="24"/>
  <c r="J77" i="24"/>
  <c r="H77" i="24"/>
  <c r="G77" i="24"/>
  <c r="E77" i="24"/>
  <c r="J46" i="24"/>
  <c r="K46" i="24"/>
  <c r="I46" i="24"/>
  <c r="H46" i="24"/>
  <c r="G46" i="24"/>
  <c r="E46" i="24"/>
  <c r="J98" i="24"/>
  <c r="K98" i="24"/>
  <c r="I98" i="24"/>
  <c r="H98" i="24"/>
  <c r="G98" i="24"/>
  <c r="E98" i="24"/>
  <c r="J69" i="24"/>
  <c r="I69" i="24"/>
  <c r="K69" i="24"/>
  <c r="H69" i="24"/>
  <c r="G69" i="24"/>
  <c r="E69" i="24"/>
  <c r="J97" i="24"/>
  <c r="K97" i="24"/>
  <c r="I97" i="24"/>
  <c r="H97" i="24"/>
  <c r="G97" i="24"/>
  <c r="E97" i="24"/>
  <c r="J59" i="24"/>
  <c r="I59" i="24"/>
  <c r="K59" i="24"/>
  <c r="H59" i="24"/>
  <c r="G59" i="24"/>
  <c r="E59" i="24"/>
  <c r="J44" i="24"/>
  <c r="I44" i="24"/>
  <c r="K44" i="24"/>
  <c r="H44" i="24"/>
  <c r="G44" i="24"/>
  <c r="E44" i="24"/>
  <c r="J100" i="24"/>
  <c r="I100" i="24"/>
  <c r="K100" i="24"/>
  <c r="H100" i="24"/>
  <c r="G100" i="24"/>
  <c r="E100" i="24"/>
  <c r="AP6" i="25"/>
  <c r="J109" i="24"/>
  <c r="I109" i="24"/>
  <c r="K109" i="24"/>
  <c r="H109" i="24"/>
  <c r="G109" i="24"/>
  <c r="I111" i="24"/>
  <c r="J111" i="24"/>
  <c r="K111" i="24"/>
  <c r="H111" i="24"/>
  <c r="G111" i="24"/>
  <c r="E111" i="24"/>
  <c r="I140" i="24"/>
  <c r="K140" i="24"/>
  <c r="J140" i="24"/>
  <c r="H140" i="24"/>
  <c r="G140" i="24"/>
  <c r="E140" i="24"/>
  <c r="K71" i="24"/>
  <c r="I71" i="24"/>
  <c r="J71" i="24"/>
  <c r="H71" i="24"/>
  <c r="G71" i="24"/>
  <c r="E71" i="24"/>
  <c r="G12" i="24"/>
  <c r="AP7" i="25"/>
  <c r="AP17" i="25"/>
  <c r="AP11" i="25"/>
  <c r="AP18" i="25"/>
  <c r="AP23" i="25"/>
  <c r="K115" i="24"/>
  <c r="J115" i="24"/>
  <c r="I115" i="24"/>
  <c r="H115" i="24"/>
  <c r="G115" i="24"/>
  <c r="E115" i="24"/>
  <c r="F77" i="24"/>
  <c r="F97" i="24"/>
  <c r="F140" i="24"/>
  <c r="K73" i="24"/>
  <c r="I73" i="24"/>
  <c r="J73" i="24"/>
  <c r="H73" i="24"/>
  <c r="G73" i="24"/>
  <c r="E73" i="24"/>
  <c r="K134" i="24"/>
  <c r="J134" i="24"/>
  <c r="I134" i="24"/>
  <c r="H134" i="24"/>
  <c r="G134" i="24"/>
  <c r="E134" i="24"/>
  <c r="J107" i="24"/>
  <c r="I107" i="24"/>
  <c r="K107" i="24"/>
  <c r="H107" i="24"/>
  <c r="G107" i="24"/>
  <c r="E107" i="24"/>
  <c r="J63" i="24"/>
  <c r="I63" i="24"/>
  <c r="K63" i="24"/>
  <c r="H63" i="24"/>
  <c r="G63" i="24"/>
  <c r="E63" i="24"/>
  <c r="J136" i="24"/>
  <c r="I136" i="24"/>
  <c r="K136" i="24"/>
  <c r="H136" i="24"/>
  <c r="G136" i="24"/>
  <c r="E136" i="24"/>
  <c r="K92" i="24"/>
  <c r="J92" i="24"/>
  <c r="I92" i="24"/>
  <c r="H92" i="24"/>
  <c r="G92" i="24"/>
  <c r="E92" i="24"/>
  <c r="J127" i="24"/>
  <c r="K127" i="24"/>
  <c r="I127" i="24"/>
  <c r="H127" i="24"/>
  <c r="G127" i="24"/>
  <c r="E127" i="24"/>
  <c r="I65" i="24"/>
  <c r="J65" i="24"/>
  <c r="K65" i="24"/>
  <c r="H65" i="24"/>
  <c r="G65" i="24"/>
  <c r="E65" i="24"/>
  <c r="K108" i="24"/>
  <c r="J108" i="24"/>
  <c r="I108" i="24"/>
  <c r="H108" i="24"/>
  <c r="G108" i="24"/>
  <c r="E108" i="24"/>
  <c r="I114" i="24"/>
  <c r="J114" i="24"/>
  <c r="K114" i="24"/>
  <c r="H114" i="24"/>
  <c r="G114" i="24"/>
  <c r="E114" i="24"/>
  <c r="J125" i="24"/>
  <c r="I125" i="24"/>
  <c r="K125" i="24"/>
  <c r="H125" i="24"/>
  <c r="G125" i="24"/>
  <c r="E125" i="24"/>
  <c r="F44" i="24"/>
  <c r="F114" i="24"/>
  <c r="F126" i="24"/>
  <c r="AP12" i="25"/>
  <c r="K130" i="24"/>
  <c r="J130" i="24"/>
  <c r="I130" i="24"/>
  <c r="H130" i="24"/>
  <c r="G130" i="24"/>
  <c r="E130" i="24"/>
  <c r="I89" i="24"/>
  <c r="J89" i="24"/>
  <c r="K89" i="24"/>
  <c r="H89" i="24"/>
  <c r="G89" i="24"/>
  <c r="E89" i="24"/>
  <c r="J94" i="24"/>
  <c r="K94" i="24"/>
  <c r="I94" i="24"/>
  <c r="H94" i="24"/>
  <c r="G94" i="24"/>
  <c r="E94" i="24"/>
  <c r="F136" i="24"/>
  <c r="F71" i="24"/>
  <c r="F101" i="24"/>
  <c r="F46" i="24"/>
  <c r="F108" i="24"/>
  <c r="F94" i="24"/>
  <c r="F37" i="24"/>
  <c r="F115" i="24"/>
  <c r="F117" i="24"/>
  <c r="F111" i="24"/>
  <c r="AP15" i="25"/>
  <c r="I39" i="24"/>
  <c r="J39" i="24"/>
  <c r="K39" i="24"/>
  <c r="H39" i="24"/>
  <c r="G39" i="24"/>
  <c r="E39" i="24"/>
  <c r="I74" i="24"/>
  <c r="J74" i="24"/>
  <c r="K74" i="24"/>
  <c r="H74" i="24"/>
  <c r="G74" i="24"/>
  <c r="E74" i="24"/>
  <c r="I105" i="24"/>
  <c r="J105" i="24"/>
  <c r="K105" i="24"/>
  <c r="H105" i="24"/>
  <c r="G105" i="24"/>
  <c r="E105" i="24"/>
  <c r="K35" i="24"/>
  <c r="I35" i="24"/>
  <c r="J35" i="24"/>
  <c r="H35" i="24"/>
  <c r="G35" i="24"/>
  <c r="E35" i="24"/>
  <c r="K42" i="24"/>
  <c r="I42" i="24"/>
  <c r="J42" i="24"/>
  <c r="H42" i="24"/>
  <c r="G42" i="24"/>
  <c r="E42" i="24"/>
  <c r="I86" i="24"/>
  <c r="J86" i="24"/>
  <c r="K86" i="24"/>
  <c r="H86" i="24"/>
  <c r="G86" i="24"/>
  <c r="E86" i="24"/>
  <c r="F63" i="24"/>
  <c r="F134" i="24"/>
  <c r="F100" i="24"/>
  <c r="F106" i="24"/>
  <c r="F98" i="24"/>
  <c r="F27" i="24"/>
  <c r="K131" i="24"/>
  <c r="J131" i="24"/>
  <c r="I131" i="24"/>
  <c r="H131" i="24"/>
  <c r="G131" i="24"/>
  <c r="E131" i="24"/>
  <c r="I75" i="24"/>
  <c r="K75" i="24"/>
  <c r="J75" i="24"/>
  <c r="H75" i="24"/>
  <c r="G75" i="24"/>
  <c r="E75" i="24"/>
  <c r="AP13" i="25"/>
  <c r="I10" i="24"/>
  <c r="J10" i="24"/>
  <c r="K10" i="24"/>
  <c r="H10" i="24"/>
  <c r="G10" i="24"/>
  <c r="E10" i="24"/>
  <c r="J99" i="24"/>
  <c r="K99" i="24"/>
  <c r="I99" i="24"/>
  <c r="H99" i="24"/>
  <c r="G99" i="24"/>
  <c r="E99" i="24"/>
  <c r="K66" i="24"/>
  <c r="I66" i="24"/>
  <c r="J66" i="24"/>
  <c r="H66" i="24"/>
  <c r="G66" i="24"/>
  <c r="E66" i="24"/>
  <c r="K64" i="24"/>
  <c r="I64" i="24"/>
  <c r="J64" i="24"/>
  <c r="H64" i="24"/>
  <c r="G64" i="24"/>
  <c r="E64" i="24"/>
  <c r="AP16" i="25"/>
  <c r="F110" i="24"/>
  <c r="F118" i="24"/>
  <c r="F64" i="24"/>
  <c r="I137" i="24"/>
  <c r="J137" i="24"/>
  <c r="K137" i="24"/>
  <c r="H137" i="24"/>
  <c r="G137" i="24"/>
  <c r="E137" i="24"/>
  <c r="AP19" i="25"/>
  <c r="K102" i="24"/>
  <c r="J102" i="24"/>
  <c r="I102" i="24"/>
  <c r="H102" i="24"/>
  <c r="G102" i="24"/>
  <c r="E102" i="24"/>
  <c r="I62" i="24"/>
  <c r="J62" i="24"/>
  <c r="K62" i="24"/>
  <c r="H62" i="24"/>
  <c r="G62" i="24"/>
  <c r="E62" i="24"/>
  <c r="AP21" i="25"/>
  <c r="I21" i="24"/>
  <c r="J21" i="24"/>
  <c r="K21" i="24"/>
  <c r="H21" i="24"/>
  <c r="G21" i="24"/>
  <c r="E21" i="24"/>
  <c r="AP8" i="25"/>
  <c r="F75" i="24"/>
  <c r="F93" i="24"/>
  <c r="F84" i="24"/>
  <c r="F42" i="24"/>
  <c r="F107" i="24"/>
  <c r="F109" i="24"/>
  <c r="F35" i="24"/>
  <c r="F86" i="24"/>
  <c r="P12" i="24"/>
  <c r="P127" i="24"/>
  <c r="P125" i="24"/>
  <c r="P140" i="24"/>
  <c r="P135" i="24"/>
  <c r="P67" i="24"/>
  <c r="P91" i="24"/>
  <c r="P113" i="24"/>
  <c r="P78" i="24"/>
  <c r="P123" i="24"/>
  <c r="P38" i="24"/>
  <c r="P120" i="24"/>
  <c r="P61" i="24"/>
  <c r="P82" i="24"/>
  <c r="P132" i="24"/>
  <c r="P116" i="24"/>
  <c r="Q7" i="24"/>
  <c r="Q30" i="24"/>
  <c r="P109" i="24"/>
  <c r="P75" i="24"/>
  <c r="P54" i="24"/>
  <c r="P56" i="24"/>
  <c r="P138" i="24"/>
  <c r="P64" i="24"/>
  <c r="P112" i="24"/>
  <c r="P47" i="24"/>
  <c r="P103" i="24"/>
  <c r="P87" i="24"/>
  <c r="P83" i="24"/>
  <c r="P101" i="24"/>
  <c r="P46" i="24"/>
  <c r="P81" i="24"/>
  <c r="P128" i="24"/>
  <c r="P15" i="24"/>
  <c r="P62" i="24"/>
  <c r="P60" i="24"/>
  <c r="P22" i="24"/>
  <c r="P21" i="24"/>
  <c r="Q119" i="24"/>
  <c r="P95" i="24"/>
  <c r="P137" i="24"/>
  <c r="P141" i="24"/>
  <c r="P139" i="24"/>
  <c r="P48" i="24"/>
  <c r="P55" i="24"/>
  <c r="P52" i="24"/>
  <c r="P53" i="24"/>
  <c r="P20" i="24"/>
  <c r="P11" i="24"/>
  <c r="P49" i="24"/>
  <c r="P32" i="24"/>
  <c r="P59" i="24"/>
  <c r="P44" i="24"/>
  <c r="P34" i="24"/>
  <c r="P33" i="24"/>
  <c r="P37" i="24"/>
  <c r="P68" i="24"/>
  <c r="P88" i="24"/>
  <c r="AU64" i="17"/>
  <c r="AU106" i="17"/>
  <c r="AU89" i="17"/>
  <c r="AF7" i="25"/>
  <c r="AS41" i="17"/>
  <c r="E41" i="24" s="1"/>
  <c r="O43" i="24"/>
  <c r="AU139" i="17"/>
  <c r="AF23" i="25"/>
  <c r="AS76" i="17"/>
  <c r="J76" i="24" s="1"/>
  <c r="O79" i="24"/>
  <c r="S115" i="24"/>
  <c r="T115" i="24" s="1"/>
  <c r="AU108" i="17"/>
  <c r="AU102" i="17"/>
  <c r="S108" i="24"/>
  <c r="T108" i="24" s="1"/>
  <c r="AU111" i="17"/>
  <c r="S118" i="24"/>
  <c r="T118" i="24" s="1"/>
  <c r="S127" i="24"/>
  <c r="T127" i="24" s="1"/>
  <c r="AU121" i="17"/>
  <c r="W121" i="24" s="1"/>
  <c r="X121" i="24" s="1"/>
  <c r="Y121" i="24" s="1"/>
  <c r="AU127" i="17"/>
  <c r="S134" i="24"/>
  <c r="T134" i="24" s="1"/>
  <c r="AU24" i="17"/>
  <c r="S27" i="24"/>
  <c r="T27" i="24" s="1"/>
  <c r="AU124" i="17"/>
  <c r="S130" i="24"/>
  <c r="T130" i="24" s="1"/>
  <c r="AU36" i="17"/>
  <c r="S71" i="24"/>
  <c r="T71" i="24" s="1"/>
  <c r="S63" i="24"/>
  <c r="T63" i="24" s="1"/>
  <c r="AU65" i="17"/>
  <c r="S105" i="24"/>
  <c r="T105" i="24" s="1"/>
  <c r="AU99" i="17"/>
  <c r="AU86" i="17"/>
  <c r="S92" i="24"/>
  <c r="T92" i="24" s="1"/>
  <c r="AU73" i="17"/>
  <c r="S125" i="24"/>
  <c r="T125" i="24" s="1"/>
  <c r="AU118" i="17"/>
  <c r="AU26" i="17"/>
  <c r="S111" i="24"/>
  <c r="T111" i="24" s="1"/>
  <c r="AU105" i="17"/>
  <c r="S39" i="24"/>
  <c r="T39" i="24" s="1"/>
  <c r="AU37" i="17"/>
  <c r="S59" i="24"/>
  <c r="T59" i="24" s="1"/>
  <c r="S98" i="24"/>
  <c r="T98" i="24" s="1"/>
  <c r="AU92" i="17"/>
  <c r="AF22" i="25"/>
  <c r="AF141" i="17"/>
  <c r="O6" i="24"/>
  <c r="AU46" i="17"/>
  <c r="AU12" i="17"/>
  <c r="AF19" i="25"/>
  <c r="AS67" i="17"/>
  <c r="E67" i="24" s="1"/>
  <c r="O70" i="24"/>
  <c r="S102" i="24"/>
  <c r="T102" i="24" s="1"/>
  <c r="AU96" i="17"/>
  <c r="W96" i="24" s="1"/>
  <c r="X96" i="24" s="1"/>
  <c r="Y96" i="24" s="1"/>
  <c r="AU69" i="17"/>
  <c r="S72" i="24"/>
  <c r="T72" i="24" s="1"/>
  <c r="S42" i="24"/>
  <c r="T42" i="24" s="1"/>
  <c r="AU40" i="17"/>
  <c r="S65" i="24"/>
  <c r="T65" i="24" s="1"/>
  <c r="AU62" i="17"/>
  <c r="AU126" i="17"/>
  <c r="AU74" i="17"/>
  <c r="S77" i="24"/>
  <c r="T77" i="24" s="1"/>
  <c r="S97" i="24"/>
  <c r="T97" i="24" s="1"/>
  <c r="AU91" i="17"/>
  <c r="S100" i="24"/>
  <c r="T100" i="24" s="1"/>
  <c r="AU94" i="17"/>
  <c r="AU125" i="17"/>
  <c r="S131" i="24"/>
  <c r="T131" i="24" s="1"/>
  <c r="S109" i="24"/>
  <c r="T109" i="24" s="1"/>
  <c r="AU43" i="17"/>
  <c r="S99" i="24"/>
  <c r="T99" i="24" s="1"/>
  <c r="AU93" i="17"/>
  <c r="S140" i="24"/>
  <c r="T140" i="24" s="1"/>
  <c r="U140" i="24" s="1"/>
  <c r="S74" i="24"/>
  <c r="T74" i="24" s="1"/>
  <c r="AU71" i="17"/>
  <c r="AF11" i="25"/>
  <c r="AS49" i="17"/>
  <c r="J49" i="24" s="1"/>
  <c r="O51" i="24"/>
  <c r="AF9" i="25"/>
  <c r="S106" i="24"/>
  <c r="T106" i="24" s="1"/>
  <c r="AU100" i="17"/>
  <c r="S21" i="24"/>
  <c r="T21" i="24" s="1"/>
  <c r="AU109" i="17"/>
  <c r="AU115" i="17"/>
  <c r="AF13" i="25"/>
  <c r="AS23" i="17"/>
  <c r="O26" i="24"/>
  <c r="S10" i="24"/>
  <c r="T10" i="24" s="1"/>
  <c r="AU8" i="17"/>
  <c r="AU25" i="17"/>
  <c r="S107" i="24"/>
  <c r="T107" i="24" s="1"/>
  <c r="AU101" i="17"/>
  <c r="S89" i="24"/>
  <c r="T89" i="24" s="1"/>
  <c r="U89" i="24" s="1"/>
  <c r="AU35" i="17"/>
  <c r="S37" i="24"/>
  <c r="T37" i="24" s="1"/>
  <c r="AU129" i="17"/>
  <c r="S136" i="24"/>
  <c r="T136" i="24" s="1"/>
  <c r="AU131" i="17"/>
  <c r="AU119" i="17"/>
  <c r="S62" i="24"/>
  <c r="T62" i="24" s="1"/>
  <c r="AU59" i="17"/>
  <c r="AF16" i="25"/>
  <c r="AS20" i="17"/>
  <c r="K20" i="24" s="1"/>
  <c r="O23" i="24"/>
  <c r="S84" i="24"/>
  <c r="T84" i="24" s="1"/>
  <c r="AU75" i="17"/>
  <c r="S86" i="24"/>
  <c r="T86" i="24" s="1"/>
  <c r="S114" i="24"/>
  <c r="T114" i="24" s="1"/>
  <c r="AU107" i="17"/>
  <c r="S117" i="24"/>
  <c r="T117" i="24" s="1"/>
  <c r="AU110" i="17"/>
  <c r="AU19" i="17"/>
  <c r="AU136" i="17"/>
  <c r="AU130" i="17"/>
  <c r="S137" i="24"/>
  <c r="T137" i="24" s="1"/>
  <c r="AU21" i="17"/>
  <c r="S44" i="24"/>
  <c r="AU42" i="17"/>
  <c r="S73" i="24"/>
  <c r="T73" i="24" s="1"/>
  <c r="AU70" i="17"/>
  <c r="AS15" i="17"/>
  <c r="F15" i="24" s="1"/>
  <c r="AF6" i="25"/>
  <c r="O17" i="24"/>
  <c r="AU72" i="17"/>
  <c r="S75" i="24"/>
  <c r="T75" i="24" s="1"/>
  <c r="AF12" i="25"/>
  <c r="AS38" i="17"/>
  <c r="J38" i="24" s="1"/>
  <c r="O40" i="24"/>
  <c r="S69" i="24"/>
  <c r="T69" i="24" s="1"/>
  <c r="AU66" i="17"/>
  <c r="S46" i="24"/>
  <c r="T46" i="24" s="1"/>
  <c r="AU44" i="17"/>
  <c r="S110" i="24"/>
  <c r="T110" i="24" s="1"/>
  <c r="AU104" i="17"/>
  <c r="W104" i="24" s="1"/>
  <c r="X104" i="24" s="1"/>
  <c r="Y104" i="24" s="1"/>
  <c r="AU97" i="17"/>
  <c r="AU10" i="17"/>
  <c r="S12" i="24"/>
  <c r="T12" i="24" s="1"/>
  <c r="S64" i="24"/>
  <c r="AF18" i="25"/>
  <c r="AS22" i="17"/>
  <c r="O25" i="24"/>
  <c r="AF21" i="25"/>
  <c r="AS17" i="17"/>
  <c r="O19" i="24"/>
  <c r="AF8" i="25"/>
  <c r="AS16" i="17"/>
  <c r="O18" i="24"/>
  <c r="AF15" i="25"/>
  <c r="AS7" i="17"/>
  <c r="E7" i="24" s="1"/>
  <c r="O8" i="24"/>
  <c r="AU27" i="17"/>
  <c r="S101" i="24"/>
  <c r="T101" i="24" s="1"/>
  <c r="AU135" i="17"/>
  <c r="L24" i="25"/>
  <c r="S126" i="24"/>
  <c r="T126" i="24" s="1"/>
  <c r="AU120" i="17"/>
  <c r="AU39" i="17"/>
  <c r="AU63" i="17"/>
  <c r="S66" i="24"/>
  <c r="T66" i="24" s="1"/>
  <c r="S90" i="24"/>
  <c r="T90" i="24" s="1"/>
  <c r="AU84" i="17"/>
  <c r="S94" i="24"/>
  <c r="T94" i="24" s="1"/>
  <c r="AF10" i="25"/>
  <c r="AS29" i="17"/>
  <c r="J29" i="24" s="1"/>
  <c r="O31" i="24"/>
  <c r="AU77" i="17"/>
  <c r="AF17" i="25"/>
  <c r="AS34" i="17"/>
  <c r="S34" i="24" s="1"/>
  <c r="T34" i="24" s="1"/>
  <c r="O36" i="24"/>
  <c r="AU33" i="17"/>
  <c r="S35" i="24"/>
  <c r="T35" i="24" s="1"/>
  <c r="S93" i="24"/>
  <c r="T93" i="24" s="1"/>
  <c r="AU57" i="17" l="1"/>
  <c r="W57" i="24" s="1"/>
  <c r="X57" i="24" s="1"/>
  <c r="Y57" i="24" s="1"/>
  <c r="AU60" i="17"/>
  <c r="G32" i="24"/>
  <c r="AU140" i="17"/>
  <c r="AU78" i="17"/>
  <c r="F141" i="24"/>
  <c r="S78" i="24"/>
  <c r="T78" i="24" s="1"/>
  <c r="U78" i="24" s="1"/>
  <c r="H78" i="24"/>
  <c r="S141" i="24"/>
  <c r="T141" i="24" s="1"/>
  <c r="U141" i="24" s="1"/>
  <c r="I78" i="24"/>
  <c r="F78" i="24"/>
  <c r="G78" i="24"/>
  <c r="I116" i="24"/>
  <c r="K78" i="24"/>
  <c r="M78" i="24"/>
  <c r="J116" i="24"/>
  <c r="J78" i="24"/>
  <c r="L78" i="24"/>
  <c r="S91" i="24"/>
  <c r="T91" i="24" s="1"/>
  <c r="F48" i="24"/>
  <c r="F91" i="24"/>
  <c r="J91" i="24"/>
  <c r="AU128" i="17"/>
  <c r="W128" i="24" s="1"/>
  <c r="X128" i="24" s="1"/>
  <c r="Y128" i="24" s="1"/>
  <c r="H91" i="24"/>
  <c r="K91" i="24"/>
  <c r="I91" i="24"/>
  <c r="M91" i="24"/>
  <c r="AU48" i="17"/>
  <c r="S48" i="24"/>
  <c r="T48" i="24" s="1"/>
  <c r="U48" i="24" s="1"/>
  <c r="L91" i="24"/>
  <c r="AU61" i="17"/>
  <c r="W61" i="24" s="1"/>
  <c r="X61" i="24" s="1"/>
  <c r="Y61" i="24" s="1"/>
  <c r="E91" i="24"/>
  <c r="I28" i="24"/>
  <c r="AU81" i="17"/>
  <c r="W81" i="24" s="1"/>
  <c r="X81" i="24" s="1"/>
  <c r="Y81" i="24" s="1"/>
  <c r="G68" i="24"/>
  <c r="E81" i="24"/>
  <c r="G81" i="24"/>
  <c r="H81" i="24"/>
  <c r="J81" i="24"/>
  <c r="S81" i="24"/>
  <c r="T81" i="24" s="1"/>
  <c r="U81" i="24" s="1"/>
  <c r="I81" i="24"/>
  <c r="AU30" i="17"/>
  <c r="W30" i="24" s="1"/>
  <c r="X30" i="24" s="1"/>
  <c r="Y30" i="24" s="1"/>
  <c r="F81" i="24"/>
  <c r="K81" i="24"/>
  <c r="S132" i="24"/>
  <c r="T132" i="24" s="1"/>
  <c r="U132" i="24" s="1"/>
  <c r="K132" i="24"/>
  <c r="J132" i="24"/>
  <c r="L132" i="24"/>
  <c r="AU132" i="17"/>
  <c r="W132" i="24" s="1"/>
  <c r="X132" i="24" s="1"/>
  <c r="Y132" i="24" s="1"/>
  <c r="I132" i="24"/>
  <c r="J50" i="24"/>
  <c r="F28" i="24"/>
  <c r="K50" i="24"/>
  <c r="E132" i="24"/>
  <c r="G132" i="24"/>
  <c r="H132" i="24"/>
  <c r="E28" i="24"/>
  <c r="AU103" i="17"/>
  <c r="W103" i="24" s="1"/>
  <c r="X103" i="24" s="1"/>
  <c r="Y103" i="24" s="1"/>
  <c r="AU116" i="17"/>
  <c r="W116" i="24" s="1"/>
  <c r="X116" i="24" s="1"/>
  <c r="Y116" i="24" s="1"/>
  <c r="E116" i="24"/>
  <c r="AU32" i="17"/>
  <c r="W32" i="24" s="1"/>
  <c r="X32" i="24" s="1"/>
  <c r="Y32" i="24" s="1"/>
  <c r="G116" i="24"/>
  <c r="S32" i="24"/>
  <c r="T32" i="24" s="1"/>
  <c r="U32" i="24" s="1"/>
  <c r="H116" i="24"/>
  <c r="K116" i="24"/>
  <c r="S116" i="24"/>
  <c r="T116" i="24" s="1"/>
  <c r="U116" i="24" s="1"/>
  <c r="S103" i="24"/>
  <c r="T103" i="24" s="1"/>
  <c r="U103" i="24" s="1"/>
  <c r="E13" i="24"/>
  <c r="G87" i="24"/>
  <c r="S13" i="24"/>
  <c r="T13" i="24" s="1"/>
  <c r="U13" i="24" s="1"/>
  <c r="AS14" i="25"/>
  <c r="AZ14" i="25" s="1"/>
  <c r="AU82" i="17"/>
  <c r="J13" i="24"/>
  <c r="F103" i="24"/>
  <c r="G13" i="24"/>
  <c r="E103" i="24"/>
  <c r="H13" i="24"/>
  <c r="G103" i="24"/>
  <c r="H103" i="24"/>
  <c r="S87" i="24"/>
  <c r="T87" i="24" s="1"/>
  <c r="U87" i="24" s="1"/>
  <c r="I13" i="24"/>
  <c r="G82" i="24"/>
  <c r="AU13" i="17"/>
  <c r="W13" i="24" s="1"/>
  <c r="X13" i="24" s="1"/>
  <c r="Y13" i="24" s="1"/>
  <c r="K13" i="24"/>
  <c r="AU50" i="17"/>
  <c r="W50" i="24" s="1"/>
  <c r="X50" i="24" s="1"/>
  <c r="Y50" i="24" s="1"/>
  <c r="J14" i="24"/>
  <c r="J28" i="24"/>
  <c r="M87" i="24"/>
  <c r="AU95" i="17"/>
  <c r="W95" i="24" s="1"/>
  <c r="X95" i="24" s="1"/>
  <c r="Y95" i="24" s="1"/>
  <c r="S50" i="24"/>
  <c r="T50" i="24" s="1"/>
  <c r="E50" i="24"/>
  <c r="S28" i="24"/>
  <c r="T28" i="24" s="1"/>
  <c r="G50" i="24"/>
  <c r="AU87" i="17"/>
  <c r="W87" i="24" s="1"/>
  <c r="X87" i="24" s="1"/>
  <c r="Y87" i="24" s="1"/>
  <c r="H50" i="24"/>
  <c r="F50" i="24"/>
  <c r="H28" i="24"/>
  <c r="AU122" i="17"/>
  <c r="W122" i="24" s="1"/>
  <c r="X122" i="24" s="1"/>
  <c r="Y122" i="24" s="1"/>
  <c r="H87" i="24"/>
  <c r="L87" i="24"/>
  <c r="J87" i="24"/>
  <c r="K87" i="24"/>
  <c r="S122" i="24"/>
  <c r="T122" i="24" s="1"/>
  <c r="U122" i="24" s="1"/>
  <c r="I87" i="24"/>
  <c r="F122" i="24"/>
  <c r="F87" i="24"/>
  <c r="G101" i="24"/>
  <c r="H101" i="24"/>
  <c r="J101" i="24"/>
  <c r="K141" i="24"/>
  <c r="S95" i="24"/>
  <c r="T95" i="24" s="1"/>
  <c r="U95" i="24" s="1"/>
  <c r="J141" i="24"/>
  <c r="G28" i="24"/>
  <c r="M116" i="24"/>
  <c r="L116" i="24"/>
  <c r="K101" i="24"/>
  <c r="L119" i="24"/>
  <c r="K57" i="24"/>
  <c r="M141" i="24"/>
  <c r="I101" i="24"/>
  <c r="E141" i="24"/>
  <c r="M101" i="24"/>
  <c r="L57" i="24"/>
  <c r="L141" i="24"/>
  <c r="K122" i="24"/>
  <c r="G141" i="24"/>
  <c r="L101" i="24"/>
  <c r="H141" i="24"/>
  <c r="S45" i="24"/>
  <c r="T45" i="24" s="1"/>
  <c r="U45" i="24" s="1"/>
  <c r="S11" i="24"/>
  <c r="T11" i="24" s="1"/>
  <c r="U11" i="24" s="1"/>
  <c r="J48" i="24"/>
  <c r="E48" i="24"/>
  <c r="E109" i="24"/>
  <c r="G48" i="24"/>
  <c r="M48" i="24"/>
  <c r="H48" i="24"/>
  <c r="M60" i="24"/>
  <c r="L48" i="24"/>
  <c r="M109" i="24"/>
  <c r="K48" i="24"/>
  <c r="L109" i="24"/>
  <c r="F132" i="24"/>
  <c r="S14" i="24"/>
  <c r="T14" i="24" s="1"/>
  <c r="U14" i="24" s="1"/>
  <c r="F14" i="24"/>
  <c r="K14" i="24"/>
  <c r="I128" i="24"/>
  <c r="E68" i="24"/>
  <c r="L30" i="24"/>
  <c r="L68" i="24"/>
  <c r="E95" i="24"/>
  <c r="H68" i="24"/>
  <c r="AU68" i="17"/>
  <c r="W68" i="24" s="1"/>
  <c r="X68" i="24" s="1"/>
  <c r="Y68" i="24" s="1"/>
  <c r="E128" i="24"/>
  <c r="G95" i="24"/>
  <c r="J68" i="24"/>
  <c r="F128" i="24"/>
  <c r="E14" i="24"/>
  <c r="G128" i="24"/>
  <c r="H95" i="24"/>
  <c r="K68" i="24"/>
  <c r="G14" i="24"/>
  <c r="H128" i="24"/>
  <c r="J95" i="24"/>
  <c r="I68" i="24"/>
  <c r="F68" i="24"/>
  <c r="H14" i="24"/>
  <c r="J128" i="24"/>
  <c r="K95" i="24"/>
  <c r="S128" i="24"/>
  <c r="T128" i="24" s="1"/>
  <c r="U128" i="24" s="1"/>
  <c r="S68" i="24"/>
  <c r="T68" i="24" s="1"/>
  <c r="U68" i="24" s="1"/>
  <c r="K128" i="24"/>
  <c r="I95" i="24"/>
  <c r="K113" i="24"/>
  <c r="AU47" i="17"/>
  <c r="F32" i="24"/>
  <c r="E32" i="24"/>
  <c r="H32" i="24"/>
  <c r="K32" i="24"/>
  <c r="I32" i="24"/>
  <c r="J32" i="24"/>
  <c r="I103" i="24"/>
  <c r="J103" i="24"/>
  <c r="AS20" i="25"/>
  <c r="AY20" i="25" s="1"/>
  <c r="F61" i="24"/>
  <c r="S61" i="24"/>
  <c r="T61" i="24" s="1"/>
  <c r="U61" i="24" s="1"/>
  <c r="G61" i="24"/>
  <c r="F135" i="24"/>
  <c r="S135" i="24"/>
  <c r="T135" i="24" s="1"/>
  <c r="U135" i="24" s="1"/>
  <c r="I135" i="24"/>
  <c r="F95" i="24"/>
  <c r="S123" i="24"/>
  <c r="T123" i="24" s="1"/>
  <c r="U123" i="24" s="1"/>
  <c r="AU56" i="17"/>
  <c r="AU113" i="17"/>
  <c r="W113" i="24" s="1"/>
  <c r="X113" i="24" s="1"/>
  <c r="Y113" i="24" s="1"/>
  <c r="E113" i="24"/>
  <c r="S113" i="24"/>
  <c r="T113" i="24" s="1"/>
  <c r="U113" i="24" s="1"/>
  <c r="S138" i="24"/>
  <c r="T138" i="24" s="1"/>
  <c r="U138" i="24" s="1"/>
  <c r="K123" i="24"/>
  <c r="K52" i="24"/>
  <c r="S54" i="24"/>
  <c r="T54" i="24" s="1"/>
  <c r="U54" i="24" s="1"/>
  <c r="H88" i="24"/>
  <c r="AU9" i="17"/>
  <c r="W9" i="24" s="1"/>
  <c r="X9" i="24" s="1"/>
  <c r="Y9" i="24" s="1"/>
  <c r="AU88" i="17"/>
  <c r="W88" i="24" s="1"/>
  <c r="X88" i="24" s="1"/>
  <c r="Y88" i="24" s="1"/>
  <c r="AU137" i="17"/>
  <c r="K138" i="24"/>
  <c r="J85" i="24"/>
  <c r="H80" i="24"/>
  <c r="AU53" i="17"/>
  <c r="W53" i="24" s="1"/>
  <c r="X53" i="24" s="1"/>
  <c r="Y53" i="24" s="1"/>
  <c r="AU11" i="17"/>
  <c r="W11" i="24" s="1"/>
  <c r="X11" i="24" s="1"/>
  <c r="Y11" i="24" s="1"/>
  <c r="E135" i="24"/>
  <c r="G135" i="24"/>
  <c r="H135" i="24"/>
  <c r="M135" i="24"/>
  <c r="K135" i="24"/>
  <c r="L135" i="24"/>
  <c r="M128" i="24"/>
  <c r="AU52" i="17"/>
  <c r="W52" i="24" s="1"/>
  <c r="X52" i="24" s="1"/>
  <c r="Y52" i="24" s="1"/>
  <c r="S88" i="24"/>
  <c r="T88" i="24" s="1"/>
  <c r="U88" i="24" s="1"/>
  <c r="AU85" i="17"/>
  <c r="W85" i="24" s="1"/>
  <c r="X85" i="24" s="1"/>
  <c r="Y85" i="24" s="1"/>
  <c r="I53" i="24"/>
  <c r="K85" i="24"/>
  <c r="J80" i="24"/>
  <c r="K88" i="24"/>
  <c r="I85" i="24"/>
  <c r="K80" i="24"/>
  <c r="I88" i="24"/>
  <c r="M88" i="24"/>
  <c r="I80" i="24"/>
  <c r="J88" i="24"/>
  <c r="L88" i="24"/>
  <c r="E52" i="24"/>
  <c r="G52" i="24"/>
  <c r="F83" i="24"/>
  <c r="S85" i="24"/>
  <c r="T85" i="24" s="1"/>
  <c r="U85" i="24" s="1"/>
  <c r="S80" i="24"/>
  <c r="T80" i="24" s="1"/>
  <c r="U80" i="24" s="1"/>
  <c r="H52" i="24"/>
  <c r="E85" i="24"/>
  <c r="J52" i="24"/>
  <c r="G85" i="24"/>
  <c r="F80" i="24"/>
  <c r="E80" i="24"/>
  <c r="E88" i="24"/>
  <c r="AU83" i="17"/>
  <c r="S52" i="24"/>
  <c r="T52" i="24" s="1"/>
  <c r="U52" i="24" s="1"/>
  <c r="H85" i="24"/>
  <c r="F88" i="24"/>
  <c r="G88" i="24"/>
  <c r="L9" i="24"/>
  <c r="J57" i="24"/>
  <c r="H57" i="24"/>
  <c r="I57" i="24"/>
  <c r="M57" i="24"/>
  <c r="G57" i="24"/>
  <c r="F57" i="24"/>
  <c r="E57" i="24"/>
  <c r="G9" i="24"/>
  <c r="G113" i="24"/>
  <c r="E123" i="24"/>
  <c r="H113" i="24"/>
  <c r="G123" i="24"/>
  <c r="J113" i="24"/>
  <c r="K103" i="24"/>
  <c r="H123" i="24"/>
  <c r="I113" i="24"/>
  <c r="J123" i="24"/>
  <c r="I123" i="24"/>
  <c r="M82" i="24"/>
  <c r="G122" i="24"/>
  <c r="H122" i="24"/>
  <c r="F85" i="24"/>
  <c r="J122" i="24"/>
  <c r="M103" i="24"/>
  <c r="I122" i="24"/>
  <c r="I138" i="24"/>
  <c r="J138" i="24"/>
  <c r="E138" i="24"/>
  <c r="G138" i="24"/>
  <c r="F138" i="24"/>
  <c r="L53" i="24"/>
  <c r="F9" i="24"/>
  <c r="I61" i="24"/>
  <c r="H9" i="24"/>
  <c r="S9" i="24"/>
  <c r="T9" i="24" s="1"/>
  <c r="U9" i="24" s="1"/>
  <c r="J61" i="24"/>
  <c r="M9" i="24"/>
  <c r="E9" i="24"/>
  <c r="H83" i="24"/>
  <c r="M83" i="24"/>
  <c r="M32" i="24"/>
  <c r="J9" i="24"/>
  <c r="K9" i="24"/>
  <c r="H11" i="24"/>
  <c r="K45" i="24"/>
  <c r="S41" i="24"/>
  <c r="T41" i="24" s="1"/>
  <c r="U41" i="24" s="1"/>
  <c r="K61" i="24"/>
  <c r="S49" i="24"/>
  <c r="T49" i="24" s="1"/>
  <c r="U49" i="24" s="1"/>
  <c r="E61" i="24"/>
  <c r="F67" i="24"/>
  <c r="F45" i="24"/>
  <c r="I45" i="24"/>
  <c r="J11" i="24"/>
  <c r="S29" i="24"/>
  <c r="T29" i="24" s="1"/>
  <c r="U29" i="24" s="1"/>
  <c r="F11" i="24"/>
  <c r="K11" i="24"/>
  <c r="I11" i="24"/>
  <c r="E45" i="24"/>
  <c r="G45" i="24"/>
  <c r="J7" i="24"/>
  <c r="H45" i="24"/>
  <c r="E11" i="24"/>
  <c r="I38" i="24"/>
  <c r="I20" i="24"/>
  <c r="S76" i="24"/>
  <c r="T76" i="24" s="1"/>
  <c r="U76" i="24" s="1"/>
  <c r="K76" i="24"/>
  <c r="K29" i="24"/>
  <c r="K7" i="24"/>
  <c r="I67" i="24"/>
  <c r="K34" i="24"/>
  <c r="H47" i="24"/>
  <c r="L45" i="24"/>
  <c r="M45" i="24"/>
  <c r="J12" i="24"/>
  <c r="L11" i="24"/>
  <c r="M11" i="24"/>
  <c r="L41" i="24"/>
  <c r="M41" i="24"/>
  <c r="L49" i="24"/>
  <c r="M49" i="24"/>
  <c r="K15" i="24"/>
  <c r="J67" i="24"/>
  <c r="K38" i="24"/>
  <c r="I49" i="24"/>
  <c r="J20" i="24"/>
  <c r="G41" i="24"/>
  <c r="J34" i="24"/>
  <c r="E129" i="24"/>
  <c r="L123" i="24"/>
  <c r="M123" i="24"/>
  <c r="L56" i="24"/>
  <c r="M56" i="24"/>
  <c r="K58" i="24"/>
  <c r="L55" i="24"/>
  <c r="M55" i="24"/>
  <c r="L113" i="24"/>
  <c r="M113" i="24"/>
  <c r="S7" i="24"/>
  <c r="T7" i="24" s="1"/>
  <c r="U7" i="24" s="1"/>
  <c r="L6" i="24"/>
  <c r="K6" i="24"/>
  <c r="M6" i="24"/>
  <c r="L13" i="24"/>
  <c r="M13" i="24"/>
  <c r="S38" i="24"/>
  <c r="T38" i="24" s="1"/>
  <c r="U38" i="24" s="1"/>
  <c r="F38" i="24"/>
  <c r="K67" i="24"/>
  <c r="H41" i="24"/>
  <c r="F55" i="24"/>
  <c r="L54" i="24"/>
  <c r="M54" i="24"/>
  <c r="L50" i="24"/>
  <c r="M50" i="24"/>
  <c r="AU28" i="17"/>
  <c r="W28" i="24" s="1"/>
  <c r="X28" i="24" s="1"/>
  <c r="Y28" i="24" s="1"/>
  <c r="L28" i="24"/>
  <c r="M28" i="24"/>
  <c r="L14" i="24"/>
  <c r="M14" i="24"/>
  <c r="L95" i="24"/>
  <c r="M95" i="24"/>
  <c r="L15" i="24"/>
  <c r="M15" i="24"/>
  <c r="H22" i="24"/>
  <c r="L20" i="24"/>
  <c r="M20" i="24"/>
  <c r="L76" i="24"/>
  <c r="M76" i="24"/>
  <c r="F41" i="24"/>
  <c r="J41" i="24"/>
  <c r="L122" i="24"/>
  <c r="M122" i="24"/>
  <c r="L34" i="24"/>
  <c r="M34" i="24"/>
  <c r="L29" i="24"/>
  <c r="M29" i="24"/>
  <c r="L7" i="24"/>
  <c r="M7" i="24"/>
  <c r="L16" i="24"/>
  <c r="M16" i="24"/>
  <c r="L38" i="24"/>
  <c r="M38" i="24"/>
  <c r="S20" i="24"/>
  <c r="T20" i="24" s="1"/>
  <c r="U20" i="24" s="1"/>
  <c r="S67" i="24"/>
  <c r="T67" i="24" s="1"/>
  <c r="U67" i="24" s="1"/>
  <c r="G7" i="24"/>
  <c r="E76" i="24"/>
  <c r="F34" i="24"/>
  <c r="F20" i="24"/>
  <c r="E29" i="24"/>
  <c r="E49" i="24"/>
  <c r="I41" i="24"/>
  <c r="E34" i="24"/>
  <c r="W124" i="24"/>
  <c r="X124" i="24" s="1"/>
  <c r="Y124" i="24" s="1"/>
  <c r="L138" i="24"/>
  <c r="M138" i="24"/>
  <c r="L58" i="24"/>
  <c r="M58" i="24"/>
  <c r="L51" i="24"/>
  <c r="M51" i="24"/>
  <c r="L47" i="24"/>
  <c r="M47" i="24"/>
  <c r="L22" i="24"/>
  <c r="M22" i="24"/>
  <c r="H7" i="24"/>
  <c r="G76" i="24"/>
  <c r="E38" i="24"/>
  <c r="G29" i="24"/>
  <c r="G49" i="24"/>
  <c r="E20" i="24"/>
  <c r="K41" i="24"/>
  <c r="G34" i="24"/>
  <c r="L52" i="24"/>
  <c r="M52" i="24"/>
  <c r="L80" i="24"/>
  <c r="M80" i="24"/>
  <c r="L79" i="24"/>
  <c r="M79" i="24"/>
  <c r="L85" i="24"/>
  <c r="M85" i="24"/>
  <c r="L17" i="24"/>
  <c r="M17" i="24"/>
  <c r="L23" i="24"/>
  <c r="M23" i="24"/>
  <c r="L67" i="24"/>
  <c r="M67" i="24"/>
  <c r="I7" i="24"/>
  <c r="H76" i="24"/>
  <c r="F49" i="24"/>
  <c r="H67" i="24"/>
  <c r="H38" i="24"/>
  <c r="H29" i="24"/>
  <c r="H49" i="24"/>
  <c r="G20" i="24"/>
  <c r="H34" i="24"/>
  <c r="F76" i="24"/>
  <c r="I76" i="24"/>
  <c r="G67" i="24"/>
  <c r="G38" i="24"/>
  <c r="I29" i="24"/>
  <c r="K49" i="24"/>
  <c r="H20" i="24"/>
  <c r="I34" i="24"/>
  <c r="L61" i="24"/>
  <c r="M61" i="24"/>
  <c r="G53" i="24"/>
  <c r="J58" i="24"/>
  <c r="H53" i="24"/>
  <c r="F58" i="24"/>
  <c r="I58" i="24"/>
  <c r="S53" i="24"/>
  <c r="T53" i="24" s="1"/>
  <c r="U53" i="24" s="1"/>
  <c r="K53" i="24"/>
  <c r="G55" i="24"/>
  <c r="J53" i="24"/>
  <c r="G58" i="24"/>
  <c r="S58" i="24"/>
  <c r="T58" i="24" s="1"/>
  <c r="U58" i="24" s="1"/>
  <c r="H58" i="24"/>
  <c r="E53" i="24"/>
  <c r="F53" i="24"/>
  <c r="G54" i="24"/>
  <c r="H54" i="24"/>
  <c r="K54" i="24"/>
  <c r="I54" i="24"/>
  <c r="J54" i="24"/>
  <c r="F7" i="24"/>
  <c r="F29" i="24"/>
  <c r="F52" i="24"/>
  <c r="S15" i="24"/>
  <c r="T15" i="24" s="1"/>
  <c r="U15" i="24" s="1"/>
  <c r="I15" i="24"/>
  <c r="J82" i="24"/>
  <c r="I83" i="24"/>
  <c r="AU14" i="17"/>
  <c r="S82" i="24"/>
  <c r="T82" i="24" s="1"/>
  <c r="U82" i="24" s="1"/>
  <c r="K82" i="24"/>
  <c r="K83" i="24"/>
  <c r="I82" i="24"/>
  <c r="J83" i="24"/>
  <c r="AU80" i="17"/>
  <c r="E15" i="24"/>
  <c r="S83" i="24"/>
  <c r="T83" i="24" s="1"/>
  <c r="U83" i="24" s="1"/>
  <c r="G15" i="24"/>
  <c r="H15" i="24"/>
  <c r="E82" i="24"/>
  <c r="E83" i="24"/>
  <c r="AU79" i="17"/>
  <c r="J15" i="24"/>
  <c r="H82" i="24"/>
  <c r="G83" i="24"/>
  <c r="F59" i="24"/>
  <c r="H129" i="24"/>
  <c r="E12" i="24"/>
  <c r="H12" i="24"/>
  <c r="K12" i="24"/>
  <c r="F54" i="24"/>
  <c r="I12" i="24"/>
  <c r="F12" i="24"/>
  <c r="E22" i="24"/>
  <c r="K22" i="24"/>
  <c r="E24" i="24"/>
  <c r="G22" i="24"/>
  <c r="J16" i="24"/>
  <c r="F16" i="24"/>
  <c r="I22" i="24"/>
  <c r="K16" i="24"/>
  <c r="S24" i="24"/>
  <c r="T24" i="24" s="1"/>
  <c r="U24" i="24" s="1"/>
  <c r="S16" i="24"/>
  <c r="T16" i="24" s="1"/>
  <c r="U16" i="24" s="1"/>
  <c r="J22" i="24"/>
  <c r="G24" i="24"/>
  <c r="F22" i="24"/>
  <c r="E16" i="24"/>
  <c r="H24" i="24"/>
  <c r="S22" i="24"/>
  <c r="T22" i="24" s="1"/>
  <c r="U22" i="24" s="1"/>
  <c r="G16" i="24"/>
  <c r="J24" i="24"/>
  <c r="H16" i="24"/>
  <c r="I24" i="24"/>
  <c r="F24" i="24"/>
  <c r="I16" i="24"/>
  <c r="K24" i="24"/>
  <c r="E55" i="24"/>
  <c r="F47" i="24"/>
  <c r="J47" i="24"/>
  <c r="S47" i="24"/>
  <c r="T47" i="24" s="1"/>
  <c r="U47" i="24" s="1"/>
  <c r="H55" i="24"/>
  <c r="I47" i="24"/>
  <c r="AU45" i="17"/>
  <c r="S55" i="24"/>
  <c r="T55" i="24" s="1"/>
  <c r="U55" i="24" s="1"/>
  <c r="I55" i="24"/>
  <c r="AU54" i="17"/>
  <c r="J55" i="24"/>
  <c r="K55" i="24"/>
  <c r="E47" i="24"/>
  <c r="G47" i="24"/>
  <c r="F82" i="24"/>
  <c r="K129" i="24"/>
  <c r="AU6" i="17"/>
  <c r="G129" i="24"/>
  <c r="AU123" i="17"/>
  <c r="W123" i="24" s="1"/>
  <c r="X123" i="24" s="1"/>
  <c r="Y123" i="24" s="1"/>
  <c r="F129" i="24"/>
  <c r="J129" i="24"/>
  <c r="I129" i="24"/>
  <c r="S120" i="24"/>
  <c r="T120" i="24" s="1"/>
  <c r="U120" i="24" s="1"/>
  <c r="E120" i="24"/>
  <c r="G120" i="24"/>
  <c r="F120" i="24"/>
  <c r="H120" i="24"/>
  <c r="K120" i="24"/>
  <c r="J120" i="24"/>
  <c r="I120" i="24"/>
  <c r="H30" i="24"/>
  <c r="S129" i="24"/>
  <c r="T129" i="24" s="1"/>
  <c r="U129" i="24" s="1"/>
  <c r="J60" i="24"/>
  <c r="G56" i="24"/>
  <c r="AU58" i="17"/>
  <c r="H56" i="24"/>
  <c r="E60" i="24"/>
  <c r="S60" i="24"/>
  <c r="T60" i="24" s="1"/>
  <c r="U60" i="24" s="1"/>
  <c r="F60" i="24"/>
  <c r="I56" i="24"/>
  <c r="G60" i="24"/>
  <c r="AU55" i="17"/>
  <c r="J56" i="24"/>
  <c r="H60" i="24"/>
  <c r="F56" i="24"/>
  <c r="S56" i="24"/>
  <c r="T56" i="24" s="1"/>
  <c r="U56" i="24" s="1"/>
  <c r="K56" i="24"/>
  <c r="I60" i="24"/>
  <c r="K60" i="24"/>
  <c r="G30" i="24"/>
  <c r="I30" i="24"/>
  <c r="J30" i="24"/>
  <c r="K30" i="24"/>
  <c r="S30" i="24"/>
  <c r="T30" i="24" s="1"/>
  <c r="U30" i="24" s="1"/>
  <c r="F30" i="24"/>
  <c r="E30" i="24"/>
  <c r="W129" i="24"/>
  <c r="X129" i="24" s="1"/>
  <c r="Y129" i="24" s="1"/>
  <c r="U109" i="24"/>
  <c r="U98" i="24"/>
  <c r="U46" i="24"/>
  <c r="U10" i="24"/>
  <c r="U97" i="24"/>
  <c r="U92" i="24"/>
  <c r="U91" i="24"/>
  <c r="U115" i="24"/>
  <c r="U73" i="24"/>
  <c r="U62" i="24"/>
  <c r="U136" i="24"/>
  <c r="U99" i="24"/>
  <c r="U131" i="24"/>
  <c r="U42" i="24"/>
  <c r="U59" i="24"/>
  <c r="U39" i="24"/>
  <c r="U125" i="24"/>
  <c r="U27" i="24"/>
  <c r="U114" i="24"/>
  <c r="U107" i="24"/>
  <c r="U63" i="24"/>
  <c r="U101" i="24"/>
  <c r="U75" i="24"/>
  <c r="U77" i="24"/>
  <c r="U111" i="24"/>
  <c r="U118" i="24"/>
  <c r="U66" i="24"/>
  <c r="U106" i="24"/>
  <c r="U134" i="24"/>
  <c r="U105" i="24"/>
  <c r="U108" i="24"/>
  <c r="U35" i="24"/>
  <c r="U137" i="24"/>
  <c r="U28" i="24"/>
  <c r="U100" i="24"/>
  <c r="U84" i="24"/>
  <c r="U37" i="24"/>
  <c r="U94" i="24"/>
  <c r="U12" i="24"/>
  <c r="U69" i="24"/>
  <c r="U21" i="24"/>
  <c r="U74" i="24"/>
  <c r="U72" i="24"/>
  <c r="U71" i="24"/>
  <c r="U130" i="24"/>
  <c r="U127" i="24"/>
  <c r="U93" i="24"/>
  <c r="U90" i="24"/>
  <c r="U102" i="24"/>
  <c r="U126" i="24"/>
  <c r="U117" i="24"/>
  <c r="U110" i="24"/>
  <c r="U65" i="24"/>
  <c r="U34" i="24"/>
  <c r="U86" i="24"/>
  <c r="AE41" i="17"/>
  <c r="AE18" i="17"/>
  <c r="F19" i="24"/>
  <c r="F26" i="24"/>
  <c r="F70" i="24"/>
  <c r="F18" i="24"/>
  <c r="F17" i="24"/>
  <c r="F79" i="24"/>
  <c r="K8" i="24"/>
  <c r="I8" i="24"/>
  <c r="J8" i="24"/>
  <c r="H8" i="24"/>
  <c r="G8" i="24"/>
  <c r="E8" i="24"/>
  <c r="K25" i="24"/>
  <c r="J25" i="24"/>
  <c r="I25" i="24"/>
  <c r="G25" i="24"/>
  <c r="H25" i="24"/>
  <c r="E25" i="24"/>
  <c r="F8" i="24"/>
  <c r="J70" i="24"/>
  <c r="K70" i="24"/>
  <c r="I70" i="24"/>
  <c r="H70" i="24"/>
  <c r="G70" i="24"/>
  <c r="E70" i="24"/>
  <c r="K43" i="24"/>
  <c r="J43" i="24"/>
  <c r="I43" i="24"/>
  <c r="H43" i="24"/>
  <c r="G43" i="24"/>
  <c r="E43" i="24"/>
  <c r="K18" i="24"/>
  <c r="J18" i="24"/>
  <c r="I18" i="24"/>
  <c r="H18" i="24"/>
  <c r="G18" i="24"/>
  <c r="E18" i="24"/>
  <c r="J23" i="24"/>
  <c r="K23" i="24"/>
  <c r="I23" i="24"/>
  <c r="H23" i="24"/>
  <c r="G23" i="24"/>
  <c r="E23" i="24"/>
  <c r="G6" i="24"/>
  <c r="J6" i="24"/>
  <c r="I6" i="24"/>
  <c r="H6" i="24"/>
  <c r="E6" i="24"/>
  <c r="I79" i="24"/>
  <c r="K79" i="24"/>
  <c r="J79" i="24"/>
  <c r="H79" i="24"/>
  <c r="G79" i="24"/>
  <c r="E79" i="24"/>
  <c r="F23" i="24"/>
  <c r="F25" i="24"/>
  <c r="I26" i="24"/>
  <c r="K26" i="24"/>
  <c r="J26" i="24"/>
  <c r="H26" i="24"/>
  <c r="G26" i="24"/>
  <c r="E26" i="24"/>
  <c r="I36" i="24"/>
  <c r="K36" i="24"/>
  <c r="J36" i="24"/>
  <c r="H36" i="24"/>
  <c r="G36" i="24"/>
  <c r="E36" i="24"/>
  <c r="K19" i="24"/>
  <c r="I19" i="24"/>
  <c r="J19" i="24"/>
  <c r="G19" i="24"/>
  <c r="H19" i="24"/>
  <c r="E19" i="24"/>
  <c r="I40" i="24"/>
  <c r="J40" i="24"/>
  <c r="K40" i="24"/>
  <c r="H40" i="24"/>
  <c r="G40" i="24"/>
  <c r="E40" i="24"/>
  <c r="K17" i="24"/>
  <c r="I17" i="24"/>
  <c r="J17" i="24"/>
  <c r="H17" i="24"/>
  <c r="G17" i="24"/>
  <c r="E17" i="24"/>
  <c r="K51" i="24"/>
  <c r="I51" i="24"/>
  <c r="J51" i="24"/>
  <c r="H51" i="24"/>
  <c r="G51" i="24"/>
  <c r="E51" i="24"/>
  <c r="F51" i="24"/>
  <c r="F40" i="24"/>
  <c r="F36" i="24"/>
  <c r="AC6" i="24"/>
  <c r="F6" i="24"/>
  <c r="F43" i="24"/>
  <c r="P70" i="24"/>
  <c r="Q88" i="24"/>
  <c r="Q44" i="24"/>
  <c r="Q69" i="24"/>
  <c r="Q133" i="24"/>
  <c r="Q53" i="24"/>
  <c r="Q52" i="24"/>
  <c r="Q41" i="24"/>
  <c r="Q139" i="24"/>
  <c r="Q137" i="24"/>
  <c r="Q35" i="24"/>
  <c r="Q128" i="24"/>
  <c r="Q98" i="24"/>
  <c r="Q87" i="24"/>
  <c r="Q47" i="24"/>
  <c r="Q138" i="24"/>
  <c r="Q99" i="24"/>
  <c r="Q54" i="24"/>
  <c r="Q86" i="24"/>
  <c r="Q105" i="24"/>
  <c r="Q39" i="24"/>
  <c r="Q117" i="24"/>
  <c r="Q76" i="24"/>
  <c r="Q94" i="24"/>
  <c r="Q91" i="24"/>
  <c r="Q115" i="24"/>
  <c r="Q125" i="24"/>
  <c r="Q80" i="24"/>
  <c r="Q28" i="24"/>
  <c r="P31" i="24"/>
  <c r="P23" i="24"/>
  <c r="P8" i="24"/>
  <c r="P18" i="24"/>
  <c r="P17" i="24"/>
  <c r="Q33" i="24"/>
  <c r="Q59" i="24"/>
  <c r="Q49" i="24"/>
  <c r="Q71" i="24"/>
  <c r="Q118" i="24"/>
  <c r="Q55" i="24"/>
  <c r="Q27" i="24"/>
  <c r="Q141" i="24"/>
  <c r="Q95" i="24"/>
  <c r="Q21" i="24"/>
  <c r="Q62" i="24"/>
  <c r="Q16" i="24"/>
  <c r="Q46" i="24"/>
  <c r="Q103" i="24"/>
  <c r="Q112" i="24"/>
  <c r="Q14" i="24"/>
  <c r="Q56" i="24"/>
  <c r="Q75" i="24"/>
  <c r="Q121" i="24"/>
  <c r="Q65" i="24"/>
  <c r="Q74" i="24"/>
  <c r="Q61" i="24"/>
  <c r="Q38" i="24"/>
  <c r="Q89" i="24"/>
  <c r="Q131" i="24"/>
  <c r="Q24" i="24"/>
  <c r="Q140" i="24"/>
  <c r="Q114" i="24"/>
  <c r="Q136" i="24"/>
  <c r="Q73" i="24"/>
  <c r="P25" i="24"/>
  <c r="P19" i="24"/>
  <c r="P40" i="24"/>
  <c r="P26" i="24"/>
  <c r="P43" i="24"/>
  <c r="P51" i="24"/>
  <c r="P79" i="24"/>
  <c r="Q106" i="24"/>
  <c r="Q68" i="24"/>
  <c r="Q32" i="24"/>
  <c r="Q77" i="24"/>
  <c r="Q20" i="24"/>
  <c r="Q90" i="24"/>
  <c r="Q126" i="24"/>
  <c r="Q110" i="24"/>
  <c r="Q22" i="24"/>
  <c r="Q102" i="24"/>
  <c r="Q101" i="24"/>
  <c r="Q100" i="24"/>
  <c r="Q66" i="24"/>
  <c r="Q58" i="24"/>
  <c r="Q109" i="24"/>
  <c r="Q116" i="24"/>
  <c r="Q42" i="24"/>
  <c r="Q63" i="24"/>
  <c r="Q120" i="24"/>
  <c r="Q123" i="24"/>
  <c r="Q113" i="24"/>
  <c r="Q29" i="24"/>
  <c r="Q67" i="24"/>
  <c r="Q108" i="24"/>
  <c r="Q107" i="24"/>
  <c r="Q12" i="24"/>
  <c r="P36" i="24"/>
  <c r="Q84" i="24"/>
  <c r="Q37" i="24"/>
  <c r="Q34" i="24"/>
  <c r="Q97" i="24"/>
  <c r="Q11" i="24"/>
  <c r="Q93" i="24"/>
  <c r="Q72" i="24"/>
  <c r="Q48" i="24"/>
  <c r="Q45" i="24"/>
  <c r="Q60" i="24"/>
  <c r="Q15" i="24"/>
  <c r="Q81" i="24"/>
  <c r="Q83" i="24"/>
  <c r="Q124" i="24"/>
  <c r="Q64" i="24"/>
  <c r="Q13" i="24"/>
  <c r="Q10" i="24"/>
  <c r="Q132" i="24"/>
  <c r="Q92" i="24"/>
  <c r="Q82" i="24"/>
  <c r="Q85" i="24"/>
  <c r="Q78" i="24"/>
  <c r="Q50" i="24"/>
  <c r="Q130" i="24"/>
  <c r="Q122" i="24"/>
  <c r="Q135" i="24"/>
  <c r="Q127" i="24"/>
  <c r="Q134" i="24"/>
  <c r="Q111" i="24"/>
  <c r="AE23" i="17"/>
  <c r="AE38" i="17"/>
  <c r="AE15" i="17"/>
  <c r="AE49" i="17"/>
  <c r="AE7" i="17"/>
  <c r="AE20" i="17"/>
  <c r="AE29" i="17"/>
  <c r="AE34" i="17"/>
  <c r="AE16" i="17"/>
  <c r="AE22" i="17"/>
  <c r="AE17" i="17"/>
  <c r="W94" i="24"/>
  <c r="X94" i="24" s="1"/>
  <c r="Y94" i="24" s="1"/>
  <c r="AS21" i="25"/>
  <c r="S19" i="24"/>
  <c r="AU17" i="17"/>
  <c r="W100" i="24"/>
  <c r="X100" i="24" s="1"/>
  <c r="Y100" i="24" s="1"/>
  <c r="W72" i="24"/>
  <c r="X72" i="24" s="1"/>
  <c r="Y72" i="24" s="1"/>
  <c r="W39" i="24"/>
  <c r="X39" i="24" s="1"/>
  <c r="Y39" i="24" s="1"/>
  <c r="W141" i="24"/>
  <c r="X141" i="24" s="1"/>
  <c r="Y141" i="24" s="1"/>
  <c r="W62" i="24"/>
  <c r="X62" i="24" s="1"/>
  <c r="Y62" i="24" s="1"/>
  <c r="W86" i="24"/>
  <c r="X86" i="24" s="1"/>
  <c r="Y86" i="24" s="1"/>
  <c r="AS9" i="25"/>
  <c r="W102" i="24"/>
  <c r="X102" i="24" s="1"/>
  <c r="Y102" i="24" s="1"/>
  <c r="AE67" i="17"/>
  <c r="W91" i="24"/>
  <c r="X91" i="24" s="1"/>
  <c r="Y91" i="24" s="1"/>
  <c r="W115" i="24"/>
  <c r="X115" i="24" s="1"/>
  <c r="Y115" i="24" s="1"/>
  <c r="AE76" i="17"/>
  <c r="T64" i="24"/>
  <c r="W110" i="24"/>
  <c r="X110" i="24" s="1"/>
  <c r="Y110" i="24" s="1"/>
  <c r="W78" i="24"/>
  <c r="X78" i="24" s="1"/>
  <c r="Y78" i="24" s="1"/>
  <c r="W136" i="24"/>
  <c r="X136" i="24" s="1"/>
  <c r="Y136" i="24" s="1"/>
  <c r="W140" i="24"/>
  <c r="X140" i="24" s="1"/>
  <c r="Y140" i="24" s="1"/>
  <c r="AU29" i="17"/>
  <c r="W29" i="24" s="1"/>
  <c r="X29" i="24" s="1"/>
  <c r="Y29" i="24" s="1"/>
  <c r="W90" i="24"/>
  <c r="X90" i="24" s="1"/>
  <c r="Y90" i="24" s="1"/>
  <c r="AS12" i="25"/>
  <c r="S40" i="24"/>
  <c r="AU38" i="17"/>
  <c r="W38" i="24" s="1"/>
  <c r="X38" i="24" s="1"/>
  <c r="Y38" i="24" s="1"/>
  <c r="W114" i="24"/>
  <c r="X114" i="24" s="1"/>
  <c r="Y114" i="24" s="1"/>
  <c r="W84" i="24"/>
  <c r="X84" i="24" s="1"/>
  <c r="Y84" i="24" s="1"/>
  <c r="W89" i="24"/>
  <c r="X89" i="24" s="1"/>
  <c r="Y89" i="24" s="1"/>
  <c r="W42" i="24"/>
  <c r="X42" i="24" s="1"/>
  <c r="Y42" i="24" s="1"/>
  <c r="S6" i="24"/>
  <c r="W92" i="24"/>
  <c r="X92" i="24" s="1"/>
  <c r="Y92" i="24" s="1"/>
  <c r="W63" i="24"/>
  <c r="X63" i="24" s="1"/>
  <c r="Y63" i="24" s="1"/>
  <c r="W127" i="24"/>
  <c r="X127" i="24" s="1"/>
  <c r="Y127" i="24" s="1"/>
  <c r="S43" i="24"/>
  <c r="AS7" i="25"/>
  <c r="AU41" i="17"/>
  <c r="W41" i="24" s="1"/>
  <c r="X41" i="24" s="1"/>
  <c r="Y41" i="24" s="1"/>
  <c r="W35" i="24"/>
  <c r="X35" i="24" s="1"/>
  <c r="Y35" i="24" s="1"/>
  <c r="AF24" i="25"/>
  <c r="W44" i="24"/>
  <c r="X44" i="24" s="1"/>
  <c r="Y44" i="24" s="1"/>
  <c r="W107" i="24"/>
  <c r="X107" i="24" s="1"/>
  <c r="Y107" i="24" s="1"/>
  <c r="O142" i="24"/>
  <c r="P6" i="24"/>
  <c r="W66" i="24"/>
  <c r="X66" i="24" s="1"/>
  <c r="Y66" i="24" s="1"/>
  <c r="W126" i="24"/>
  <c r="X126" i="24" s="1"/>
  <c r="Y126" i="24" s="1"/>
  <c r="W135" i="24"/>
  <c r="X135" i="24" s="1"/>
  <c r="Y135" i="24" s="1"/>
  <c r="AS18" i="25"/>
  <c r="S25" i="24"/>
  <c r="AU22" i="17"/>
  <c r="W24" i="24" s="1"/>
  <c r="X24" i="24" s="1"/>
  <c r="Y24" i="24" s="1"/>
  <c r="AS15" i="25"/>
  <c r="S8" i="24"/>
  <c r="AU7" i="17"/>
  <c r="W69" i="24"/>
  <c r="X69" i="24" s="1"/>
  <c r="Y69" i="24" s="1"/>
  <c r="AS6" i="25"/>
  <c r="S17" i="24"/>
  <c r="AU15" i="17"/>
  <c r="BD9" i="25"/>
  <c r="T44" i="24"/>
  <c r="W106" i="24"/>
  <c r="X106" i="24" s="1"/>
  <c r="Y106" i="24" s="1"/>
  <c r="AS11" i="25"/>
  <c r="S51" i="24"/>
  <c r="AU49" i="17"/>
  <c r="W49" i="24" s="1"/>
  <c r="X49" i="24" s="1"/>
  <c r="Y49" i="24" s="1"/>
  <c r="W74" i="24"/>
  <c r="X74" i="24" s="1"/>
  <c r="Y74" i="24" s="1"/>
  <c r="W99" i="24"/>
  <c r="X99" i="24" s="1"/>
  <c r="Y99" i="24" s="1"/>
  <c r="W131" i="24"/>
  <c r="X131" i="24" s="1"/>
  <c r="Y131" i="24" s="1"/>
  <c r="W77" i="24"/>
  <c r="X77" i="24" s="1"/>
  <c r="Y77" i="24" s="1"/>
  <c r="W65" i="24"/>
  <c r="X65" i="24" s="1"/>
  <c r="Y65" i="24" s="1"/>
  <c r="W48" i="24"/>
  <c r="X48" i="24" s="1"/>
  <c r="Y48" i="24" s="1"/>
  <c r="W59" i="24"/>
  <c r="X59" i="24" s="1"/>
  <c r="Y59" i="24" s="1"/>
  <c r="W105" i="24"/>
  <c r="X105" i="24" s="1"/>
  <c r="Y105" i="24" s="1"/>
  <c r="W71" i="24"/>
  <c r="X71" i="24" s="1"/>
  <c r="Y71" i="24" s="1"/>
  <c r="W27" i="24"/>
  <c r="X27" i="24" s="1"/>
  <c r="Y27" i="24" s="1"/>
  <c r="W108" i="24"/>
  <c r="X108" i="24" s="1"/>
  <c r="Y108" i="24" s="1"/>
  <c r="W101" i="24"/>
  <c r="X101" i="24" s="1"/>
  <c r="Y101" i="24" s="1"/>
  <c r="W46" i="24"/>
  <c r="X46" i="24" s="1"/>
  <c r="Y46" i="24" s="1"/>
  <c r="W117" i="24"/>
  <c r="X117" i="24" s="1"/>
  <c r="Y117" i="24" s="1"/>
  <c r="AU20" i="17"/>
  <c r="AS16" i="25"/>
  <c r="S23" i="24"/>
  <c r="W37" i="24"/>
  <c r="X37" i="24" s="1"/>
  <c r="Y37" i="24" s="1"/>
  <c r="W10" i="24"/>
  <c r="X10" i="24" s="1"/>
  <c r="Y10" i="24" s="1"/>
  <c r="AS13" i="25"/>
  <c r="S26" i="24"/>
  <c r="AU23" i="17"/>
  <c r="W97" i="24"/>
  <c r="X97" i="24" s="1"/>
  <c r="Y97" i="24" s="1"/>
  <c r="AE28" i="17"/>
  <c r="AE90" i="17"/>
  <c r="AE117" i="17"/>
  <c r="AE53" i="17"/>
  <c r="AE112" i="17"/>
  <c r="AE134" i="17"/>
  <c r="AE6" i="17"/>
  <c r="AE138" i="17"/>
  <c r="AE114" i="17"/>
  <c r="AE98" i="17"/>
  <c r="AE123" i="17"/>
  <c r="AE128" i="17"/>
  <c r="AE19" i="17"/>
  <c r="AE121" i="17"/>
  <c r="AE111" i="17"/>
  <c r="AE54" i="17"/>
  <c r="AE61" i="17"/>
  <c r="AE89" i="17"/>
  <c r="AE132" i="17"/>
  <c r="AE14" i="17"/>
  <c r="AE55" i="17"/>
  <c r="AE37" i="17"/>
  <c r="AE105" i="17"/>
  <c r="AE64" i="17"/>
  <c r="AE99" i="17"/>
  <c r="AE116" i="17"/>
  <c r="AE110" i="17"/>
  <c r="AE107" i="17"/>
  <c r="AE75" i="17"/>
  <c r="AE87" i="17"/>
  <c r="AE45" i="17"/>
  <c r="AE35" i="17"/>
  <c r="AE120" i="17"/>
  <c r="AE8" i="17"/>
  <c r="AE78" i="17"/>
  <c r="AE85" i="17"/>
  <c r="AE113" i="17"/>
  <c r="AE95" i="17"/>
  <c r="AE72" i="17"/>
  <c r="AE66" i="17"/>
  <c r="AE136" i="17"/>
  <c r="AE115" i="17"/>
  <c r="AE70" i="17"/>
  <c r="AE109" i="17"/>
  <c r="AE62" i="17"/>
  <c r="AE58" i="17"/>
  <c r="AE50" i="17"/>
  <c r="AE10" i="17"/>
  <c r="AE79" i="17"/>
  <c r="AE31" i="17"/>
  <c r="AE84" i="17"/>
  <c r="AE97" i="17"/>
  <c r="AE11" i="17"/>
  <c r="AE56" i="17"/>
  <c r="AE104" i="17"/>
  <c r="AE42" i="17"/>
  <c r="AE44" i="17"/>
  <c r="AE30" i="17"/>
  <c r="AE52" i="17"/>
  <c r="AE21" i="17"/>
  <c r="AE127" i="17"/>
  <c r="AE137" i="17"/>
  <c r="AE48" i="17"/>
  <c r="AE126" i="17"/>
  <c r="AE83" i="17"/>
  <c r="AE81" i="17"/>
  <c r="AE86" i="17"/>
  <c r="AE59" i="17"/>
  <c r="AE119" i="17"/>
  <c r="AE131" i="17"/>
  <c r="AE129" i="17"/>
  <c r="AE13" i="17"/>
  <c r="AE101" i="17"/>
  <c r="AE133" i="17"/>
  <c r="AE25" i="17"/>
  <c r="AE32" i="17"/>
  <c r="AE9" i="17"/>
  <c r="AE94" i="17"/>
  <c r="AE82" i="17"/>
  <c r="AE74" i="17"/>
  <c r="AE130" i="17"/>
  <c r="AE91" i="17"/>
  <c r="AE47" i="17"/>
  <c r="AE100" i="17"/>
  <c r="AE71" i="17"/>
  <c r="AE60" i="17"/>
  <c r="AE140" i="17"/>
  <c r="AE93" i="17"/>
  <c r="AE43" i="17"/>
  <c r="AE103" i="17"/>
  <c r="AE125" i="17"/>
  <c r="AE135" i="17"/>
  <c r="AE88" i="17"/>
  <c r="AE27" i="17"/>
  <c r="AE80" i="17"/>
  <c r="AE102" i="17"/>
  <c r="AE108" i="17"/>
  <c r="AE40" i="17"/>
  <c r="AE69" i="17"/>
  <c r="AE139" i="17"/>
  <c r="AE96" i="17"/>
  <c r="AE12" i="17"/>
  <c r="AE46" i="17"/>
  <c r="AE122" i="17"/>
  <c r="AE26" i="17"/>
  <c r="AE92" i="17"/>
  <c r="AE77" i="17"/>
  <c r="AE118" i="17"/>
  <c r="AE51" i="17"/>
  <c r="AE73" i="17"/>
  <c r="AE65" i="17"/>
  <c r="AE68" i="17"/>
  <c r="AE36" i="17"/>
  <c r="AE106" i="17"/>
  <c r="AE124" i="17"/>
  <c r="AE24" i="17"/>
  <c r="AE33" i="17"/>
  <c r="AE63" i="17"/>
  <c r="AE39" i="17"/>
  <c r="AE57" i="17"/>
  <c r="W111" i="24"/>
  <c r="X111" i="24" s="1"/>
  <c r="Y111" i="24" s="1"/>
  <c r="W93" i="24"/>
  <c r="X93" i="24" s="1"/>
  <c r="Y93" i="24" s="1"/>
  <c r="W120" i="24"/>
  <c r="X120" i="24" s="1"/>
  <c r="Y120" i="24" s="1"/>
  <c r="W64" i="24"/>
  <c r="X64" i="24" s="1"/>
  <c r="Y64" i="24" s="1"/>
  <c r="W12" i="24"/>
  <c r="X12" i="24" s="1"/>
  <c r="Y12" i="24" s="1"/>
  <c r="W75" i="24"/>
  <c r="X75" i="24" s="1"/>
  <c r="Y75" i="24" s="1"/>
  <c r="W73" i="24"/>
  <c r="X73" i="24" s="1"/>
  <c r="Y73" i="24" s="1"/>
  <c r="W137" i="24"/>
  <c r="X137" i="24" s="1"/>
  <c r="Y137" i="24" s="1"/>
  <c r="W109" i="24"/>
  <c r="X109" i="24" s="1"/>
  <c r="Y109" i="24" s="1"/>
  <c r="W130" i="24"/>
  <c r="X130" i="24" s="1"/>
  <c r="Y130" i="24" s="1"/>
  <c r="W134" i="24"/>
  <c r="X134" i="24" s="1"/>
  <c r="Y134" i="24" s="1"/>
  <c r="W118" i="24"/>
  <c r="X118" i="24" s="1"/>
  <c r="Y118" i="24" s="1"/>
  <c r="AS17" i="25"/>
  <c r="S36" i="24"/>
  <c r="AU34" i="17"/>
  <c r="W34" i="24" s="1"/>
  <c r="X34" i="24" s="1"/>
  <c r="Y34" i="24" s="1"/>
  <c r="AS8" i="25"/>
  <c r="S18" i="24"/>
  <c r="AU16" i="17"/>
  <c r="W21" i="24"/>
  <c r="X21" i="24" s="1"/>
  <c r="Y21" i="24" s="1"/>
  <c r="S70" i="24"/>
  <c r="AU67" i="17"/>
  <c r="W67" i="24" s="1"/>
  <c r="X67" i="24" s="1"/>
  <c r="Y67" i="24" s="1"/>
  <c r="W98" i="24"/>
  <c r="X98" i="24" s="1"/>
  <c r="Y98" i="24" s="1"/>
  <c r="W125" i="24"/>
  <c r="X125" i="24" s="1"/>
  <c r="Y125" i="24" s="1"/>
  <c r="S79" i="24"/>
  <c r="AS23" i="25"/>
  <c r="AU76" i="17"/>
  <c r="W76" i="24" s="1"/>
  <c r="X76" i="24" s="1"/>
  <c r="Y76" i="24" s="1"/>
  <c r="AZ20" i="25" l="1"/>
  <c r="AV14" i="25"/>
  <c r="AT14" i="25"/>
  <c r="AX20" i="25"/>
  <c r="BD14" i="25"/>
  <c r="AU14" i="25"/>
  <c r="AX14" i="25"/>
  <c r="AY14" i="25"/>
  <c r="AW14" i="25"/>
  <c r="BD20" i="25"/>
  <c r="AT20" i="25"/>
  <c r="AW20" i="25"/>
  <c r="AU20" i="25"/>
  <c r="AV20" i="25"/>
  <c r="W56" i="24"/>
  <c r="X56" i="24" s="1"/>
  <c r="Y56" i="24" s="1"/>
  <c r="W138" i="24"/>
  <c r="X138" i="24" s="1"/>
  <c r="Y138" i="24" s="1"/>
  <c r="W54" i="24"/>
  <c r="X54" i="24" s="1"/>
  <c r="Y54" i="24" s="1"/>
  <c r="W80" i="24"/>
  <c r="X80" i="24" s="1"/>
  <c r="Y80" i="24" s="1"/>
  <c r="W14" i="24"/>
  <c r="X14" i="24" s="1"/>
  <c r="Y14" i="24" s="1"/>
  <c r="W83" i="24"/>
  <c r="X83" i="24" s="1"/>
  <c r="Y83" i="24" s="1"/>
  <c r="W45" i="24"/>
  <c r="X45" i="24" s="1"/>
  <c r="Y45" i="24" s="1"/>
  <c r="W22" i="24"/>
  <c r="X22" i="24" s="1"/>
  <c r="Y22" i="24" s="1"/>
  <c r="W7" i="24"/>
  <c r="X7" i="24" s="1"/>
  <c r="Y7" i="24" s="1"/>
  <c r="W20" i="24"/>
  <c r="X20" i="24" s="1"/>
  <c r="Y20" i="24" s="1"/>
  <c r="W82" i="24"/>
  <c r="X82" i="24" s="1"/>
  <c r="Y82" i="24" s="1"/>
  <c r="W15" i="24"/>
  <c r="X15" i="24" s="1"/>
  <c r="Y15" i="24" s="1"/>
  <c r="W58" i="24"/>
  <c r="X58" i="24" s="1"/>
  <c r="Y58" i="24" s="1"/>
  <c r="W55" i="24"/>
  <c r="X55" i="24" s="1"/>
  <c r="Y55" i="24" s="1"/>
  <c r="W60" i="24"/>
  <c r="X60" i="24" s="1"/>
  <c r="Y60" i="24" s="1"/>
  <c r="W47" i="24"/>
  <c r="X47" i="24" s="1"/>
  <c r="Y47" i="24" s="1"/>
  <c r="W16" i="24"/>
  <c r="X16" i="24" s="1"/>
  <c r="Y16" i="24" s="1"/>
  <c r="AE6" i="25"/>
  <c r="AE11" i="25"/>
  <c r="Q51" i="24"/>
  <c r="Q19" i="24"/>
  <c r="Q18" i="24"/>
  <c r="Q43" i="24"/>
  <c r="Q25" i="24"/>
  <c r="Q8" i="24"/>
  <c r="Q36" i="24"/>
  <c r="Q26" i="24"/>
  <c r="Q23" i="24"/>
  <c r="Q79" i="24"/>
  <c r="Q40" i="24"/>
  <c r="Q17" i="24"/>
  <c r="Q31" i="24"/>
  <c r="Q70" i="24"/>
  <c r="AE9" i="25"/>
  <c r="AE12" i="25"/>
  <c r="AE10" i="25"/>
  <c r="AE16" i="25"/>
  <c r="AE17" i="25"/>
  <c r="AE8" i="25"/>
  <c r="AE7" i="25"/>
  <c r="AE15" i="25"/>
  <c r="AE13" i="25"/>
  <c r="AE18" i="25"/>
  <c r="AE21" i="25"/>
  <c r="W18" i="24"/>
  <c r="X18" i="24" s="1"/>
  <c r="Y18" i="24" s="1"/>
  <c r="AE20" i="25"/>
  <c r="AZ16" i="25"/>
  <c r="AV16" i="25"/>
  <c r="AX16" i="25"/>
  <c r="AY16" i="25"/>
  <c r="AW16" i="25"/>
  <c r="AT16" i="25"/>
  <c r="AU16" i="25"/>
  <c r="W25" i="24"/>
  <c r="X25" i="24" s="1"/>
  <c r="Y25" i="24" s="1"/>
  <c r="BD12" i="25"/>
  <c r="T40" i="24"/>
  <c r="BE14" i="25"/>
  <c r="BF14" i="25" s="1"/>
  <c r="U50" i="24"/>
  <c r="W36" i="24"/>
  <c r="X36" i="24" s="1"/>
  <c r="Y36" i="24" s="1"/>
  <c r="W17" i="24"/>
  <c r="X17" i="24" s="1"/>
  <c r="Y17" i="24" s="1"/>
  <c r="AW15" i="25"/>
  <c r="AY15" i="25"/>
  <c r="AZ15" i="25"/>
  <c r="AX15" i="25"/>
  <c r="AV15" i="25"/>
  <c r="AT15" i="25"/>
  <c r="AU15" i="25"/>
  <c r="T18" i="24"/>
  <c r="T79" i="24"/>
  <c r="BD23" i="25"/>
  <c r="BD17" i="25"/>
  <c r="T36" i="24"/>
  <c r="W23" i="24"/>
  <c r="X23" i="24" s="1"/>
  <c r="Y23" i="24" s="1"/>
  <c r="T17" i="24"/>
  <c r="BD6" i="25"/>
  <c r="T6" i="24"/>
  <c r="AE141" i="17"/>
  <c r="AE22" i="25"/>
  <c r="BD18" i="25"/>
  <c r="T25" i="24"/>
  <c r="W43" i="24"/>
  <c r="X43" i="24" s="1"/>
  <c r="Y43" i="24" s="1"/>
  <c r="W6" i="24"/>
  <c r="AE23" i="25"/>
  <c r="T19" i="24"/>
  <c r="BD21" i="25"/>
  <c r="AZ17" i="25"/>
  <c r="AV17" i="25"/>
  <c r="AX17" i="25"/>
  <c r="AY17" i="25"/>
  <c r="AW17" i="25"/>
  <c r="AU17" i="25"/>
  <c r="AT17" i="25"/>
  <c r="W70" i="24"/>
  <c r="X70" i="24" s="1"/>
  <c r="Y70" i="24" s="1"/>
  <c r="W26" i="24"/>
  <c r="X26" i="24" s="1"/>
  <c r="Y26" i="24" s="1"/>
  <c r="W51" i="24"/>
  <c r="X51" i="24" s="1"/>
  <c r="Y51" i="24" s="1"/>
  <c r="AW18" i="25"/>
  <c r="AZ18" i="25"/>
  <c r="AY18" i="25"/>
  <c r="AX18" i="25"/>
  <c r="AV18" i="25"/>
  <c r="AT18" i="25"/>
  <c r="AU18" i="25"/>
  <c r="AY7" i="25"/>
  <c r="AZ7" i="25"/>
  <c r="AV7" i="25"/>
  <c r="AX7" i="25"/>
  <c r="AW7" i="25"/>
  <c r="AT7" i="25"/>
  <c r="AU7" i="25"/>
  <c r="AY12" i="25"/>
  <c r="AW12" i="25"/>
  <c r="AV12" i="25"/>
  <c r="AX12" i="25"/>
  <c r="AZ12" i="25"/>
  <c r="AT12" i="25"/>
  <c r="AU12" i="25"/>
  <c r="AV21" i="25"/>
  <c r="AZ21" i="25"/>
  <c r="AW21" i="25"/>
  <c r="AY21" i="25"/>
  <c r="AX21" i="25"/>
  <c r="AT21" i="25"/>
  <c r="AU21" i="25"/>
  <c r="W79" i="24"/>
  <c r="X79" i="24" s="1"/>
  <c r="Y79" i="24" s="1"/>
  <c r="T70" i="24"/>
  <c r="AV8" i="25"/>
  <c r="AX8" i="25"/>
  <c r="AZ8" i="25"/>
  <c r="AY8" i="25"/>
  <c r="AW8" i="25"/>
  <c r="AT8" i="25"/>
  <c r="AU8" i="25"/>
  <c r="Q6" i="24"/>
  <c r="P142" i="24"/>
  <c r="T43" i="24"/>
  <c r="BD7" i="25"/>
  <c r="AY9" i="25"/>
  <c r="AW9" i="25"/>
  <c r="AZ9" i="25"/>
  <c r="AV9" i="25"/>
  <c r="AX9" i="25"/>
  <c r="AU9" i="25"/>
  <c r="AT9" i="25"/>
  <c r="T26" i="24"/>
  <c r="BD13" i="25"/>
  <c r="BD16" i="25"/>
  <c r="T23" i="24"/>
  <c r="T51" i="24"/>
  <c r="BD11" i="25"/>
  <c r="AX6" i="25"/>
  <c r="AZ6" i="25"/>
  <c r="AW6" i="25"/>
  <c r="AY6" i="25"/>
  <c r="AV6" i="25"/>
  <c r="AT6" i="25"/>
  <c r="AU6" i="25"/>
  <c r="W8" i="24"/>
  <c r="X8" i="24" s="1"/>
  <c r="Y8" i="24" s="1"/>
  <c r="BE20" i="25"/>
  <c r="BF20" i="25" s="1"/>
  <c r="U64" i="24"/>
  <c r="AV23" i="25"/>
  <c r="AX23" i="25"/>
  <c r="AW23" i="25"/>
  <c r="AY23" i="25"/>
  <c r="AU23" i="25"/>
  <c r="AT23" i="25"/>
  <c r="AE14" i="25"/>
  <c r="AY13" i="25"/>
  <c r="AV13" i="25"/>
  <c r="AX13" i="25"/>
  <c r="AZ13" i="25"/>
  <c r="AW13" i="25"/>
  <c r="AU13" i="25"/>
  <c r="AT13" i="25"/>
  <c r="AX11" i="25"/>
  <c r="AW11" i="25"/>
  <c r="AY11" i="25"/>
  <c r="AZ11" i="25"/>
  <c r="AV11" i="25"/>
  <c r="AT11" i="25"/>
  <c r="AU11" i="25"/>
  <c r="U44" i="24"/>
  <c r="BE9" i="25"/>
  <c r="BF9" i="25" s="1"/>
  <c r="T8" i="24"/>
  <c r="W40" i="24"/>
  <c r="X40" i="24" s="1"/>
  <c r="Y40" i="24" s="1"/>
  <c r="AE19" i="25"/>
  <c r="W19" i="24"/>
  <c r="X19" i="24" s="1"/>
  <c r="Y19" i="24" s="1"/>
  <c r="Q142" i="24" l="1"/>
  <c r="AE24" i="25"/>
  <c r="U51" i="24"/>
  <c r="BE11" i="25"/>
  <c r="BF11" i="25" s="1"/>
  <c r="X6" i="24"/>
  <c r="U6" i="24"/>
  <c r="U23" i="24"/>
  <c r="BE16" i="25"/>
  <c r="BF16" i="25" s="1"/>
  <c r="U25" i="24"/>
  <c r="BE18" i="25"/>
  <c r="BF18" i="25" s="1"/>
  <c r="BE23" i="25"/>
  <c r="BF23" i="25" s="1"/>
  <c r="U79" i="24"/>
  <c r="BE12" i="25"/>
  <c r="BF12" i="25" s="1"/>
  <c r="U40" i="24"/>
  <c r="U26" i="24"/>
  <c r="BE13" i="25"/>
  <c r="BF13" i="25" s="1"/>
  <c r="U18" i="24"/>
  <c r="U70" i="24"/>
  <c r="U17" i="24"/>
  <c r="BE6" i="25"/>
  <c r="BE21" i="25"/>
  <c r="BF21" i="25" s="1"/>
  <c r="U19" i="24"/>
  <c r="U8" i="24"/>
  <c r="U43" i="24"/>
  <c r="BE7" i="25"/>
  <c r="BF7" i="25" s="1"/>
  <c r="U36" i="24"/>
  <c r="BE17" i="25"/>
  <c r="BF17" i="25" s="1"/>
  <c r="BF6" i="25" l="1"/>
  <c r="Y6" i="24"/>
  <c r="AK141" i="17" l="1"/>
  <c r="AP133" i="17"/>
  <c r="AA133" i="24" s="1"/>
  <c r="AB133" i="24" s="1"/>
  <c r="AC133" i="24" s="1"/>
  <c r="AS112" i="17" l="1"/>
  <c r="AS31" i="17"/>
  <c r="AU31" i="17" s="1"/>
  <c r="W31" i="24" s="1"/>
  <c r="X31" i="24" s="1"/>
  <c r="Y31" i="24" s="1"/>
  <c r="AS133" i="17"/>
  <c r="AU133" i="17" s="1"/>
  <c r="W133" i="24" s="1"/>
  <c r="X133" i="24" s="1"/>
  <c r="Y133" i="24" s="1"/>
  <c r="AA139" i="24"/>
  <c r="AB139" i="24" s="1"/>
  <c r="AC139" i="24" s="1"/>
  <c r="F139" i="24"/>
  <c r="AS22" i="25"/>
  <c r="H139" i="24"/>
  <c r="AP112" i="17"/>
  <c r="G139" i="24"/>
  <c r="I139" i="24"/>
  <c r="J33" i="24"/>
  <c r="AP31" i="17"/>
  <c r="AA31" i="24" s="1"/>
  <c r="AB31" i="24" s="1"/>
  <c r="AC31" i="24" s="1"/>
  <c r="AO141" i="17"/>
  <c r="S139" i="24"/>
  <c r="BD15" i="25" s="1"/>
  <c r="H33" i="24"/>
  <c r="J139" i="24"/>
  <c r="E139" i="24"/>
  <c r="AA112" i="24" l="1"/>
  <c r="AB112" i="24" s="1"/>
  <c r="AC112" i="24" s="1"/>
  <c r="L133" i="24"/>
  <c r="M133" i="24"/>
  <c r="H133" i="24"/>
  <c r="G133" i="24"/>
  <c r="S133" i="24"/>
  <c r="T133" i="24" s="1"/>
  <c r="U133" i="24" s="1"/>
  <c r="E133" i="24"/>
  <c r="F133" i="24"/>
  <c r="J133" i="24"/>
  <c r="K133" i="24"/>
  <c r="I133" i="24"/>
  <c r="L31" i="24"/>
  <c r="M31" i="24"/>
  <c r="I31" i="24"/>
  <c r="J31" i="24"/>
  <c r="S31" i="24"/>
  <c r="T31" i="24" s="1"/>
  <c r="U31" i="24" s="1"/>
  <c r="K31" i="24"/>
  <c r="G31" i="24"/>
  <c r="F31" i="24"/>
  <c r="H31" i="24"/>
  <c r="E31" i="24"/>
  <c r="L112" i="24"/>
  <c r="M112" i="24"/>
  <c r="J112" i="24"/>
  <c r="I112" i="24"/>
  <c r="H112" i="24"/>
  <c r="G112" i="24"/>
  <c r="K112" i="24"/>
  <c r="F112" i="24"/>
  <c r="E112" i="24"/>
  <c r="S112" i="24"/>
  <c r="T112" i="24" s="1"/>
  <c r="U112" i="24" s="1"/>
  <c r="AS19" i="25"/>
  <c r="T139" i="24"/>
  <c r="U139" i="24" s="1"/>
  <c r="BD19" i="25"/>
  <c r="I119" i="24"/>
  <c r="G119" i="24"/>
  <c r="J119" i="24"/>
  <c r="AU112" i="17"/>
  <c r="AS141" i="17"/>
  <c r="H119" i="24"/>
  <c r="K119" i="24"/>
  <c r="E119" i="24"/>
  <c r="S33" i="24"/>
  <c r="S119" i="24"/>
  <c r="AS10" i="25"/>
  <c r="I33" i="24"/>
  <c r="K33" i="24"/>
  <c r="E33" i="24"/>
  <c r="G33" i="24"/>
  <c r="K139" i="24"/>
  <c r="AZ22" i="25"/>
  <c r="AW22" i="25"/>
  <c r="AT22" i="25"/>
  <c r="AV22" i="25"/>
  <c r="AY22" i="25"/>
  <c r="AX22" i="25"/>
  <c r="W139" i="24"/>
  <c r="X139" i="24" s="1"/>
  <c r="Y139" i="24" s="1"/>
  <c r="AP141" i="17"/>
  <c r="F33" i="24"/>
  <c r="AA33" i="24"/>
  <c r="AP10" i="25"/>
  <c r="W33" i="24"/>
  <c r="F119" i="24"/>
  <c r="AP22" i="25"/>
  <c r="AU22" i="25" s="1"/>
  <c r="AA119" i="24"/>
  <c r="AB119" i="24" s="1"/>
  <c r="AC119" i="24" s="1"/>
  <c r="F142" i="24" l="1"/>
  <c r="AS24" i="25"/>
  <c r="AT24" i="25" s="1"/>
  <c r="G142" i="24"/>
  <c r="E142" i="24"/>
  <c r="AY24" i="25"/>
  <c r="I142" i="24"/>
  <c r="J142" i="24"/>
  <c r="H142" i="24"/>
  <c r="AX24" i="25"/>
  <c r="BD22" i="25"/>
  <c r="W119" i="24"/>
  <c r="X119" i="24" s="1"/>
  <c r="Y119" i="24" s="1"/>
  <c r="W112" i="24"/>
  <c r="X112" i="24" s="1"/>
  <c r="Y112" i="24" s="1"/>
  <c r="L142" i="24"/>
  <c r="K142" i="24"/>
  <c r="M142" i="24"/>
  <c r="T33" i="24"/>
  <c r="U33" i="24" s="1"/>
  <c r="BD8" i="25"/>
  <c r="BE19" i="25"/>
  <c r="BF19" i="25" s="1"/>
  <c r="BE15" i="25"/>
  <c r="BF15" i="25" s="1"/>
  <c r="BD10" i="25"/>
  <c r="AU141" i="17"/>
  <c r="AX10" i="25"/>
  <c r="AV19" i="25"/>
  <c r="AX19" i="25"/>
  <c r="AY19" i="25"/>
  <c r="AZ19" i="25"/>
  <c r="AW19" i="25"/>
  <c r="AT19" i="25"/>
  <c r="AU19" i="25"/>
  <c r="T119" i="24"/>
  <c r="U119" i="24" s="1"/>
  <c r="S142" i="24"/>
  <c r="AT10" i="25"/>
  <c r="AY10" i="25"/>
  <c r="AZ10" i="25"/>
  <c r="AV10" i="25"/>
  <c r="AW10" i="25"/>
  <c r="AU10" i="25"/>
  <c r="AP24" i="25"/>
  <c r="AA142" i="24"/>
  <c r="AB33" i="24"/>
  <c r="AV24" i="25"/>
  <c r="X33" i="24"/>
  <c r="AW24" i="25" l="1"/>
  <c r="AU24" i="25"/>
  <c r="BE22" i="25"/>
  <c r="BF22" i="25" s="1"/>
  <c r="W142" i="24"/>
  <c r="T142" i="24"/>
  <c r="U142" i="24" s="1"/>
  <c r="BD24" i="25"/>
  <c r="BE10" i="25"/>
  <c r="BF10" i="25" s="1"/>
  <c r="BE8" i="25"/>
  <c r="BF8" i="25" s="1"/>
  <c r="X142" i="24"/>
  <c r="Y142" i="24" s="1"/>
  <c r="Y33" i="24"/>
  <c r="AC33" i="24"/>
  <c r="AB142" i="24"/>
  <c r="AC142" i="24" s="1"/>
  <c r="BE24" i="25" l="1"/>
  <c r="BF24" i="25" s="1"/>
</calcChain>
</file>

<file path=xl/comments1.xml><?xml version="1.0" encoding="utf-8"?>
<comments xmlns="http://schemas.openxmlformats.org/spreadsheetml/2006/main">
  <authors>
    <author>Tekijä</author>
  </authors>
  <commentList>
    <comment ref="B137" authorId="0" shapeId="0">
      <text>
        <r>
          <rPr>
            <b/>
            <sz val="9"/>
            <color indexed="81"/>
            <rFont val="Tahoma"/>
            <family val="2"/>
          </rPr>
          <t>Tekijä:</t>
        </r>
        <r>
          <rPr>
            <sz val="9"/>
            <color indexed="81"/>
            <rFont val="Tahoma"/>
            <family val="2"/>
          </rPr>
          <t xml:space="preserve">
järjestämislupa päättyi 1.8.2022</t>
        </r>
      </text>
    </comment>
  </commentList>
</comments>
</file>

<file path=xl/comments2.xml><?xml version="1.0" encoding="utf-8"?>
<comments xmlns="http://schemas.openxmlformats.org/spreadsheetml/2006/main">
  <authors>
    <author>Tekijä</author>
  </authors>
  <commentList>
    <comment ref="BC2" authorId="0" shapeId="0">
      <text>
        <r>
          <rPr>
            <b/>
            <sz val="9"/>
            <color indexed="81"/>
            <rFont val="Tahoma"/>
            <family val="2"/>
          </rPr>
          <t>Tekijä:</t>
        </r>
        <r>
          <rPr>
            <sz val="9"/>
            <color indexed="81"/>
            <rFont val="Tahoma"/>
            <family val="2"/>
          </rPr>
          <t xml:space="preserve">
Huom. Välilehdestä 1.3 poiketen tässä mukana vain järjestäjät, joilla järjestämislupa vuonna 2023 (myös vuoden 2022 summaluvuissa).</t>
        </r>
      </text>
    </comment>
  </commentList>
</comments>
</file>

<file path=xl/sharedStrings.xml><?xml version="1.0" encoding="utf-8"?>
<sst xmlns="http://schemas.openxmlformats.org/spreadsheetml/2006/main" count="4066" uniqueCount="604">
  <si>
    <t>Koulutuksen järjestäjä</t>
  </si>
  <si>
    <t>Perustutkintojen määrä</t>
  </si>
  <si>
    <t>Ammatti- ja erikoisammattitutkintojen määrä</t>
  </si>
  <si>
    <t>Perustutkintojen tutkinnon osien määrä</t>
  </si>
  <si>
    <t>Ammatti- ja erikoisammattitutkintojen tutkinnon osien määrä</t>
  </si>
  <si>
    <t>Perustutkintojen kustannusryhmän ja pohjakoulutuksen mukaan painotetut pisteet</t>
  </si>
  <si>
    <t>Ammatti- ja erikoisammattitutkintojen kustannusryhmän ja pohjakoulutuksen mukaan painotetut pisteet</t>
  </si>
  <si>
    <t>Erityisen tuen mukaan painotetut tutkintojen pisteet</t>
  </si>
  <si>
    <t>Perustutkintojen osien kustannusryhmän mukaan painotetut osaamispisteet</t>
  </si>
  <si>
    <t>Ammatti- ja erikoisammattitutkintojen osien kustannusryhmän mukaan painotetut osaamispisteet</t>
  </si>
  <si>
    <t>Erityisen tuen mukaan painotetut tutkinnon osien osaamispisteet</t>
  </si>
  <si>
    <t>Tutkintojen ja tutkinnon osien painotetut pisteet yhteensä</t>
  </si>
  <si>
    <t/>
  </si>
  <si>
    <t>Yhteensä</t>
  </si>
  <si>
    <t>Aloittaneet</t>
  </si>
  <si>
    <t>Ahlmanin koulun Säätiö sr</t>
  </si>
  <si>
    <t>Aitoon Emäntäkoulu Oy</t>
  </si>
  <si>
    <t>Ammattiopisto Spesia Oy</t>
  </si>
  <si>
    <t>Ava-Instituutin kannatusyhdistys ry</t>
  </si>
  <si>
    <t>Axxell Utbildning Ab</t>
  </si>
  <si>
    <t>Cimson Koulutuspalvelut Oy</t>
  </si>
  <si>
    <t>Espoon seudun koulutuskuntayhtymä Omnia</t>
  </si>
  <si>
    <t>Etelä-Karjalan Koulutuskuntayhtymä</t>
  </si>
  <si>
    <t>Etelä-Savon Koulutus Oy</t>
  </si>
  <si>
    <t>Eurajoen kristillisen opiston kannatusyhdistys r.y.</t>
  </si>
  <si>
    <t>Folkhälsan Utbildning Ab</t>
  </si>
  <si>
    <t>Haapaveden Opiston kannatusyhdistys ry</t>
  </si>
  <si>
    <t>Harjun Oppimiskeskus Oy</t>
  </si>
  <si>
    <t>Helsingin kaupunki</t>
  </si>
  <si>
    <t>Helsingin Konservatorion Säätiö sr</t>
  </si>
  <si>
    <t>Helsinki Business College Oy</t>
  </si>
  <si>
    <t>Hengitysliitto ry</t>
  </si>
  <si>
    <t>Hevosopisto Oy</t>
  </si>
  <si>
    <t>Hyria koulutus Oy</t>
  </si>
  <si>
    <t>Hämeen ammatti-instituutti Oy</t>
  </si>
  <si>
    <t>Itä-Karjalan Kansanopistoseura ry</t>
  </si>
  <si>
    <t>Itä-Savon koulutuskuntayhtymä</t>
  </si>
  <si>
    <t>Itä-Suomen Liikuntaopisto Oy</t>
  </si>
  <si>
    <t>Joensuun kaupunki</t>
  </si>
  <si>
    <t>Jokilaaksojen koulutuskuntayhtymä</t>
  </si>
  <si>
    <t>Jollas-Opisto Oy</t>
  </si>
  <si>
    <t>Jyväskylän kristillisen opiston säätiö sr</t>
  </si>
  <si>
    <t>Jyväskylän Talouskouluyhdistys r.y.</t>
  </si>
  <si>
    <t>Järviseudun Koulutuskuntayhtymä</t>
  </si>
  <si>
    <t>Kajaanin kaupunki</t>
  </si>
  <si>
    <t>Kalajoen Kristillisen Opiston kannatusyhdistys ry</t>
  </si>
  <si>
    <t>Kanneljärven Kansanopiston kannatusyhdistys r.y.</t>
  </si>
  <si>
    <t>Kansan Sivistystyön Liitto KSL ry</t>
  </si>
  <si>
    <t>Karstulan Evankelisen Kansanopiston kannatusyhdistys ry</t>
  </si>
  <si>
    <t>Kellosepäntaidon Edistämissäätiö sr</t>
  </si>
  <si>
    <t>Kemi-Tornionlaakson koulutuskuntayhtymä Lappia</t>
  </si>
  <si>
    <t>Keski-Pohjanmaan Konservatorion Kannatusyhdistys Ry</t>
  </si>
  <si>
    <t>Keski-Pohjanmaan Koulutusyhtymä</t>
  </si>
  <si>
    <t>Keski-Uudenmaan koulutuskuntayhtymä</t>
  </si>
  <si>
    <t>Kiinteistöalan Koulutussäätiö sr</t>
  </si>
  <si>
    <t>Kiipulasäätiö sr</t>
  </si>
  <si>
    <t>Kirkkopalvelut ry</t>
  </si>
  <si>
    <t>Kisakalliosäätiö sr</t>
  </si>
  <si>
    <t>Kiteen Evankelisen Kansanopiston kannatusyhdistys ry</t>
  </si>
  <si>
    <t>Korpisaaren Säätiö sr</t>
  </si>
  <si>
    <t>Kotkan-Haminan seudun koulutuskuntayhtymä</t>
  </si>
  <si>
    <t>Koulutuskeskus Salpaus -kuntayhtymä</t>
  </si>
  <si>
    <t>Koulutuskuntayhtymä Tavastia</t>
  </si>
  <si>
    <t>KSAK Oy</t>
  </si>
  <si>
    <t>Kuopion Konservatorion kannatusyhdistys r.y.</t>
  </si>
  <si>
    <t>Kuopion Talouskoulun kannatusyhdistys r.y.</t>
  </si>
  <si>
    <t>Kuortaneen Urheiluopistosäätiö sr</t>
  </si>
  <si>
    <t>Laajasalon opiston säätiö sr</t>
  </si>
  <si>
    <t>Lahden kansanopiston säätiö sr</t>
  </si>
  <si>
    <t>Lahden Konservatorio Oy</t>
  </si>
  <si>
    <t>Lounais-Hämeen koulutuskuntayhtymä</t>
  </si>
  <si>
    <t>Lounais-Suomen koulutuskuntayhtymä</t>
  </si>
  <si>
    <t>Luksia, Länsi-Uudenmaan koulutuskuntayhtymä</t>
  </si>
  <si>
    <t>Länsirannikon Koulutus Oy</t>
  </si>
  <si>
    <t>Maalariammattikoulun kannatusyhdistys r.y.</t>
  </si>
  <si>
    <t>Management Institute of Finland MIF Oy</t>
  </si>
  <si>
    <t>Marttayhdistysten liitto ry</t>
  </si>
  <si>
    <t>Optima samkommun</t>
  </si>
  <si>
    <t>Oulun kaupunki</t>
  </si>
  <si>
    <t>Paasikiviopistoyhdistys r.y.</t>
  </si>
  <si>
    <t>Palkansaajien koulutussäätiö sr</t>
  </si>
  <si>
    <t>Palloilu Säätiö sr</t>
  </si>
  <si>
    <t>Peimarin koulutuskuntayhtymä</t>
  </si>
  <si>
    <t>Perho Liiketalousopisto Oy</t>
  </si>
  <si>
    <t>Peräpohjolan Kansanopiston kannatusyhdistys ry</t>
  </si>
  <si>
    <t>Pohjois-Karjalan Koulutuskuntayhtymä</t>
  </si>
  <si>
    <t>Pohjois-Satakunnan Kansanopiston kannatusyhdistys r.y.</t>
  </si>
  <si>
    <t>Pohjois-Savon Kansanopistoseura r.y.</t>
  </si>
  <si>
    <t>Pohjois-Suomen Koulutuskeskussäätiö sr</t>
  </si>
  <si>
    <t>Pop &amp; Jazz Konservatorion Säätiö sr</t>
  </si>
  <si>
    <t>Portaanpää ry</t>
  </si>
  <si>
    <t>Raahen Porvari- ja Kauppakoulurahasto sr</t>
  </si>
  <si>
    <t>Raision Seudun Koulutuskuntayhtymä</t>
  </si>
  <si>
    <t>Rakennusteollisuus RT ry</t>
  </si>
  <si>
    <t>Raudaskylän Kristillinen Opisto r.y.</t>
  </si>
  <si>
    <t>Rovalan Setlementti ry</t>
  </si>
  <si>
    <t>Rovaniemen Koulutuskuntayhtymä</t>
  </si>
  <si>
    <t>Salon Seudun Koulutuskuntayhtymä</t>
  </si>
  <si>
    <t>SASKY koulutuskuntayhtymä</t>
  </si>
  <si>
    <t>Satakunnan koulutuskuntayhtymä</t>
  </si>
  <si>
    <t>Savon Koulutuskuntayhtymä</t>
  </si>
  <si>
    <t>Seinäjoen koulutuskuntayhtymä</t>
  </si>
  <si>
    <t>Suomen Diakoniaopisto - SDO Oy</t>
  </si>
  <si>
    <t>Suomen kansallisooppera ja -baletti sr</t>
  </si>
  <si>
    <t>Suomen Nuoriso-Opiston kannatusyhdistys ry</t>
  </si>
  <si>
    <t>Suomen Urheiluopiston Kannatusosakeyhtiö</t>
  </si>
  <si>
    <t>Suomen ympäristöopisto SYKLI Oy</t>
  </si>
  <si>
    <t>Suupohjan Koulutuskuntayhtymä</t>
  </si>
  <si>
    <t>Svenska Framtidsskolan i Helsingforsregionen Ab</t>
  </si>
  <si>
    <t>Svenska Österbottens förbund för Utbildning och Kultur</t>
  </si>
  <si>
    <t>Tampereen Aikuiskoulutussäätiö sr</t>
  </si>
  <si>
    <t>Tampereen kaupunki</t>
  </si>
  <si>
    <t>Tampereen Musiikkiopiston Säätiö sr</t>
  </si>
  <si>
    <t>Tanhuvaaran Säätiö sr</t>
  </si>
  <si>
    <t>Tohtori Matthias Ingmanin säätiö sr</t>
  </si>
  <si>
    <t>Traffica Oy</t>
  </si>
  <si>
    <t>Turun Aikuiskoulutussäätiö sr</t>
  </si>
  <si>
    <t>Turun Ammattiopistosäätiö sr</t>
  </si>
  <si>
    <t>Turun kaupunki</t>
  </si>
  <si>
    <t>Turun kristillisen opiston säätiö sr</t>
  </si>
  <si>
    <t>Työtehoseura ry</t>
  </si>
  <si>
    <t>Vaasan kaupunki</t>
  </si>
  <si>
    <t>Valkeakosken seudun koulutuskuntayhtymä</t>
  </si>
  <si>
    <t>Valkealan Kristillisen Kansanopiston kannatusyhdistys r.y.</t>
  </si>
  <si>
    <t>Valtakunnallinen valmennus- ja liikuntakeskus Oy</t>
  </si>
  <si>
    <t>Vantaan kaupunki</t>
  </si>
  <si>
    <t>Varalan Säätiö sr</t>
  </si>
  <si>
    <t>Ylä-Savon koulutuskuntayhtymä</t>
  </si>
  <si>
    <t>Äänekosken Ammatillisen Koulutuksen kuntayhtymä</t>
  </si>
  <si>
    <t>Koko tutkinnon suorittaneet</t>
  </si>
  <si>
    <t>Tutkinnon osia suorittaneet</t>
  </si>
  <si>
    <t>Fysikaalinen hoitolaitos Arcus Lumio &amp; Pirttimaa</t>
  </si>
  <si>
    <t>KONE Hissit Oy</t>
  </si>
  <si>
    <t>Suomen Luterilainen Evankeliumiyhdistys ry</t>
  </si>
  <si>
    <t>TYA-oppilaitos Oy</t>
  </si>
  <si>
    <t>Kustannusryhmän mukaan painotetut perustutkinnon opiskelijavuodet</t>
  </si>
  <si>
    <t>Kustannusryhmän mukaan painotetut at- ja eat-tutkinnon opiskelijavuodet</t>
  </si>
  <si>
    <t>Kustannusryhmän mukaan painotetut VALMA&amp;TELMA opiskelijavuodet</t>
  </si>
  <si>
    <t>Kustannusryhmän mukaan painotetut opiskelijavalmiuksia tukevat opiskelijavuodet</t>
  </si>
  <si>
    <t>Kustannusryhmän mukaan painotetut muun koulutuksen opiskelijavuodet</t>
  </si>
  <si>
    <t>Erityistuen mukaan painotetut opiskelijavuodet</t>
  </si>
  <si>
    <t>Majoituksen mukaan painotetut opiskelijavuodet</t>
  </si>
  <si>
    <t>Henkilöstökoulutuksen mukaan painotetut opiskelijavuodet</t>
  </si>
  <si>
    <t>Työvoimakoulutuksen mukaan painotetut opiskelijavuodet</t>
  </si>
  <si>
    <t>Vankilakoulutuksen mukaan painotetut opiskelijavuodet</t>
  </si>
  <si>
    <t>Painotetut opiskelijavuodet yhteensä</t>
  </si>
  <si>
    <t>Profiilikerroin</t>
  </si>
  <si>
    <t>Haus Kehittämiskeskus Oy</t>
  </si>
  <si>
    <t>Kvarnen samkommun</t>
  </si>
  <si>
    <t>Meyer Turku Oy</t>
  </si>
  <si>
    <t>Toyota Auto Finland Oy</t>
  </si>
  <si>
    <t>Suomen Ilmailuopisto Oy</t>
  </si>
  <si>
    <t>Valmet Automotive Oy</t>
  </si>
  <si>
    <t>Ava-instituutin kannatusyhdistys ry</t>
  </si>
  <si>
    <t>Careeria Oy</t>
  </si>
  <si>
    <t>Kalajoen Kristillisen Opiston Kannatusyhdistys ry</t>
  </si>
  <si>
    <t>Suoritusrahoitus</t>
  </si>
  <si>
    <t>€</t>
  </si>
  <si>
    <t>Alv</t>
  </si>
  <si>
    <t>Strategiarahoitus</t>
  </si>
  <si>
    <t>Harkinnanvarainen perusrahoitus</t>
  </si>
  <si>
    <t>Laskennallinen rahoitus + alv</t>
  </si>
  <si>
    <t xml:space="preserve">Työllistyneet ja jatko-opiskelijat </t>
  </si>
  <si>
    <t>%-osuus 1</t>
  </si>
  <si>
    <t>Painotetut pisteet 2</t>
  </si>
  <si>
    <t>%-osuus 2</t>
  </si>
  <si>
    <t>Painotetut pisteet 3</t>
  </si>
  <si>
    <t>%-osuus 3</t>
  </si>
  <si>
    <t>1 Opiskelijavuodet</t>
  </si>
  <si>
    <t>2 Tutkinnot ja tutkinnon osat</t>
  </si>
  <si>
    <t xml:space="preserve">3 Työllistyneet ja jatko-opiskelijat </t>
  </si>
  <si>
    <t>4 Aloittaneet opiskelijapalaute</t>
  </si>
  <si>
    <t>Painotetut pisteet 4</t>
  </si>
  <si>
    <t>%-osuus 4</t>
  </si>
  <si>
    <t>%-osuus 6</t>
  </si>
  <si>
    <t>Painotetut opiskelija-vuodet</t>
  </si>
  <si>
    <t>Tavoitteelliset opiske-lijavuodet</t>
  </si>
  <si>
    <t>Profiili-kerroin</t>
  </si>
  <si>
    <t>%-osuus 5</t>
  </si>
  <si>
    <t>Painotetut pisteet 5</t>
  </si>
  <si>
    <t>Uusimaa</t>
  </si>
  <si>
    <t>2918298-7</t>
  </si>
  <si>
    <t>Keski-Suomi</t>
  </si>
  <si>
    <t>0208589-6</t>
  </si>
  <si>
    <t>Pohjois-Savo</t>
  </si>
  <si>
    <t>0214765-5</t>
  </si>
  <si>
    <t>Pohjanmaa</t>
  </si>
  <si>
    <t>Pohjois-Pohjanmaa</t>
  </si>
  <si>
    <t>Kainuu</t>
  </si>
  <si>
    <t>Pirkanmaa</t>
  </si>
  <si>
    <t>0155689-5</t>
  </si>
  <si>
    <t>0124610-9</t>
  </si>
  <si>
    <t>Päijät-Häme</t>
  </si>
  <si>
    <t>1053500-9</t>
  </si>
  <si>
    <t>Varsinais-Suomi</t>
  </si>
  <si>
    <t>0143991-2</t>
  </si>
  <si>
    <t>Kymenlaakso</t>
  </si>
  <si>
    <t>0163408-0</t>
  </si>
  <si>
    <t>0206289-7</t>
  </si>
  <si>
    <t>0209602-6</t>
  </si>
  <si>
    <t>0202496-2</t>
  </si>
  <si>
    <t>0915313-4</t>
  </si>
  <si>
    <t>0204819-8</t>
  </si>
  <si>
    <t>0276652-8</t>
  </si>
  <si>
    <t>0142247-5</t>
  </si>
  <si>
    <t>0858476-8</t>
  </si>
  <si>
    <t>0172730-8</t>
  </si>
  <si>
    <t>1577184-4</t>
  </si>
  <si>
    <t>1019670-5</t>
  </si>
  <si>
    <t>Etelä-Pohjanmaa</t>
  </si>
  <si>
    <t>Etelä-Savo</t>
  </si>
  <si>
    <t>0166930-4</t>
  </si>
  <si>
    <t>0206148-0</t>
  </si>
  <si>
    <t>0211675-2</t>
  </si>
  <si>
    <t>0155651-0</t>
  </si>
  <si>
    <t>0988182-8</t>
  </si>
  <si>
    <t>1648362-5</t>
  </si>
  <si>
    <t>0973712-1</t>
  </si>
  <si>
    <t>0208850-1</t>
  </si>
  <si>
    <t>0681365-1</t>
  </si>
  <si>
    <t>0202512-1</t>
  </si>
  <si>
    <t>0207230-7</t>
  </si>
  <si>
    <t>0242525-6</t>
  </si>
  <si>
    <t>0116936-9</t>
  </si>
  <si>
    <t>Satakunta</t>
  </si>
  <si>
    <t>1728925-0</t>
  </si>
  <si>
    <t>2756786-7</t>
  </si>
  <si>
    <t>1007629-5</t>
  </si>
  <si>
    <t>1852679-9</t>
  </si>
  <si>
    <t>0203929-1</t>
  </si>
  <si>
    <t>0204964-1</t>
  </si>
  <si>
    <t>0139545-4</t>
  </si>
  <si>
    <t>Lappi</t>
  </si>
  <si>
    <t>0973110-9</t>
  </si>
  <si>
    <t>0210668-5</t>
  </si>
  <si>
    <t>0195258-0</t>
  </si>
  <si>
    <t>0215303-5</t>
  </si>
  <si>
    <t>0204427-7</t>
  </si>
  <si>
    <t>0189373-6</t>
  </si>
  <si>
    <t>0210287-9</t>
  </si>
  <si>
    <t>0828475-7</t>
  </si>
  <si>
    <t>0214822-8</t>
  </si>
  <si>
    <t>0280690-5</t>
  </si>
  <si>
    <t>0207972-8</t>
  </si>
  <si>
    <t>0908429-8</t>
  </si>
  <si>
    <t>0193507-8</t>
  </si>
  <si>
    <t>2734201-9</t>
  </si>
  <si>
    <t>0823246-3</t>
  </si>
  <si>
    <t>0153158-3</t>
  </si>
  <si>
    <t>0882817-9</t>
  </si>
  <si>
    <t>0365121-2</t>
  </si>
  <si>
    <t>Pohjois-Karjala</t>
  </si>
  <si>
    <t>0212371-7</t>
  </si>
  <si>
    <t>0992445-3</t>
  </si>
  <si>
    <t>0187690-1</t>
  </si>
  <si>
    <t>0796234-1</t>
  </si>
  <si>
    <t>2460281-5</t>
  </si>
  <si>
    <t>0772017-4</t>
  </si>
  <si>
    <t>0187711-1</t>
  </si>
  <si>
    <t>0201689-0</t>
  </si>
  <si>
    <t>0222804-1</t>
  </si>
  <si>
    <t>0871305-6</t>
  </si>
  <si>
    <t>2245018-4</t>
  </si>
  <si>
    <t>0203167-9</t>
  </si>
  <si>
    <t>0204023-3</t>
  </si>
  <si>
    <t>Kanta-Häme</t>
  </si>
  <si>
    <t>0626288-8</t>
  </si>
  <si>
    <t>0149057-4</t>
  </si>
  <si>
    <t>0149666-9</t>
  </si>
  <si>
    <t>0209021-4</t>
  </si>
  <si>
    <t>0213834-5</t>
  </si>
  <si>
    <t>0180124-8</t>
  </si>
  <si>
    <t>0207872-5</t>
  </si>
  <si>
    <t>0207862-9</t>
  </si>
  <si>
    <t>0832600-5</t>
  </si>
  <si>
    <t>Keski-Pohjanmaa</t>
  </si>
  <si>
    <t>0208916-8</t>
  </si>
  <si>
    <t>1943518-6</t>
  </si>
  <si>
    <t>0205303-4</t>
  </si>
  <si>
    <t>0993644-6</t>
  </si>
  <si>
    <t>1958694-5</t>
  </si>
  <si>
    <t>0536496-2</t>
  </si>
  <si>
    <t>1904292-1</t>
  </si>
  <si>
    <t>0207572-7</t>
  </si>
  <si>
    <t>0128756-8</t>
  </si>
  <si>
    <t>0215281-7</t>
  </si>
  <si>
    <t>0147520-0</t>
  </si>
  <si>
    <t>0774302-6</t>
  </si>
  <si>
    <t>2109309-0</t>
  </si>
  <si>
    <t>0101304-9</t>
  </si>
  <si>
    <t>0503417-0</t>
  </si>
  <si>
    <t>0208362-0</t>
  </si>
  <si>
    <t>0213502-1</t>
  </si>
  <si>
    <t>0213977-8</t>
  </si>
  <si>
    <t>0209892-9</t>
  </si>
  <si>
    <t>0214958-9</t>
  </si>
  <si>
    <t>1807931-9</t>
  </si>
  <si>
    <t>0208201-1</t>
  </si>
  <si>
    <t>1637771-8</t>
  </si>
  <si>
    <t>0210010-1</t>
  </si>
  <si>
    <t>0242746-2</t>
  </si>
  <si>
    <t>0942165-3</t>
  </si>
  <si>
    <t>1605076-6</t>
  </si>
  <si>
    <t>0167924-6</t>
  </si>
  <si>
    <t>0207390-8</t>
  </si>
  <si>
    <t>0207329-7</t>
  </si>
  <si>
    <t>0201375-3</t>
  </si>
  <si>
    <t>2627679-3</t>
  </si>
  <si>
    <t>2250205-2</t>
  </si>
  <si>
    <t>0200004-7</t>
  </si>
  <si>
    <t>0201252-3</t>
  </si>
  <si>
    <t>0934732-6</t>
  </si>
  <si>
    <t>0201472-1</t>
  </si>
  <si>
    <t>2162576-3</t>
  </si>
  <si>
    <t>0201256-6</t>
  </si>
  <si>
    <t>1778388-1</t>
  </si>
  <si>
    <t>1055483-2</t>
  </si>
  <si>
    <t>0209770-7</t>
  </si>
  <si>
    <t>0734567-7</t>
  </si>
  <si>
    <t>0209492-8</t>
  </si>
  <si>
    <t>2334857-9</t>
  </si>
  <si>
    <t>0203717-3</t>
  </si>
  <si>
    <t>2249317-6</t>
  </si>
  <si>
    <t>Etelä-Karjala</t>
  </si>
  <si>
    <t>1027740-9</t>
  </si>
  <si>
    <t>0502454-6</t>
  </si>
  <si>
    <t>2189108-4</t>
  </si>
  <si>
    <t>2064886-7</t>
  </si>
  <si>
    <t>0211060-9</t>
  </si>
  <si>
    <t>2767840-1</t>
  </si>
  <si>
    <t>2811092-2</t>
  </si>
  <si>
    <t>0150951-1</t>
  </si>
  <si>
    <t>0155402-1</t>
  </si>
  <si>
    <t>Nimi</t>
  </si>
  <si>
    <t>Y-tunnus</t>
  </si>
  <si>
    <t>KOULUTUKSEN JÄRJESTÄJÄ</t>
  </si>
  <si>
    <t>kuntayhtymä</t>
  </si>
  <si>
    <t>yksityinen</t>
  </si>
  <si>
    <t>kunta</t>
  </si>
  <si>
    <t>Vaikuttavuusrahoitus</t>
  </si>
  <si>
    <t>5 Päättäneet  opiskelijapalaute</t>
  </si>
  <si>
    <t>Opiskelijapalaute</t>
  </si>
  <si>
    <t>Päättäneet</t>
  </si>
  <si>
    <t>Omistajatyyppi</t>
  </si>
  <si>
    <t>Maakunta</t>
  </si>
  <si>
    <t>Suoritus-rahoitus</t>
  </si>
  <si>
    <t>Vaikuttavuus-rahoitus yhteensä</t>
  </si>
  <si>
    <t>-josta työllistyneet ja jatko-opiskelijat</t>
  </si>
  <si>
    <t>-josta aloittaneet opiskelija-palaute</t>
  </si>
  <si>
    <t>-josta päättäneet opiskelija-palaute</t>
  </si>
  <si>
    <t>Perusrahoitus yht.</t>
  </si>
  <si>
    <t>Perus-rahoituksesta</t>
  </si>
  <si>
    <t>Vaikuttavuus-rahoituksesta</t>
  </si>
  <si>
    <t>Laskennalli-sesta</t>
  </si>
  <si>
    <t>Kaikesta 
(pl. alv)</t>
  </si>
  <si>
    <t>Summa</t>
  </si>
  <si>
    <t>Keskimääräinen profiilikerroin</t>
  </si>
  <si>
    <t>Kunta</t>
  </si>
  <si>
    <t>Yksityinen</t>
  </si>
  <si>
    <t>Järjestäjien kokonais-määrä</t>
  </si>
  <si>
    <t>Kunta-yhtymä</t>
  </si>
  <si>
    <t>Kaikki summat pl. alv sekä myöhemmin varainhoitovuonna jaettava osa</t>
  </si>
  <si>
    <t>Painottamattomat opiskelijavuodet yhteensä</t>
  </si>
  <si>
    <t>Painottamattomat opiskelijavuodet (pl. muu koulutus)</t>
  </si>
  <si>
    <t>Muun koulutuksen painottamattomat opiskelijavuodet</t>
  </si>
  <si>
    <t>Huom. osa järjestäjistä toimii usealla maakunnalla, joten jaottelu on vain suuntaa antava</t>
  </si>
  <si>
    <t>Tutkintojen painotetut pisteet yhteensä</t>
  </si>
  <si>
    <t>Tutkinnon osien painotetut osaamispisteet yhteensä</t>
  </si>
  <si>
    <t>Varainhoitovuoden jakovara ja oikaisuvähennys (-)</t>
  </si>
  <si>
    <t>Kuopion Talouskoulun Kannatusyhdistys ry</t>
  </si>
  <si>
    <t>Perusrahoitus yhteensä</t>
  </si>
  <si>
    <t>Suoritusrahoitus yhteensä</t>
  </si>
  <si>
    <t>Vaikuttavuusrahoitus yhteensä</t>
  </si>
  <si>
    <t>Suoritusrahoitus, €</t>
  </si>
  <si>
    <t>Perus-, suoritus- ja vaikuttavuusrahoitus yhteensä, €</t>
  </si>
  <si>
    <t>Alv-korvaus, €</t>
  </si>
  <si>
    <t>Koko rahoitus + 
alv-korvaus, €</t>
  </si>
  <si>
    <t>Suoritepäätöksellä 2020 jaetut opisk.vuodet (luvan ylittävä osuus)</t>
  </si>
  <si>
    <t>Järjestämisluvan opisk.vuosien vähimmäismäärä 2020</t>
  </si>
  <si>
    <t>Järjestämisluvan opisk.vuosien vähimmäismäärä</t>
  </si>
  <si>
    <t>Muutos, € 1</t>
  </si>
  <si>
    <t>Muutos, % 1</t>
  </si>
  <si>
    <t>Muutos, € 2</t>
  </si>
  <si>
    <t>Muutos, % 2</t>
  </si>
  <si>
    <t>0214958-9X</t>
  </si>
  <si>
    <t>Muutos, % 3</t>
  </si>
  <si>
    <t>Muutos, € 3</t>
  </si>
  <si>
    <t>Kieli</t>
  </si>
  <si>
    <t>suomenkielinen</t>
  </si>
  <si>
    <t>ruotsinkielinen</t>
  </si>
  <si>
    <t>kaksikielinen (s)</t>
  </si>
  <si>
    <t>Tutkintojen ja tutkinnon osien painotetut pisteet, järj. %-osuus</t>
  </si>
  <si>
    <t>3008326-5</t>
  </si>
  <si>
    <t>AEL-Amiedu Oy</t>
  </si>
  <si>
    <t>2962876-6</t>
  </si>
  <si>
    <t>Turun musiikinopetus Oy</t>
  </si>
  <si>
    <t>Fria Kristliga Folkhögskolföreningen FKF rf</t>
  </si>
  <si>
    <t xml:space="preserve"> Y-tunnus</t>
  </si>
  <si>
    <t>Painotetut
tavoitteelliset
opiskelijavuodet</t>
  </si>
  <si>
    <t>Perusrahoitus
yhteensä, €</t>
  </si>
  <si>
    <t>Tutkintojen
määrä</t>
  </si>
  <si>
    <t>Tutkintojen painotetut
pisteet</t>
  </si>
  <si>
    <t>Tutkinnon osien osaamispisteet</t>
  </si>
  <si>
    <t>Tutkinnon osien painotetut osaamispisteet</t>
  </si>
  <si>
    <t>Työllistyneet ja jatko-opintoihin siirtyneet</t>
  </si>
  <si>
    <t>Työllistyneet ja jatko-opintoihin siirtyneet, painotetut pisteet</t>
  </si>
  <si>
    <t>Työllistyneet ja jatko-opintoihin siirtyneet, €</t>
  </si>
  <si>
    <t>Opiskelunsa aloittaneiden palautteen pisteet</t>
  </si>
  <si>
    <t>Opiskelunsa aloittaneiden palautteen painotetut pisteet</t>
  </si>
  <si>
    <t>Opiskelunsa päättäneiden palautteen pisteet</t>
  </si>
  <si>
    <t>Opiskelunsa päättäneiden palautteen painotetut pisteet</t>
  </si>
  <si>
    <t>-josta työvoima-koulutus</t>
  </si>
  <si>
    <t>Raportti yhteensä</t>
  </si>
  <si>
    <t>Harkinnan-varainen
korotus, €</t>
  </si>
  <si>
    <t>Tavoitteellinen
opiskelija-vuosimäärä</t>
  </si>
  <si>
    <t>Suoritus-rahoitus
yhteensä, €</t>
  </si>
  <si>
    <t>Opiskelunsa päättäneiden opiskelija-palaute, €</t>
  </si>
  <si>
    <t>Vaikuttavuus-rahoitus
yhteensä, €</t>
  </si>
  <si>
    <t>Kyselyn kohteet (Rahoitus)</t>
  </si>
  <si>
    <t>Vastanneet (Rahoitus)</t>
  </si>
  <si>
    <t>Vastausosuus (Rahoitus)</t>
  </si>
  <si>
    <t>Korjauskerroin (Rahoitus)</t>
  </si>
  <si>
    <t>Keskiarvo (Rahoitus)</t>
  </si>
  <si>
    <t>Pisteet (Rahoitus)</t>
  </si>
  <si>
    <t>Painotetut pisteet (Rahoitus)</t>
  </si>
  <si>
    <t>Painotetut pisteet % (Rahoitus)</t>
  </si>
  <si>
    <t>Yhteensä Kyselyn kohteet (Rahoitus)</t>
  </si>
  <si>
    <t>Yhteensä Vastanneet (Rahoitus)</t>
  </si>
  <si>
    <t>Yhteensä Vastausosuus (Rahoitus)</t>
  </si>
  <si>
    <t>Yhteensä Keskiarvo (Rahoitus)</t>
  </si>
  <si>
    <t>Yhteensä Pisteet (Rahoitus)</t>
  </si>
  <si>
    <t>-josta muu varainhoitovuodelle jätettävä rahoitus</t>
  </si>
  <si>
    <t>Suoriteperusteinen (opiskelijavuosiin perustuva) sekä harkinnanvarainen korotus, €</t>
  </si>
  <si>
    <t>LASKENNALLINEN RAHOITUS YHTEENSÄ + ALV</t>
  </si>
  <si>
    <t>ARVONLISÄVEROKORVAUS</t>
  </si>
  <si>
    <t>Kaikki summat pl. myöhemmin varainhoitovuonna jaettava osa</t>
  </si>
  <si>
    <t>Varsinaisella suoritepäätöksellä jaettava lask. rahoitus yhteensä</t>
  </si>
  <si>
    <t>Perusrahoitus</t>
  </si>
  <si>
    <t>Suorite-perusteinen perusrahoitus (pl. hark. kor.)</t>
  </si>
  <si>
    <t>Perusrahoitus yhteensä (ml. hark. kor.)</t>
  </si>
  <si>
    <t>Jaettava € 1</t>
  </si>
  <si>
    <t>Jaettava € 2</t>
  </si>
  <si>
    <t>Jaettava € 3</t>
  </si>
  <si>
    <t>Jaettava € 4</t>
  </si>
  <si>
    <t>Jaettava € 5</t>
  </si>
  <si>
    <t>Jaettava € 6</t>
  </si>
  <si>
    <t>Varsinaisella suoritepäätöksellä jaettava rahoitus (pl. alv)</t>
  </si>
  <si>
    <t>Varsinaisella suoritepäätöksellä jaettava suoriteperusteinen rahoitus (pl. alv.)</t>
  </si>
  <si>
    <t>linkki Vipunen-portaaliin:</t>
  </si>
  <si>
    <t>https://vipunen.fi/fi-fi/_layouts/15/xlviewer.aspx?id=/fi-fi/Raportit/Ammatillinen%20koulutus%20-%20opiskelijapalaute%20-%20rahoitusmalli%20-%20aloituskysely.xlsb</t>
  </si>
  <si>
    <r>
      <t xml:space="preserve">VARSINAISELLA SUORITEPÄÄTÖKSELLÄ JAETTAVAN LASKENNALLISEN RAHOITUKSEN OSIEN SUHDE JÄRJESTÄJITTÄIN
</t>
    </r>
    <r>
      <rPr>
        <sz val="10"/>
        <color theme="1"/>
        <rFont val="Calibri"/>
        <family val="2"/>
        <scheme val="minor"/>
      </rPr>
      <t>(huom. perusrahoituksen myöhemmin varainhoitovuoden aikana jaettavan osan puuttuminen laskee perusrahoituksen osuutta ja korostaa muita, siis älä vertaa 70/20/10 jakoon vaan ao. summariviin)</t>
    </r>
  </si>
  <si>
    <t>PERUSRAHOITUKSEN HARKINNANVARAINEN KOROTUS</t>
  </si>
  <si>
    <t>Suoritepäätöksellä jaettavat opisk.vuodet (luvan ylittävä osuus)</t>
  </si>
  <si>
    <t>Suomen Yrittäjäopisto Oy</t>
  </si>
  <si>
    <t>Keski-Pohjanmaan Konservatorion Kannatusyhdistys ry</t>
  </si>
  <si>
    <t>Jakotaulu, varsinainen suoritepäätös</t>
  </si>
  <si>
    <t>Rastor-instituutti ry</t>
  </si>
  <si>
    <t>Kisakeskussäätiö sr</t>
  </si>
  <si>
    <t>Koulutuskuntayhtymä OSAO</t>
  </si>
  <si>
    <t>Työtehoseura ry, ruotsiksi Arbetseffektivitetsföreningen rf</t>
  </si>
  <si>
    <t>Jyväskylän koulutuskuntayhtymä Gradia</t>
  </si>
  <si>
    <t>Mercuria kauppaoppilaitos Oy</t>
  </si>
  <si>
    <t>Painotetut pisteet yhteensä</t>
  </si>
  <si>
    <t>Työllisten ja opiskelijoiden painotetut pisteet %-osuus järjestäjittäin</t>
  </si>
  <si>
    <t>Oppivelvollisuuden mukaan painotetut opiskelijavuodet</t>
  </si>
  <si>
    <t>Erityistuen hyväksytyt painotetut opiskelijavuodet</t>
  </si>
  <si>
    <t>Majoituksen hyväksytyt painotetut opiskelijavuodet</t>
  </si>
  <si>
    <t>Yhteensä Korjauskerroin (Rahoitus)</t>
  </si>
  <si>
    <t>Yhteensä Painotetut pisteet (Rahoitus)</t>
  </si>
  <si>
    <t>Yhteensä Painotetut pisteet % (Rahoitus)</t>
  </si>
  <si>
    <t>9 Harkinnanvarainen korotus yhteensä</t>
  </si>
  <si>
    <t>Perusrahoituksen muutos, €</t>
  </si>
  <si>
    <t>Suoritusrahoituksen muutos, €</t>
  </si>
  <si>
    <t>Suoritusrahoituksen muutos, %</t>
  </si>
  <si>
    <t>Perusrahoituksen muutos, %</t>
  </si>
  <si>
    <t>Vaikuttavuusrahoituksen muutos, €</t>
  </si>
  <si>
    <t>Vaikuttavuusrahoituksen muutos, %</t>
  </si>
  <si>
    <t>Tavoitteelliset opiskelija-vuodet</t>
  </si>
  <si>
    <t>Ammatillisen koulutuksen rahoitus + alv-kompensaatio</t>
  </si>
  <si>
    <t>Ammatillisen koulutuksen rahoitus</t>
  </si>
  <si>
    <t>Laskennallinen rahoitus</t>
  </si>
  <si>
    <t>Laskennallinen rahoitus pl. harkinnanvaraisena korotuksena myönnettävä määräaikainen lisämääräraha
(suoritus- ja vaikuttavuusrahoituksen ulkopuolinen osuus laskennallisesta rahoituksesta)</t>
  </si>
  <si>
    <t>Suoriteperusteinen perusrahoitus (ennen varainhoitovuoden jakovara- ja oikaisuvähennystä)</t>
  </si>
  <si>
    <t>Suoriteperusteinen perusrahoitus (jakovara- ja oikaisuvähennyksen jälkeen)</t>
  </si>
  <si>
    <t>SUMMALUKUJA MAAKUNNITTAIN KOULUTUKSEN JÄRJESTÄJIEN KOTIPAIKKAKUNNAN MUKAISESTI</t>
  </si>
  <si>
    <t>Arvonlisävero-korvaus, €</t>
  </si>
  <si>
    <t>Opiskelunsa aloittaneiden opiskelija-
palaute, €</t>
  </si>
  <si>
    <t>Laskennallinen rahoitus
yhteensä
(ei sis. alv), €</t>
  </si>
  <si>
    <t>Suomen Nuoriso-opiston Kannatusyhdistys ry</t>
  </si>
  <si>
    <t>Live-säätiö sr</t>
  </si>
  <si>
    <t>Koulutuskuntayhtymä Brahe</t>
  </si>
  <si>
    <t>Fintraffic Lennonvarmistus Oy</t>
  </si>
  <si>
    <t>Laskentaan hyväksytyt painotetut osaamispisteet</t>
  </si>
  <si>
    <t>3213129-1</t>
  </si>
  <si>
    <t>Kouvolan Ammattiopisto Oy</t>
  </si>
  <si>
    <t>https://vipunen.fi/fi-fi/_layouts/15/xlviewer.aspx?id=/fi-fi/Raportit/Koski%20opiskelijavuodet.xlsb</t>
  </si>
  <si>
    <t>https://vipunen.fi/fi-fi/_layouts/15/xlviewer.aspx?id=/fi-fi/Raportit/Koski%20tutkinnot%20ja%20tutkinnon%20osat%20painotetut.xlsb</t>
  </si>
  <si>
    <t>Tutkinnon suorittaneet</t>
  </si>
  <si>
    <t>Tutkinnon suorittaneet työllistyneet</t>
  </si>
  <si>
    <t>Tutkinnon suorittaneet jatko-opiskelijat</t>
  </si>
  <si>
    <t>Tutkinnon osia suorittaneet työllistyneet</t>
  </si>
  <si>
    <t>Tutkinnon osia suorittaneet jatko-opiskelijat</t>
  </si>
  <si>
    <t>Tutkinnon suorittaneet työllistyneet, painotetut pisteet</t>
  </si>
  <si>
    <t>Tutkinnon suorittaneet jatko-opiskelijat, painotetut pisteet</t>
  </si>
  <si>
    <t>Tutkinnon osia suorittaneet työllistyneet, painotetut pisteet</t>
  </si>
  <si>
    <t>Tutkinnon osia suorittaneet jatko-opiskelijat, painotetut pisteet</t>
  </si>
  <si>
    <t>https://vipunen.fi/fi-fi/_layouts/15/xlviewer.aspx?id=/fi-fi/Raportit/Rahoitusperusteraportti%20(ty%C3%B6llistyneet%20ja%20jatko-opiskelijat)%20uusi.xlsb</t>
  </si>
  <si>
    <t>https://vipunen.fi/fi-fi/_layouts/15/xlviewer.aspx?id=/fi-fi/Raportit/Ammatillinen%20koulutus%20-%20opiskelijapalaute%20-%20rahoitusmalli%20-%20vahvistetut%20-%20p%C3%A4%C3%A4tt%C3%B6kysely.xlsb</t>
  </si>
  <si>
    <t>AMMATILLISEN KOULUTUKSEN VUODEN 2022 VARSINAISEN SUORITEPÄÄTÖKSEN LIITERAPORTTI</t>
  </si>
  <si>
    <t>3240571-5</t>
  </si>
  <si>
    <t>Ammattiopisto Luovi Oy</t>
  </si>
  <si>
    <t>3250102-9</t>
  </si>
  <si>
    <t>Kolmen kampuksen urheiluopisto Oy</t>
  </si>
  <si>
    <t>Ammatillisen koulutuksen vuoden 2022 varsinaisen suoritepäätöksen liiteraportti (liite 1)</t>
  </si>
  <si>
    <t>huomioitu korjaukset ja oikaisut</t>
  </si>
  <si>
    <t>Kolmen kampuksen urheiluopisto oy</t>
  </si>
  <si>
    <t>Pohjois-Satakunnan kansanopiston kannatusyhdistys ry</t>
  </si>
  <si>
    <t>AVA-instituutin Kannatusyhdistys ry</t>
  </si>
  <si>
    <t>Haapaveden Opiston Kannatusyhdistys ry</t>
  </si>
  <si>
    <t>Kanneljärven kansanopiston kannatusyhdistys r.y.</t>
  </si>
  <si>
    <t>Karstulan Evankelisen Kansanopiston Kannatusyhdistys ry</t>
  </si>
  <si>
    <t>Kuopion konservatorion kannatusyhdistys r.y.</t>
  </si>
  <si>
    <t>Maalariammattikoulun Kannatusyhdistys r.y.</t>
  </si>
  <si>
    <t>Peräpohjolan Kansanopiston Kannatusyhdistys ry</t>
  </si>
  <si>
    <t>Valkealan Kristillisen Kansanopiston Kannatusyhdistys r.y.</t>
  </si>
  <si>
    <t>Pisteet % (Rahoitus)</t>
  </si>
  <si>
    <t>https://vipunen.fi/fi-fi/Raportit/Ammatillinen%20koulutus%20-%20rahoitusperusteet%20ja%20kustannukset%20-%20ty%C3%B6el%C3%A4m%C3%A4palaute%20-%20ty%C3%B6paikkakysely.xlsb?Web=1</t>
  </si>
  <si>
    <t>https://vipunen.fi/fi-fi/_layouts/15/xlviewer.aspx?id=/fi-fi/Raportit/Ammatillinen%20koulutus%20-%20rahoitusperusteet%20ja%20kustannukset%20-%20ty%C3%B6el%C3%A4m%C3%A4palaute%20-%20ty%C3%B6paikkaohjaajakysely.xlsb</t>
  </si>
  <si>
    <t>6 Työpaikkaohjaajakysely</t>
  </si>
  <si>
    <t>7 Työpaikkakysely</t>
  </si>
  <si>
    <t>8 Lask.rah.yht. pl. hark.</t>
  </si>
  <si>
    <t>Painotetut pisteet 6</t>
  </si>
  <si>
    <t>%-osuus 7</t>
  </si>
  <si>
    <t>Jaettava € 7</t>
  </si>
  <si>
    <t>%-osuus 8</t>
  </si>
  <si>
    <t>Jaettava € 8</t>
  </si>
  <si>
    <t>Työpaikkaohjaakysely</t>
  </si>
  <si>
    <t>Työpaikkakysely</t>
  </si>
  <si>
    <t>Työelämäpalaute</t>
  </si>
  <si>
    <t>Työllistymiseen ja jatko-opintoihin siirtymiseen, opiskelijapalautteiseen sekä työelämäpalautteeseen perustuva, €</t>
  </si>
  <si>
    <t>1 Erityisen kalliin koulutuksen järjestämisen turvaamiseksi</t>
  </si>
  <si>
    <t>2 Yksittäisen koulutuksen järjestämisen turvaamiseksi tilapäisestä tai yksilöidystä erityisen perustellusta syystä</t>
  </si>
  <si>
    <t>3 Kokonaistaloudellisen tilanteen perusteella</t>
  </si>
  <si>
    <t>4 Oppivelvollisuuden laajentamisen edellyttämän maksuttoman koulutuksen kustannusten kattamiseksi</t>
  </si>
  <si>
    <t>5 Työvoimakoulutuksena järjestettävän hoiva-avustajakoulutuksen lisääminen</t>
  </si>
  <si>
    <t>6 Ukrainasta tulleille pakolaisille järjestettävä ammatillinen koulutus ja tutkintokoulutukseen valmentava koulutus</t>
  </si>
  <si>
    <t xml:space="preserve">7 Työpaikkaohjaajien koulutuksen lisääminen ja kehittäminen </t>
  </si>
  <si>
    <t>8 Urheilijoiden ammatillisen koulutuksen tukeminen</t>
  </si>
  <si>
    <t>0201472-1X</t>
  </si>
  <si>
    <t>1053500-9X</t>
  </si>
  <si>
    <t>1019670-5X</t>
  </si>
  <si>
    <t>0128756-8X</t>
  </si>
  <si>
    <t>Rahoitus pl. hark. kor. 2022 ilman alv, €</t>
  </si>
  <si>
    <t>Rahoitus pl. hark. kor. 2023 ilman alv, €</t>
  </si>
  <si>
    <t>Vaikuttavuusrahoituksen muutos vuodesta 2022 vuoteen 2023</t>
  </si>
  <si>
    <t>Vaikuttavuusrahoitus 2023, €</t>
  </si>
  <si>
    <t>Vaikuttavuusrahoitus 2022, €</t>
  </si>
  <si>
    <t>Suoritusrahoitus 2023, €</t>
  </si>
  <si>
    <t>Suoritusrahoitus 2022, €</t>
  </si>
  <si>
    <t>Perusrahoitus 2023, €</t>
  </si>
  <si>
    <t>Perusrahoitus 2022, €</t>
  </si>
  <si>
    <t>Rahoitus ml. hark. kor. + alv 2023, €</t>
  </si>
  <si>
    <t>Rahoitus ml. hark. kor. + alv 2022, €</t>
  </si>
  <si>
    <t>Rahoitus ml. hark. kor. 
2023 ilman alv, €</t>
  </si>
  <si>
    <t>Rahoitus ml. hark. kor. 
2022 ilman alv, €</t>
  </si>
  <si>
    <t>-josta työpaikka-ohjaajakysely</t>
  </si>
  <si>
    <t>-josta työpaikka-kysely</t>
  </si>
  <si>
    <t>Rahoituksen muutos vuodesta 2022 vuoteen 2023 (pl. hark. kor.)</t>
  </si>
  <si>
    <t>Rahoituksen muutos vuodesta 2022 vuoteen 2023 (ml. hark. kor.)</t>
  </si>
  <si>
    <t>Rahoituksen muutos vuodesta 2022 vuoteen 2023 (ml. hark. kor.) + alv-korvaus</t>
  </si>
  <si>
    <t>Katokorjauskerroin (Rahoitus)</t>
  </si>
  <si>
    <t>Pisteet 7</t>
  </si>
  <si>
    <t>Jakotaulun lukuja voi muokata keltaisella pohjalla olevien euromäärien ja rahoitusosuuksien kautta. Muut solut määräytyvät niiden perusteella.</t>
  </si>
  <si>
    <t>Harkinnanvaraisena korotuksena myönnettävä määräaikainen lisämääräraha (suoritus- ja vaikuttavuusrahoituksen ulkopuolinen osuus laskennallisesta rahoituksesta)</t>
  </si>
  <si>
    <t>-josta oppiksen koulutuskorvauksen kokeilu</t>
  </si>
  <si>
    <t>Palaute-osuudesta</t>
  </si>
  <si>
    <t>SUORITEPERUSTEINEN LASKENNALLINEN RAHOITUS</t>
  </si>
  <si>
    <t>Harkinnanvarainen korotus 1, €</t>
  </si>
  <si>
    <t>Harkinnanvarainen korotus 2, €</t>
  </si>
  <si>
    <t>Harkinnanvarainen korotus 3, €</t>
  </si>
  <si>
    <t>Harkinnanvarainen korotus 4, €</t>
  </si>
  <si>
    <t>Harkinnanvarainen korotus 5, €</t>
  </si>
  <si>
    <t>Harkinnanvarainen korotus 6, €</t>
  </si>
  <si>
    <t>Harkinnanvarainen korotus 7, €</t>
  </si>
  <si>
    <t>Harkinnanvarainen korotus 8, €</t>
  </si>
  <si>
    <t>Harkinnanvarainen korotus 9, €</t>
  </si>
  <si>
    <r>
      <t xml:space="preserve">KOULUTUKSEN JÄRJESTÄJÄ
</t>
    </r>
    <r>
      <rPr>
        <sz val="10"/>
        <rFont val="Calibri"/>
        <family val="2"/>
        <scheme val="minor"/>
      </rPr>
      <t>(mukana koulutuksen järjestäjät joilla järjestämislupa 1.1.2022 lukien)</t>
    </r>
  </si>
  <si>
    <r>
      <t xml:space="preserve">VERTAILU VUODEN 2022 VARSINAISEN SUORITEPÄÄTÖKSEN RAHOITUKSEEN
</t>
    </r>
    <r>
      <rPr>
        <sz val="10"/>
        <rFont val="Calibri"/>
        <family val="2"/>
        <scheme val="minor"/>
      </rPr>
      <t>(huom. perusrahoituksen myöhemmin varainhoitovuoden aikana jaettavan osan vuosittainen vaihtelu vaikuttaa varsinaisten päätösten kokonaismuutoksen suuruuteen)</t>
    </r>
  </si>
  <si>
    <t>VERTAILU VUODEN 2022 VARSINAISEN SUORITEPÄÄTÖKSEN RAHOITUKSEEN
RAHOITUSOSUUKSITTAIN</t>
  </si>
  <si>
    <t>Perusrahoituksen muutos vuodesta 2022 vuoteen 2023</t>
  </si>
  <si>
    <t>Suoritusrahoituksen muutos vuodesta 2022 vuoteen 2023</t>
  </si>
  <si>
    <t>Rahoitusperusteraportti: Painotetut opiskelijavuodet (2021)</t>
  </si>
  <si>
    <t>Rahoitusperusteraportti: Tutkintojen ja tutkinnon osien painotetut pisteet (2021)</t>
  </si>
  <si>
    <t>tiedot jäädytetty 30.9.2022 tasolle</t>
  </si>
  <si>
    <t>Rahoitusperusteraportti: Tutkinnon suorittaneiden työllistyminen ja jatko-opiskelu painotetut pisteet (2020)</t>
  </si>
  <si>
    <t>Rahoitusperusteraportti: Opiskelijapalautteen aloituskyselyn painotetut pisteet (1.7.2018-30.6.2019)</t>
  </si>
  <si>
    <t>Rahoitusperusteraportti: Opiskelijapalautteen päättökyselyn painotetut pisteet (1.7.2021-30.6.2022)</t>
  </si>
  <si>
    <t>Rahoitusperusteraportti: Työpaikkaohjaajakysely (1.7.2021-30.6.2022)</t>
  </si>
  <si>
    <t>Rahoitusperusteraportti: Työpaikkakysely (1.7.2021-30.6.2022)</t>
  </si>
  <si>
    <t>LASKENNALLINEN RAHOITUS YHTEENSÄ</t>
  </si>
  <si>
    <r>
      <t xml:space="preserve">VERTAILU VUODEN 2012 VARSINAISEN SUORITEPÄÄTÖKSEN RAHOITUKSEEN
</t>
    </r>
    <r>
      <rPr>
        <sz val="10"/>
        <rFont val="Calibri"/>
        <family val="2"/>
        <scheme val="minor"/>
      </rPr>
      <t>(huom. perusrahoituksen myöhemmin varainhoitovuoden aikana jaettavan osan vuosittainen vaihtelu vaikuttaa varsinaisten päätösten kokonaismuutoksen suuruuteen)</t>
    </r>
  </si>
  <si>
    <t>Muutos, €</t>
  </si>
  <si>
    <t>Muutos, %</t>
  </si>
  <si>
    <r>
      <t xml:space="preserve">VARSINAISELLA SUORITEPÄÄTÖKSELLÄ JAETTAVAN LASKENNALLISEN RAHOITUKSEN OSIEN SUHDE JÄRJESTÄJITTÄIN
</t>
    </r>
    <r>
      <rPr>
        <sz val="10"/>
        <color theme="1"/>
        <rFont val="Calibri"/>
        <family val="2"/>
        <scheme val="minor"/>
      </rPr>
      <t>(huom. perusrahoituksen myöhemmin varainhoitovuoden aikana jaettavan osan puuttuminen laskee perusrahoituksen osuutta ja korostaa muita osuuksia)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</si>
</sst>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0\ %;\-0.00\ %;0.00\ %"/>
    <numFmt numFmtId="166" formatCode="0.0000"/>
    <numFmt numFmtId="167" formatCode="#,##0.0"/>
    <numFmt numFmtId="168" formatCode="0.00000"/>
    <numFmt numFmtId="169" formatCode="0.000\ %"/>
    <numFmt numFmtId="170" formatCode="#,##0.00000"/>
    <numFmt numFmtId="171" formatCode="#,##0\ &quot;€&quot;"/>
    <numFmt numFmtId="172" formatCode="0\ %;\-0\ %;0\ %"/>
    <numFmt numFmtId="173" formatCode="0.0"/>
  </numFmts>
  <fonts count="27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</font>
    <font>
      <sz val="10"/>
      <color rgb="FFFF0000"/>
      <name val="Calibri"/>
      <family val="2"/>
      <scheme val="minor"/>
    </font>
    <font>
      <sz val="10"/>
      <color rgb="FF00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rgb="FFBFBFBF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2" fillId="0" borderId="0" applyNumberFormat="0" applyFill="0" applyBorder="0" applyAlignment="0" applyProtection="0"/>
  </cellStyleXfs>
  <cellXfs count="313">
    <xf numFmtId="0" fontId="0" fillId="0" borderId="0" xfId="0"/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/>
    <xf numFmtId="0" fontId="0" fillId="0" borderId="0" xfId="0" applyFill="1"/>
    <xf numFmtId="0" fontId="7" fillId="0" borderId="0" xfId="0" applyFont="1" applyBorder="1"/>
    <xf numFmtId="0" fontId="7" fillId="0" borderId="0" xfId="0" applyFont="1" applyFill="1" applyBorder="1"/>
    <xf numFmtId="0" fontId="8" fillId="0" borderId="0" xfId="0" applyFont="1" applyBorder="1"/>
    <xf numFmtId="0" fontId="7" fillId="0" borderId="0" xfId="0" applyFont="1" applyBorder="1" applyAlignment="1"/>
    <xf numFmtId="0" fontId="7" fillId="0" borderId="0" xfId="0" applyFont="1" applyBorder="1" applyAlignment="1">
      <alignment vertical="top"/>
    </xf>
    <xf numFmtId="0" fontId="12" fillId="0" borderId="0" xfId="0" applyFont="1" applyFill="1" applyBorder="1"/>
    <xf numFmtId="168" fontId="7" fillId="0" borderId="0" xfId="0" applyNumberFormat="1" applyFont="1" applyBorder="1"/>
    <xf numFmtId="10" fontId="7" fillId="0" borderId="0" xfId="2" applyNumberFormat="1" applyFont="1" applyBorder="1"/>
    <xf numFmtId="3" fontId="7" fillId="0" borderId="0" xfId="0" applyNumberFormat="1" applyFont="1" applyBorder="1"/>
    <xf numFmtId="3" fontId="7" fillId="0" borderId="5" xfId="0" applyNumberFormat="1" applyFont="1" applyBorder="1"/>
    <xf numFmtId="10" fontId="7" fillId="0" borderId="5" xfId="2" applyNumberFormat="1" applyFont="1" applyBorder="1"/>
    <xf numFmtId="10" fontId="7" fillId="0" borderId="0" xfId="0" applyNumberFormat="1" applyFont="1" applyBorder="1"/>
    <xf numFmtId="0" fontId="7" fillId="3" borderId="0" xfId="0" applyFont="1" applyFill="1" applyBorder="1"/>
    <xf numFmtId="0" fontId="7" fillId="0" borderId="0" xfId="0" applyFont="1"/>
    <xf numFmtId="3" fontId="7" fillId="0" borderId="2" xfId="0" applyNumberFormat="1" applyFont="1" applyBorder="1"/>
    <xf numFmtId="0" fontId="7" fillId="11" borderId="0" xfId="0" applyFont="1" applyFill="1" applyBorder="1" applyAlignment="1">
      <alignment wrapText="1"/>
    </xf>
    <xf numFmtId="2" fontId="7" fillId="11" borderId="0" xfId="0" applyNumberFormat="1" applyFont="1" applyFill="1" applyBorder="1" applyAlignment="1">
      <alignment wrapText="1"/>
    </xf>
    <xf numFmtId="0" fontId="7" fillId="11" borderId="5" xfId="0" applyFont="1" applyFill="1" applyBorder="1" applyAlignment="1">
      <alignment horizontal="center" wrapText="1"/>
    </xf>
    <xf numFmtId="0" fontId="7" fillId="11" borderId="0" xfId="0" applyFont="1" applyFill="1" applyBorder="1" applyAlignment="1">
      <alignment horizontal="center" wrapText="1"/>
    </xf>
    <xf numFmtId="0" fontId="7" fillId="11" borderId="2" xfId="0" applyFont="1" applyFill="1" applyBorder="1" applyAlignment="1">
      <alignment horizontal="center" wrapText="1"/>
    </xf>
    <xf numFmtId="0" fontId="7" fillId="3" borderId="0" xfId="0" applyFont="1" applyFill="1" applyBorder="1" applyAlignment="1"/>
    <xf numFmtId="0" fontId="7" fillId="3" borderId="0" xfId="0" applyFont="1" applyFill="1" applyBorder="1" applyAlignment="1">
      <alignment vertical="top"/>
    </xf>
    <xf numFmtId="0" fontId="7" fillId="3" borderId="0" xfId="0" applyFont="1" applyFill="1" applyBorder="1" applyAlignment="1">
      <alignment wrapText="1"/>
    </xf>
    <xf numFmtId="0" fontId="7" fillId="2" borderId="5" xfId="0" applyFont="1" applyFill="1" applyBorder="1"/>
    <xf numFmtId="0" fontId="7" fillId="2" borderId="0" xfId="0" applyFont="1" applyFill="1" applyBorder="1"/>
    <xf numFmtId="0" fontId="7" fillId="2" borderId="5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0" fontId="7" fillId="2" borderId="2" xfId="0" applyFont="1" applyFill="1" applyBorder="1"/>
    <xf numFmtId="0" fontId="11" fillId="5" borderId="5" xfId="0" applyFont="1" applyFill="1" applyBorder="1" applyAlignment="1">
      <alignment wrapText="1"/>
    </xf>
    <xf numFmtId="0" fontId="11" fillId="5" borderId="2" xfId="0" applyFont="1" applyFill="1" applyBorder="1" applyAlignment="1">
      <alignment wrapText="1"/>
    </xf>
    <xf numFmtId="3" fontId="7" fillId="0" borderId="0" xfId="0" applyNumberFormat="1" applyFont="1" applyFill="1" applyBorder="1"/>
    <xf numFmtId="3" fontId="7" fillId="0" borderId="6" xfId="0" applyNumberFormat="1" applyFont="1" applyBorder="1"/>
    <xf numFmtId="10" fontId="7" fillId="0" borderId="2" xfId="2" applyNumberFormat="1" applyFont="1" applyBorder="1"/>
    <xf numFmtId="0" fontId="14" fillId="13" borderId="15" xfId="0" applyFont="1" applyFill="1" applyBorder="1" applyAlignment="1">
      <alignment horizontal="center" vertical="center" wrapText="1"/>
    </xf>
    <xf numFmtId="0" fontId="14" fillId="13" borderId="15" xfId="0" applyFont="1" applyFill="1" applyBorder="1" applyAlignment="1">
      <alignment horizontal="left" vertical="center" wrapText="1"/>
    </xf>
    <xf numFmtId="0" fontId="7" fillId="3" borderId="2" xfId="0" applyFont="1" applyFill="1" applyBorder="1"/>
    <xf numFmtId="0" fontId="7" fillId="2" borderId="0" xfId="0" quotePrefix="1" applyFont="1" applyFill="1" applyBorder="1" applyAlignment="1">
      <alignment wrapText="1"/>
    </xf>
    <xf numFmtId="0" fontId="7" fillId="2" borderId="2" xfId="0" quotePrefix="1" applyFont="1" applyFill="1" applyBorder="1" applyAlignment="1">
      <alignment wrapText="1"/>
    </xf>
    <xf numFmtId="0" fontId="7" fillId="2" borderId="6" xfId="0" applyFont="1" applyFill="1" applyBorder="1"/>
    <xf numFmtId="0" fontId="7" fillId="2" borderId="6" xfId="0" applyFont="1" applyFill="1" applyBorder="1" applyAlignment="1">
      <alignment wrapText="1"/>
    </xf>
    <xf numFmtId="10" fontId="7" fillId="0" borderId="6" xfId="2" applyNumberFormat="1" applyFont="1" applyBorder="1"/>
    <xf numFmtId="0" fontId="15" fillId="0" borderId="0" xfId="0" applyFont="1"/>
    <xf numFmtId="0" fontId="0" fillId="0" borderId="0" xfId="0" applyBorder="1"/>
    <xf numFmtId="0" fontId="0" fillId="0" borderId="7" xfId="0" applyBorder="1"/>
    <xf numFmtId="0" fontId="0" fillId="0" borderId="0" xfId="0" applyFill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0" fillId="0" borderId="10" xfId="0" applyBorder="1"/>
    <xf numFmtId="169" fontId="15" fillId="0" borderId="0" xfId="2" applyNumberFormat="1" applyFont="1" applyBorder="1" applyAlignment="1"/>
    <xf numFmtId="169" fontId="0" fillId="0" borderId="5" xfId="2" applyNumberFormat="1" applyFont="1" applyFill="1" applyBorder="1"/>
    <xf numFmtId="169" fontId="0" fillId="0" borderId="0" xfId="2" applyNumberFormat="1" applyFont="1" applyBorder="1"/>
    <xf numFmtId="169" fontId="0" fillId="0" borderId="0" xfId="2" applyNumberFormat="1" applyFont="1" applyFill="1" applyBorder="1"/>
    <xf numFmtId="0" fontId="0" fillId="0" borderId="13" xfId="0" applyBorder="1"/>
    <xf numFmtId="0" fontId="0" fillId="0" borderId="5" xfId="0" applyBorder="1"/>
    <xf numFmtId="0" fontId="0" fillId="0" borderId="9" xfId="0" applyBorder="1"/>
    <xf numFmtId="0" fontId="0" fillId="0" borderId="3" xfId="0" applyBorder="1"/>
    <xf numFmtId="0" fontId="0" fillId="0" borderId="4" xfId="0" applyFont="1" applyFill="1" applyBorder="1"/>
    <xf numFmtId="0" fontId="0" fillId="0" borderId="9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169" fontId="0" fillId="0" borderId="2" xfId="2" applyNumberFormat="1" applyFont="1" applyBorder="1"/>
    <xf numFmtId="0" fontId="15" fillId="0" borderId="5" xfId="0" applyFont="1" applyBorder="1" applyAlignment="1">
      <alignment horizontal="left"/>
    </xf>
    <xf numFmtId="169" fontId="0" fillId="0" borderId="13" xfId="2" applyNumberFormat="1" applyFont="1" applyBorder="1"/>
    <xf numFmtId="169" fontId="0" fillId="0" borderId="10" xfId="2" applyNumberFormat="1" applyFont="1" applyBorder="1"/>
    <xf numFmtId="169" fontId="0" fillId="0" borderId="12" xfId="2" applyNumberFormat="1" applyFont="1" applyBorder="1"/>
    <xf numFmtId="169" fontId="0" fillId="0" borderId="7" xfId="2" applyNumberFormat="1" applyFont="1" applyBorder="1"/>
    <xf numFmtId="169" fontId="0" fillId="0" borderId="5" xfId="2" applyNumberFormat="1" applyFont="1" applyBorder="1"/>
    <xf numFmtId="169" fontId="0" fillId="0" borderId="8" xfId="2" applyNumberFormat="1" applyFont="1" applyBorder="1"/>
    <xf numFmtId="0" fontId="9" fillId="3" borderId="0" xfId="0" applyFont="1" applyFill="1" applyBorder="1" applyAlignment="1">
      <alignment vertical="top" wrapText="1"/>
    </xf>
    <xf numFmtId="0" fontId="7" fillId="11" borderId="5" xfId="0" applyFont="1" applyFill="1" applyBorder="1" applyAlignment="1">
      <alignment wrapText="1"/>
    </xf>
    <xf numFmtId="3" fontId="0" fillId="0" borderId="0" xfId="0" applyNumberFormat="1" applyBorder="1"/>
    <xf numFmtId="0" fontId="0" fillId="0" borderId="5" xfId="0" applyBorder="1" applyAlignment="1">
      <alignment horizontal="left"/>
    </xf>
    <xf numFmtId="170" fontId="7" fillId="0" borderId="0" xfId="0" applyNumberFormat="1" applyFont="1" applyBorder="1"/>
    <xf numFmtId="167" fontId="7" fillId="0" borderId="0" xfId="0" applyNumberFormat="1" applyFont="1" applyBorder="1"/>
    <xf numFmtId="3" fontId="0" fillId="0" borderId="3" xfId="0" applyNumberFormat="1" applyBorder="1" applyAlignment="1">
      <alignment horizontal="center"/>
    </xf>
    <xf numFmtId="3" fontId="15" fillId="0" borderId="0" xfId="0" applyNumberFormat="1" applyFont="1" applyFill="1" applyBorder="1"/>
    <xf numFmtId="3" fontId="0" fillId="0" borderId="0" xfId="0" applyNumberFormat="1" applyFill="1" applyBorder="1"/>
    <xf numFmtId="3" fontId="0" fillId="0" borderId="0" xfId="0" applyNumberFormat="1" applyFont="1" applyBorder="1"/>
    <xf numFmtId="3" fontId="0" fillId="0" borderId="0" xfId="0" applyNumberFormat="1" applyFont="1" applyFill="1" applyBorder="1"/>
    <xf numFmtId="169" fontId="0" fillId="0" borderId="2" xfId="0" applyNumberFormat="1" applyBorder="1"/>
    <xf numFmtId="169" fontId="0" fillId="0" borderId="0" xfId="0" applyNumberFormat="1" applyBorder="1"/>
    <xf numFmtId="9" fontId="4" fillId="3" borderId="0" xfId="2" applyNumberFormat="1" applyFont="1" applyFill="1" applyBorder="1"/>
    <xf numFmtId="9" fontId="0" fillId="3" borderId="0" xfId="2" applyNumberFormat="1" applyFont="1" applyFill="1" applyBorder="1"/>
    <xf numFmtId="169" fontId="4" fillId="0" borderId="0" xfId="2" applyNumberFormat="1" applyFont="1" applyFill="1" applyBorder="1"/>
    <xf numFmtId="169" fontId="4" fillId="0" borderId="0" xfId="2" applyNumberFormat="1" applyFont="1" applyBorder="1"/>
    <xf numFmtId="3" fontId="0" fillId="3" borderId="0" xfId="0" applyNumberFormat="1" applyFont="1" applyFill="1" applyBorder="1"/>
    <xf numFmtId="3" fontId="0" fillId="3" borderId="10" xfId="0" applyNumberFormat="1" applyFont="1" applyFill="1" applyBorder="1"/>
    <xf numFmtId="0" fontId="8" fillId="0" borderId="0" xfId="0" applyFont="1" applyFill="1" applyBorder="1" applyAlignment="1">
      <alignment vertical="top"/>
    </xf>
    <xf numFmtId="0" fontId="7" fillId="0" borderId="0" xfId="0" applyFont="1" applyFill="1"/>
    <xf numFmtId="6" fontId="11" fillId="5" borderId="5" xfId="0" applyNumberFormat="1" applyFont="1" applyFill="1" applyBorder="1" applyAlignment="1">
      <alignment wrapText="1"/>
    </xf>
    <xf numFmtId="169" fontId="0" fillId="0" borderId="5" xfId="0" applyNumberFormat="1" applyBorder="1" applyAlignment="1"/>
    <xf numFmtId="169" fontId="0" fillId="0" borderId="0" xfId="0" applyNumberFormat="1" applyBorder="1" applyAlignment="1"/>
    <xf numFmtId="169" fontId="0" fillId="0" borderId="2" xfId="0" applyNumberFormat="1" applyBorder="1" applyAlignment="1"/>
    <xf numFmtId="3" fontId="0" fillId="0" borderId="10" xfId="0" applyNumberFormat="1" applyFont="1" applyFill="1" applyBorder="1"/>
    <xf numFmtId="0" fontId="12" fillId="0" borderId="0" xfId="0" applyNumberFormat="1" applyFont="1" applyFill="1" applyBorder="1"/>
    <xf numFmtId="0" fontId="11" fillId="5" borderId="6" xfId="0" applyFont="1" applyFill="1" applyBorder="1" applyAlignment="1">
      <alignment wrapText="1"/>
    </xf>
    <xf numFmtId="3" fontId="9" fillId="0" borderId="3" xfId="0" applyNumberFormat="1" applyFont="1" applyBorder="1"/>
    <xf numFmtId="3" fontId="9" fillId="0" borderId="4" xfId="0" applyNumberFormat="1" applyFont="1" applyBorder="1"/>
    <xf numFmtId="0" fontId="8" fillId="0" borderId="0" xfId="0" applyFont="1" applyFill="1" applyBorder="1"/>
    <xf numFmtId="0" fontId="11" fillId="7" borderId="6" xfId="0" applyFont="1" applyFill="1" applyBorder="1" applyAlignment="1">
      <alignment wrapText="1"/>
    </xf>
    <xf numFmtId="3" fontId="7" fillId="0" borderId="6" xfId="0" applyNumberFormat="1" applyFont="1" applyFill="1" applyBorder="1"/>
    <xf numFmtId="0" fontId="17" fillId="0" borderId="0" xfId="0" applyFont="1"/>
    <xf numFmtId="0" fontId="18" fillId="0" borderId="0" xfId="0" applyFont="1" applyAlignment="1">
      <alignment horizontal="left"/>
    </xf>
    <xf numFmtId="3" fontId="7" fillId="0" borderId="5" xfId="0" applyNumberFormat="1" applyFont="1" applyBorder="1" applyAlignment="1">
      <alignment horizontal="right"/>
    </xf>
    <xf numFmtId="3" fontId="7" fillId="0" borderId="5" xfId="0" applyNumberFormat="1" applyFont="1" applyFill="1" applyBorder="1" applyAlignment="1">
      <alignment horizontal="right"/>
    </xf>
    <xf numFmtId="0" fontId="20" fillId="0" borderId="0" xfId="0" applyFont="1" applyAlignment="1">
      <alignment horizontal="left" vertical="center" wrapText="1"/>
    </xf>
    <xf numFmtId="0" fontId="19" fillId="13" borderId="16" xfId="0" applyFont="1" applyFill="1" applyBorder="1" applyAlignment="1">
      <alignment horizontal="left" vertical="center" wrapText="1"/>
    </xf>
    <xf numFmtId="0" fontId="19" fillId="13" borderId="0" xfId="0" applyFont="1" applyFill="1" applyBorder="1" applyAlignment="1">
      <alignment horizontal="left" vertical="center" wrapText="1"/>
    </xf>
    <xf numFmtId="0" fontId="19" fillId="13" borderId="17" xfId="0" applyFont="1" applyFill="1" applyBorder="1" applyAlignment="1">
      <alignment horizontal="center" vertical="center" wrapText="1"/>
    </xf>
    <xf numFmtId="3" fontId="7" fillId="0" borderId="0" xfId="0" applyNumberFormat="1" applyFont="1" applyFill="1" applyBorder="1" applyAlignment="1">
      <alignment horizontal="right"/>
    </xf>
    <xf numFmtId="3" fontId="7" fillId="0" borderId="2" xfId="0" applyNumberFormat="1" applyFont="1" applyFill="1" applyBorder="1"/>
    <xf numFmtId="0" fontId="9" fillId="0" borderId="0" xfId="0" applyFont="1" applyBorder="1"/>
    <xf numFmtId="0" fontId="9" fillId="3" borderId="0" xfId="0" applyFont="1" applyFill="1" applyBorder="1" applyAlignment="1">
      <alignment vertical="center"/>
    </xf>
    <xf numFmtId="0" fontId="7" fillId="14" borderId="2" xfId="0" applyFont="1" applyFill="1" applyBorder="1" applyAlignment="1">
      <alignment wrapText="1"/>
    </xf>
    <xf numFmtId="0" fontId="7" fillId="14" borderId="6" xfId="0" applyFont="1" applyFill="1" applyBorder="1" applyAlignment="1">
      <alignment wrapText="1"/>
    </xf>
    <xf numFmtId="0" fontId="16" fillId="0" borderId="0" xfId="0" applyFont="1"/>
    <xf numFmtId="169" fontId="0" fillId="0" borderId="7" xfId="2" applyNumberFormat="1" applyFont="1" applyFill="1" applyBorder="1"/>
    <xf numFmtId="0" fontId="7" fillId="3" borderId="0" xfId="0" applyFont="1" applyFill="1" applyBorder="1" applyAlignment="1">
      <alignment horizontal="left" wrapText="1"/>
    </xf>
    <xf numFmtId="0" fontId="21" fillId="0" borderId="0" xfId="0" applyFont="1"/>
    <xf numFmtId="0" fontId="11" fillId="5" borderId="0" xfId="0" applyFont="1" applyFill="1" applyBorder="1" applyAlignment="1">
      <alignment wrapText="1"/>
    </xf>
    <xf numFmtId="4" fontId="0" fillId="0" borderId="0" xfId="0" applyNumberFormat="1"/>
    <xf numFmtId="0" fontId="14" fillId="13" borderId="17" xfId="0" applyFont="1" applyFill="1" applyBorder="1" applyAlignment="1">
      <alignment horizontal="center" vertical="center" wrapText="1"/>
    </xf>
    <xf numFmtId="3" fontId="0" fillId="0" borderId="0" xfId="0" applyNumberFormat="1"/>
    <xf numFmtId="0" fontId="0" fillId="0" borderId="11" xfId="0" applyBorder="1"/>
    <xf numFmtId="3" fontId="9" fillId="0" borderId="0" xfId="0" applyNumberFormat="1" applyFont="1" applyBorder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2" xfId="0" quotePrefix="1" applyBorder="1" applyAlignment="1">
      <alignment horizontal="left"/>
    </xf>
    <xf numFmtId="0" fontId="15" fillId="0" borderId="8" xfId="0" applyFont="1" applyBorder="1"/>
    <xf numFmtId="0" fontId="0" fillId="0" borderId="11" xfId="0" quotePrefix="1" applyBorder="1"/>
    <xf numFmtId="3" fontId="0" fillId="3" borderId="5" xfId="0" applyNumberFormat="1" applyFont="1" applyFill="1" applyBorder="1"/>
    <xf numFmtId="3" fontId="0" fillId="0" borderId="2" xfId="0" applyNumberFormat="1" applyFont="1" applyFill="1" applyBorder="1"/>
    <xf numFmtId="0" fontId="9" fillId="15" borderId="2" xfId="0" applyFont="1" applyFill="1" applyBorder="1" applyAlignment="1">
      <alignment horizontal="left" vertical="center" wrapText="1"/>
    </xf>
    <xf numFmtId="0" fontId="9" fillId="15" borderId="5" xfId="0" applyFont="1" applyFill="1" applyBorder="1" applyAlignment="1">
      <alignment horizontal="left" vertical="center" wrapText="1"/>
    </xf>
    <xf numFmtId="0" fontId="10" fillId="12" borderId="0" xfId="0" applyFont="1" applyFill="1" applyBorder="1" applyAlignment="1">
      <alignment vertical="center"/>
    </xf>
    <xf numFmtId="0" fontId="10" fillId="1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wrapText="1"/>
    </xf>
    <xf numFmtId="10" fontId="7" fillId="0" borderId="11" xfId="2" applyNumberFormat="1" applyFont="1" applyBorder="1"/>
    <xf numFmtId="3" fontId="0" fillId="0" borderId="7" xfId="0" applyNumberFormat="1" applyFont="1" applyFill="1" applyBorder="1"/>
    <xf numFmtId="0" fontId="18" fillId="0" borderId="0" xfId="0" applyFont="1" applyFill="1" applyAlignment="1">
      <alignment horizontal="left"/>
    </xf>
    <xf numFmtId="4" fontId="18" fillId="0" borderId="0" xfId="0" applyNumberFormat="1" applyFont="1" applyFill="1" applyAlignment="1">
      <alignment horizontal="right"/>
    </xf>
    <xf numFmtId="0" fontId="22" fillId="0" borderId="0" xfId="4"/>
    <xf numFmtId="0" fontId="14" fillId="13" borderId="16" xfId="0" applyFont="1" applyFill="1" applyBorder="1" applyAlignment="1">
      <alignment horizontal="left" vertical="center" wrapText="1"/>
    </xf>
    <xf numFmtId="0" fontId="14" fillId="13" borderId="0" xfId="0" applyFont="1" applyFill="1" applyBorder="1" applyAlignment="1">
      <alignment horizontal="left" vertical="center" wrapText="1"/>
    </xf>
    <xf numFmtId="0" fontId="14" fillId="13" borderId="16" xfId="0" applyFont="1" applyFill="1" applyBorder="1" applyAlignment="1">
      <alignment horizontal="center" vertical="center" wrapText="1"/>
    </xf>
    <xf numFmtId="0" fontId="7" fillId="0" borderId="5" xfId="0" applyFont="1" applyBorder="1"/>
    <xf numFmtId="0" fontId="9" fillId="0" borderId="9" xfId="0" applyFont="1" applyBorder="1"/>
    <xf numFmtId="170" fontId="9" fillId="0" borderId="3" xfId="0" applyNumberFormat="1" applyFont="1" applyBorder="1"/>
    <xf numFmtId="167" fontId="9" fillId="0" borderId="3" xfId="0" applyNumberFormat="1" applyFont="1" applyBorder="1"/>
    <xf numFmtId="0" fontId="24" fillId="0" borderId="3" xfId="0" applyFont="1" applyFill="1" applyBorder="1"/>
    <xf numFmtId="0" fontId="24" fillId="0" borderId="4" xfId="0" applyFont="1" applyFill="1" applyBorder="1"/>
    <xf numFmtId="0" fontId="9" fillId="0" borderId="3" xfId="0" applyFont="1" applyBorder="1"/>
    <xf numFmtId="167" fontId="7" fillId="0" borderId="5" xfId="0" applyNumberFormat="1" applyFont="1" applyBorder="1"/>
    <xf numFmtId="167" fontId="7" fillId="0" borderId="0" xfId="1" applyNumberFormat="1" applyFont="1" applyBorder="1"/>
    <xf numFmtId="0" fontId="0" fillId="0" borderId="0" xfId="0" applyBorder="1" applyAlignment="1">
      <alignment horizontal="left"/>
    </xf>
    <xf numFmtId="12" fontId="15" fillId="0" borderId="0" xfId="0" applyNumberFormat="1" applyFont="1"/>
    <xf numFmtId="9" fontId="15" fillId="0" borderId="0" xfId="2" applyFont="1"/>
    <xf numFmtId="0" fontId="13" fillId="0" borderId="0" xfId="0" applyFont="1" applyAlignment="1">
      <alignment horizontal="left" vertical="center" wrapText="1"/>
    </xf>
    <xf numFmtId="0" fontId="0" fillId="0" borderId="0" xfId="0"/>
    <xf numFmtId="10" fontId="9" fillId="0" borderId="3" xfId="0" applyNumberFormat="1" applyFont="1" applyBorder="1"/>
    <xf numFmtId="10" fontId="9" fillId="0" borderId="9" xfId="0" applyNumberFormat="1" applyFont="1" applyBorder="1"/>
    <xf numFmtId="3" fontId="9" fillId="0" borderId="9" xfId="0" applyNumberFormat="1" applyFont="1" applyBorder="1"/>
    <xf numFmtId="3" fontId="9" fillId="0" borderId="14" xfId="0" applyNumberFormat="1" applyFont="1" applyBorder="1"/>
    <xf numFmtId="0" fontId="0" fillId="0" borderId="0" xfId="0" applyBorder="1" applyAlignment="1">
      <alignment horizontal="left"/>
    </xf>
    <xf numFmtId="6" fontId="11" fillId="11" borderId="5" xfId="0" applyNumberFormat="1" applyFont="1" applyFill="1" applyBorder="1" applyAlignment="1">
      <alignment wrapText="1"/>
    </xf>
    <xf numFmtId="0" fontId="11" fillId="11" borderId="5" xfId="0" applyFont="1" applyFill="1" applyBorder="1" applyAlignment="1">
      <alignment wrapText="1"/>
    </xf>
    <xf numFmtId="0" fontId="11" fillId="11" borderId="2" xfId="0" applyFont="1" applyFill="1" applyBorder="1" applyAlignment="1">
      <alignment wrapText="1"/>
    </xf>
    <xf numFmtId="10" fontId="9" fillId="0" borderId="4" xfId="0" applyNumberFormat="1" applyFont="1" applyBorder="1"/>
    <xf numFmtId="3" fontId="18" fillId="0" borderId="0" xfId="0" applyNumberFormat="1" applyFont="1" applyAlignment="1">
      <alignment horizontal="left"/>
    </xf>
    <xf numFmtId="3" fontId="0" fillId="3" borderId="0" xfId="0" applyNumberFormat="1" applyFill="1" applyBorder="1"/>
    <xf numFmtId="0" fontId="25" fillId="0" borderId="0" xfId="0" applyFont="1" applyFill="1" applyBorder="1"/>
    <xf numFmtId="0" fontId="13" fillId="0" borderId="0" xfId="0" applyFont="1" applyAlignment="1">
      <alignment horizontal="left" vertical="center" wrapText="1" indent="1"/>
    </xf>
    <xf numFmtId="0" fontId="14" fillId="0" borderId="0" xfId="0" applyFont="1" applyAlignment="1">
      <alignment horizontal="left" vertical="center" wrapText="1"/>
    </xf>
    <xf numFmtId="4" fontId="14" fillId="0" borderId="0" xfId="0" applyNumberFormat="1" applyFont="1" applyAlignment="1">
      <alignment horizontal="right" vertical="center" indent="3"/>
    </xf>
    <xf numFmtId="166" fontId="14" fillId="0" borderId="0" xfId="0" applyNumberFormat="1" applyFont="1" applyAlignment="1">
      <alignment horizontal="right" vertical="center" indent="3"/>
    </xf>
    <xf numFmtId="4" fontId="13" fillId="0" borderId="0" xfId="0" applyNumberFormat="1" applyFont="1" applyAlignment="1">
      <alignment horizontal="right" vertical="center" indent="3"/>
    </xf>
    <xf numFmtId="166" fontId="13" fillId="0" borderId="0" xfId="0" applyNumberFormat="1" applyFont="1" applyAlignment="1">
      <alignment horizontal="right" vertical="center" indent="3"/>
    </xf>
    <xf numFmtId="4" fontId="14" fillId="13" borderId="15" xfId="0" applyNumberFormat="1" applyFont="1" applyFill="1" applyBorder="1" applyAlignment="1">
      <alignment horizontal="right" vertical="center" indent="3"/>
    </xf>
    <xf numFmtId="166" fontId="14" fillId="13" borderId="15" xfId="0" applyNumberFormat="1" applyFont="1" applyFill="1" applyBorder="1" applyAlignment="1">
      <alignment horizontal="right" vertical="center" indent="3"/>
    </xf>
    <xf numFmtId="3" fontId="14" fillId="0" borderId="0" xfId="0" applyNumberFormat="1" applyFont="1" applyAlignment="1">
      <alignment horizontal="right" vertical="center" indent="3"/>
    </xf>
    <xf numFmtId="3" fontId="13" fillId="0" borderId="0" xfId="0" applyNumberFormat="1" applyFont="1" applyAlignment="1">
      <alignment horizontal="right" vertical="center" indent="3"/>
    </xf>
    <xf numFmtId="3" fontId="14" fillId="13" borderId="15" xfId="0" applyNumberFormat="1" applyFont="1" applyFill="1" applyBorder="1" applyAlignment="1">
      <alignment horizontal="right" vertical="center" indent="3"/>
    </xf>
    <xf numFmtId="0" fontId="10" fillId="12" borderId="0" xfId="0" applyFont="1" applyFill="1" applyBorder="1" applyAlignment="1">
      <alignment horizontal="left" vertical="center"/>
    </xf>
    <xf numFmtId="0" fontId="12" fillId="0" borderId="0" xfId="0" applyFont="1" applyFill="1"/>
    <xf numFmtId="3" fontId="9" fillId="0" borderId="9" xfId="0" applyNumberFormat="1" applyFont="1" applyBorder="1" applyAlignment="1">
      <alignment horizontal="right"/>
    </xf>
    <xf numFmtId="3" fontId="9" fillId="0" borderId="3" xfId="0" applyNumberFormat="1" applyFont="1" applyFill="1" applyBorder="1"/>
    <xf numFmtId="167" fontId="9" fillId="0" borderId="9" xfId="0" applyNumberFormat="1" applyFont="1" applyBorder="1"/>
    <xf numFmtId="3" fontId="9" fillId="0" borderId="4" xfId="0" applyNumberFormat="1" applyFont="1" applyFill="1" applyBorder="1"/>
    <xf numFmtId="3" fontId="7" fillId="0" borderId="0" xfId="0" applyNumberFormat="1" applyFont="1"/>
    <xf numFmtId="165" fontId="14" fillId="0" borderId="0" xfId="0" applyNumberFormat="1" applyFont="1" applyAlignment="1">
      <alignment horizontal="right" vertical="center" indent="3"/>
    </xf>
    <xf numFmtId="165" fontId="13" fillId="0" borderId="0" xfId="0" applyNumberFormat="1" applyFont="1" applyAlignment="1">
      <alignment horizontal="right" vertical="center" indent="3"/>
    </xf>
    <xf numFmtId="165" fontId="14" fillId="13" borderId="15" xfId="0" applyNumberFormat="1" applyFont="1" applyFill="1" applyBorder="1" applyAlignment="1">
      <alignment horizontal="right" vertical="center" indent="3"/>
    </xf>
    <xf numFmtId="172" fontId="13" fillId="0" borderId="0" xfId="0" applyNumberFormat="1" applyFont="1" applyAlignment="1">
      <alignment horizontal="right" vertical="center" indent="3"/>
    </xf>
    <xf numFmtId="2" fontId="13" fillId="0" borderId="0" xfId="0" applyNumberFormat="1" applyFont="1" applyAlignment="1">
      <alignment horizontal="right" vertical="center" indent="3"/>
    </xf>
    <xf numFmtId="172" fontId="14" fillId="13" borderId="15" xfId="0" applyNumberFormat="1" applyFont="1" applyFill="1" applyBorder="1" applyAlignment="1">
      <alignment horizontal="right" vertical="center" indent="3"/>
    </xf>
    <xf numFmtId="2" fontId="14" fillId="13" borderId="15" xfId="0" applyNumberFormat="1" applyFont="1" applyFill="1" applyBorder="1" applyAlignment="1">
      <alignment horizontal="right" vertical="center" indent="3"/>
    </xf>
    <xf numFmtId="0" fontId="13" fillId="0" borderId="0" xfId="0" applyNumberFormat="1" applyFont="1" applyAlignment="1">
      <alignment horizontal="right" vertical="center" indent="3"/>
    </xf>
    <xf numFmtId="0" fontId="8" fillId="0" borderId="0" xfId="0" quotePrefix="1" applyFont="1" applyBorder="1"/>
    <xf numFmtId="0" fontId="26" fillId="0" borderId="0" xfId="0" applyFont="1"/>
    <xf numFmtId="0" fontId="23" fillId="0" borderId="5" xfId="0" applyFont="1" applyBorder="1" applyAlignment="1">
      <alignment horizontal="left"/>
    </xf>
    <xf numFmtId="167" fontId="7" fillId="0" borderId="0" xfId="0" applyNumberFormat="1" applyFont="1" applyFill="1" applyBorder="1"/>
    <xf numFmtId="169" fontId="0" fillId="0" borderId="0" xfId="0" applyNumberFormat="1"/>
    <xf numFmtId="10" fontId="0" fillId="0" borderId="0" xfId="2" applyNumberFormat="1" applyFont="1"/>
    <xf numFmtId="0" fontId="0" fillId="0" borderId="0" xfId="0" applyBorder="1" applyAlignment="1">
      <alignment horizontal="left"/>
    </xf>
    <xf numFmtId="0" fontId="9" fillId="4" borderId="0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wrapText="1"/>
    </xf>
    <xf numFmtId="0" fontId="7" fillId="0" borderId="7" xfId="0" applyFont="1" applyFill="1" applyBorder="1" applyAlignment="1">
      <alignment horizontal="center" wrapText="1"/>
    </xf>
    <xf numFmtId="0" fontId="7" fillId="0" borderId="7" xfId="0" quotePrefix="1" applyFont="1" applyFill="1" applyBorder="1" applyAlignment="1">
      <alignment horizontal="center" wrapText="1"/>
    </xf>
    <xf numFmtId="0" fontId="7" fillId="0" borderId="11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14" fontId="7" fillId="3" borderId="0" xfId="0" applyNumberFormat="1" applyFont="1" applyFill="1" applyAlignment="1">
      <alignment horizontal="left"/>
    </xf>
    <xf numFmtId="0" fontId="7" fillId="0" borderId="0" xfId="0" applyFont="1" applyFill="1" applyBorder="1" applyAlignment="1">
      <alignment horizontal="center"/>
    </xf>
    <xf numFmtId="0" fontId="7" fillId="0" borderId="13" xfId="0" applyFont="1" applyFill="1" applyBorder="1"/>
    <xf numFmtId="0" fontId="7" fillId="0" borderId="10" xfId="0" applyFont="1" applyFill="1" applyBorder="1"/>
    <xf numFmtId="0" fontId="7" fillId="0" borderId="10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7" fillId="0" borderId="7" xfId="0" applyFont="1" applyFill="1" applyBorder="1" applyAlignment="1">
      <alignment wrapText="1"/>
    </xf>
    <xf numFmtId="173" fontId="14" fillId="13" borderId="15" xfId="0" applyNumberFormat="1" applyFont="1" applyFill="1" applyBorder="1" applyAlignment="1">
      <alignment horizontal="right" vertical="center" indent="3"/>
    </xf>
    <xf numFmtId="173" fontId="13" fillId="0" borderId="0" xfId="0" applyNumberFormat="1" applyFont="1" applyAlignment="1">
      <alignment horizontal="right" vertical="center" indent="3"/>
    </xf>
    <xf numFmtId="173" fontId="14" fillId="0" borderId="0" xfId="0" applyNumberFormat="1" applyFont="1" applyAlignment="1">
      <alignment horizontal="right" vertical="center" indent="3"/>
    </xf>
    <xf numFmtId="172" fontId="14" fillId="0" borderId="0" xfId="0" applyNumberFormat="1" applyFont="1" applyAlignment="1">
      <alignment horizontal="right" vertical="center" indent="3"/>
    </xf>
    <xf numFmtId="0" fontId="14" fillId="13" borderId="15" xfId="0" pivotButton="1" applyFont="1" applyFill="1" applyBorder="1" applyAlignment="1">
      <alignment horizontal="center" vertical="center" wrapText="1"/>
    </xf>
    <xf numFmtId="0" fontId="7" fillId="11" borderId="2" xfId="0" applyFont="1" applyFill="1" applyBorder="1" applyAlignment="1">
      <alignment wrapText="1"/>
    </xf>
    <xf numFmtId="3" fontId="7" fillId="0" borderId="5" xfId="0" applyNumberFormat="1" applyFont="1" applyFill="1" applyBorder="1"/>
    <xf numFmtId="10" fontId="7" fillId="0" borderId="5" xfId="2" applyNumberFormat="1" applyFont="1" applyFill="1" applyBorder="1"/>
    <xf numFmtId="10" fontId="7" fillId="0" borderId="2" xfId="2" applyNumberFormat="1" applyFont="1" applyFill="1" applyBorder="1"/>
    <xf numFmtId="10" fontId="7" fillId="0" borderId="2" xfId="0" applyNumberFormat="1" applyFont="1" applyFill="1" applyBorder="1"/>
    <xf numFmtId="10" fontId="7" fillId="0" borderId="0" xfId="2" applyNumberFormat="1" applyFont="1" applyFill="1" applyBorder="1"/>
    <xf numFmtId="3" fontId="7" fillId="0" borderId="0" xfId="2" applyNumberFormat="1" applyFont="1" applyFill="1" applyBorder="1"/>
    <xf numFmtId="3" fontId="7" fillId="0" borderId="6" xfId="2" applyNumberFormat="1" applyFont="1" applyFill="1" applyBorder="1"/>
    <xf numFmtId="3" fontId="7" fillId="0" borderId="5" xfId="2" applyNumberFormat="1" applyFont="1" applyFill="1" applyBorder="1"/>
    <xf numFmtId="10" fontId="7" fillId="0" borderId="7" xfId="2" applyNumberFormat="1" applyFont="1" applyFill="1" applyBorder="1"/>
    <xf numFmtId="2" fontId="14" fillId="0" borderId="0" xfId="0" applyNumberFormat="1" applyFont="1" applyAlignment="1">
      <alignment horizontal="right" vertical="center" indent="3"/>
    </xf>
    <xf numFmtId="0" fontId="0" fillId="0" borderId="0" xfId="0" applyBorder="1" applyAlignment="1">
      <alignment horizontal="left"/>
    </xf>
    <xf numFmtId="0" fontId="9" fillId="4" borderId="0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13" fontId="17" fillId="3" borderId="0" xfId="2" applyNumberFormat="1" applyFont="1" applyFill="1" applyBorder="1" applyAlignment="1">
      <alignment horizontal="right"/>
    </xf>
    <xf numFmtId="169" fontId="17" fillId="0" borderId="2" xfId="2" applyNumberFormat="1" applyFont="1" applyBorder="1"/>
    <xf numFmtId="169" fontId="17" fillId="0" borderId="0" xfId="2" applyNumberFormat="1" applyFont="1" applyBorder="1"/>
    <xf numFmtId="13" fontId="17" fillId="3" borderId="2" xfId="2" applyNumberFormat="1" applyFont="1" applyFill="1" applyBorder="1"/>
    <xf numFmtId="0" fontId="11" fillId="8" borderId="2" xfId="0" applyFont="1" applyFill="1" applyBorder="1" applyAlignment="1">
      <alignment wrapText="1"/>
    </xf>
    <xf numFmtId="0" fontId="11" fillId="8" borderId="6" xfId="0" applyFont="1" applyFill="1" applyBorder="1" applyAlignment="1">
      <alignment wrapText="1"/>
    </xf>
    <xf numFmtId="0" fontId="13" fillId="0" borderId="0" xfId="0" applyFont="1"/>
    <xf numFmtId="10" fontId="7" fillId="0" borderId="7" xfId="2" applyNumberFormat="1" applyFont="1" applyBorder="1"/>
    <xf numFmtId="0" fontId="0" fillId="0" borderId="0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0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/>
    </xf>
    <xf numFmtId="0" fontId="0" fillId="0" borderId="11" xfId="0" applyBorder="1" applyAlignment="1">
      <alignment horizontal="left"/>
    </xf>
    <xf numFmtId="0" fontId="11" fillId="8" borderId="6" xfId="0" applyFont="1" applyFill="1" applyBorder="1" applyAlignment="1">
      <alignment horizontal="center" vertical="top" wrapText="1"/>
    </xf>
    <xf numFmtId="0" fontId="11" fillId="8" borderId="2" xfId="0" applyFont="1" applyFill="1" applyBorder="1" applyAlignment="1">
      <alignment horizontal="center" vertical="top" wrapText="1"/>
    </xf>
    <xf numFmtId="0" fontId="7" fillId="11" borderId="8" xfId="0" applyFont="1" applyFill="1" applyBorder="1" applyAlignment="1">
      <alignment horizontal="center"/>
    </xf>
    <xf numFmtId="0" fontId="7" fillId="11" borderId="7" xfId="0" applyFont="1" applyFill="1" applyBorder="1" applyAlignment="1">
      <alignment horizontal="center"/>
    </xf>
    <xf numFmtId="0" fontId="7" fillId="11" borderId="11" xfId="0" applyFont="1" applyFill="1" applyBorder="1" applyAlignment="1">
      <alignment horizontal="center"/>
    </xf>
    <xf numFmtId="0" fontId="7" fillId="11" borderId="8" xfId="0" applyFont="1" applyFill="1" applyBorder="1" applyAlignment="1">
      <alignment horizontal="center" wrapText="1"/>
    </xf>
    <xf numFmtId="0" fontId="7" fillId="11" borderId="7" xfId="0" applyFont="1" applyFill="1" applyBorder="1" applyAlignment="1">
      <alignment horizontal="center" wrapText="1"/>
    </xf>
    <xf numFmtId="0" fontId="7" fillId="11" borderId="11" xfId="0" applyFont="1" applyFill="1" applyBorder="1" applyAlignment="1">
      <alignment horizontal="center" wrapText="1"/>
    </xf>
    <xf numFmtId="0" fontId="7" fillId="11" borderId="13" xfId="0" applyFont="1" applyFill="1" applyBorder="1" applyAlignment="1">
      <alignment horizontal="center" vertical="top"/>
    </xf>
    <xf numFmtId="0" fontId="7" fillId="11" borderId="10" xfId="0" applyFont="1" applyFill="1" applyBorder="1" applyAlignment="1">
      <alignment horizontal="center" vertical="top"/>
    </xf>
    <xf numFmtId="0" fontId="7" fillId="11" borderId="12" xfId="0" applyFont="1" applyFill="1" applyBorder="1" applyAlignment="1">
      <alignment horizontal="center" vertical="top"/>
    </xf>
    <xf numFmtId="171" fontId="9" fillId="9" borderId="0" xfId="0" applyNumberFormat="1" applyFont="1" applyFill="1" applyBorder="1" applyAlignment="1">
      <alignment horizontal="center"/>
    </xf>
    <xf numFmtId="0" fontId="9" fillId="9" borderId="5" xfId="0" applyFont="1" applyFill="1" applyBorder="1" applyAlignment="1">
      <alignment horizontal="left" vertical="center" wrapText="1"/>
    </xf>
    <xf numFmtId="0" fontId="9" fillId="9" borderId="0" xfId="0" applyFont="1" applyFill="1" applyBorder="1" applyAlignment="1">
      <alignment horizontal="left" vertical="center" wrapText="1"/>
    </xf>
    <xf numFmtId="171" fontId="9" fillId="9" borderId="2" xfId="0" applyNumberFormat="1" applyFont="1" applyFill="1" applyBorder="1" applyAlignment="1">
      <alignment horizontal="center"/>
    </xf>
    <xf numFmtId="0" fontId="7" fillId="11" borderId="5" xfId="0" applyFont="1" applyFill="1" applyBorder="1" applyAlignment="1">
      <alignment horizontal="center" vertical="top" wrapText="1"/>
    </xf>
    <xf numFmtId="0" fontId="7" fillId="11" borderId="0" xfId="0" applyFont="1" applyFill="1" applyBorder="1" applyAlignment="1">
      <alignment horizontal="center" vertical="top" wrapText="1"/>
    </xf>
    <xf numFmtId="0" fontId="7" fillId="11" borderId="2" xfId="0" applyFont="1" applyFill="1" applyBorder="1" applyAlignment="1">
      <alignment horizontal="center" vertical="top" wrapText="1"/>
    </xf>
    <xf numFmtId="0" fontId="7" fillId="11" borderId="13" xfId="0" applyFont="1" applyFill="1" applyBorder="1" applyAlignment="1">
      <alignment horizontal="center" vertical="top" wrapText="1"/>
    </xf>
    <xf numFmtId="0" fontId="7" fillId="11" borderId="10" xfId="0" applyFont="1" applyFill="1" applyBorder="1" applyAlignment="1">
      <alignment horizontal="center" vertical="top" wrapText="1"/>
    </xf>
    <xf numFmtId="0" fontId="7" fillId="11" borderId="12" xfId="0" applyFont="1" applyFill="1" applyBorder="1" applyAlignment="1">
      <alignment horizontal="center" vertical="top" wrapText="1"/>
    </xf>
    <xf numFmtId="0" fontId="10" fillId="6" borderId="0" xfId="0" applyFont="1" applyFill="1" applyBorder="1" applyAlignment="1">
      <alignment horizontal="left" vertical="center" wrapText="1"/>
    </xf>
    <xf numFmtId="0" fontId="10" fillId="6" borderId="2" xfId="0" applyFont="1" applyFill="1" applyBorder="1" applyAlignment="1">
      <alignment horizontal="left" vertical="center" wrapText="1"/>
    </xf>
    <xf numFmtId="0" fontId="7" fillId="14" borderId="6" xfId="0" applyFont="1" applyFill="1" applyBorder="1" applyAlignment="1">
      <alignment horizontal="center" vertical="top" wrapText="1"/>
    </xf>
    <xf numFmtId="0" fontId="10" fillId="10" borderId="5" xfId="0" applyFont="1" applyFill="1" applyBorder="1" applyAlignment="1">
      <alignment horizontal="left" vertical="center" wrapText="1"/>
    </xf>
    <xf numFmtId="0" fontId="10" fillId="10" borderId="0" xfId="0" applyFont="1" applyFill="1" applyBorder="1" applyAlignment="1">
      <alignment horizontal="left" vertical="center" wrapText="1"/>
    </xf>
    <xf numFmtId="0" fontId="10" fillId="10" borderId="2" xfId="0" applyFont="1" applyFill="1" applyBorder="1" applyAlignment="1">
      <alignment horizontal="left" vertical="center" wrapText="1"/>
    </xf>
    <xf numFmtId="0" fontId="11" fillId="7" borderId="6" xfId="0" applyFont="1" applyFill="1" applyBorder="1" applyAlignment="1">
      <alignment horizontal="center" vertical="top" wrapText="1"/>
    </xf>
    <xf numFmtId="0" fontId="11" fillId="7" borderId="2" xfId="0" applyFont="1" applyFill="1" applyBorder="1" applyAlignment="1">
      <alignment horizontal="center" vertical="top" wrapText="1"/>
    </xf>
    <xf numFmtId="0" fontId="11" fillId="7" borderId="5" xfId="0" applyFont="1" applyFill="1" applyBorder="1" applyAlignment="1">
      <alignment horizontal="center" vertical="top" wrapText="1"/>
    </xf>
    <xf numFmtId="0" fontId="10" fillId="5" borderId="6" xfId="0" applyFont="1" applyFill="1" applyBorder="1" applyAlignment="1">
      <alignment horizontal="center" vertical="top" wrapText="1"/>
    </xf>
    <xf numFmtId="171" fontId="9" fillId="9" borderId="0" xfId="3" applyNumberFormat="1" applyFont="1" applyFill="1" applyBorder="1" applyAlignment="1">
      <alignment horizontal="center"/>
    </xf>
    <xf numFmtId="0" fontId="9" fillId="3" borderId="0" xfId="0" applyFont="1" applyFill="1" applyBorder="1" applyAlignment="1">
      <alignment horizontal="left" vertical="center" wrapText="1"/>
    </xf>
    <xf numFmtId="0" fontId="9" fillId="4" borderId="5" xfId="0" applyFont="1" applyFill="1" applyBorder="1" applyAlignment="1">
      <alignment horizontal="left" vertical="center" wrapText="1"/>
    </xf>
    <xf numFmtId="0" fontId="9" fillId="4" borderId="0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10" fillId="9" borderId="5" xfId="0" applyFont="1" applyFill="1" applyBorder="1" applyAlignment="1">
      <alignment horizontal="left" vertical="center" wrapText="1"/>
    </xf>
    <xf numFmtId="0" fontId="10" fillId="9" borderId="0" xfId="0" applyFont="1" applyFill="1" applyBorder="1" applyAlignment="1">
      <alignment horizontal="left" vertical="center"/>
    </xf>
    <xf numFmtId="0" fontId="10" fillId="9" borderId="2" xfId="0" applyFont="1" applyFill="1" applyBorder="1" applyAlignment="1">
      <alignment horizontal="left" vertical="center"/>
    </xf>
    <xf numFmtId="0" fontId="11" fillId="11" borderId="5" xfId="0" applyFont="1" applyFill="1" applyBorder="1" applyAlignment="1">
      <alignment horizontal="center" vertical="center" wrapText="1"/>
    </xf>
    <xf numFmtId="0" fontId="11" fillId="11" borderId="0" xfId="0" applyFont="1" applyFill="1" applyBorder="1" applyAlignment="1">
      <alignment horizontal="center" vertical="center" wrapText="1"/>
    </xf>
    <xf numFmtId="0" fontId="11" fillId="11" borderId="2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/>
    </xf>
    <xf numFmtId="0" fontId="11" fillId="5" borderId="5" xfId="0" applyFont="1" applyFill="1" applyBorder="1" applyAlignment="1">
      <alignment horizontal="center" vertical="center" wrapText="1"/>
    </xf>
    <xf numFmtId="0" fontId="11" fillId="5" borderId="0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0" fillId="12" borderId="5" xfId="0" applyFont="1" applyFill="1" applyBorder="1" applyAlignment="1">
      <alignment horizontal="left" vertical="center" wrapText="1"/>
    </xf>
    <xf numFmtId="0" fontId="10" fillId="12" borderId="0" xfId="0" applyFont="1" applyFill="1" applyBorder="1" applyAlignment="1">
      <alignment horizontal="left" vertical="center"/>
    </xf>
    <xf numFmtId="0" fontId="10" fillId="12" borderId="2" xfId="0" applyFont="1" applyFill="1" applyBorder="1" applyAlignment="1">
      <alignment horizontal="left" vertical="center"/>
    </xf>
    <xf numFmtId="0" fontId="10" fillId="12" borderId="0" xfId="0" applyFont="1" applyFill="1" applyBorder="1" applyAlignment="1">
      <alignment horizontal="left" vertical="center" wrapText="1"/>
    </xf>
    <xf numFmtId="0" fontId="14" fillId="13" borderId="0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</cellXfs>
  <cellStyles count="5">
    <cellStyle name="Hyperlinkki" xfId="4" builtinId="8"/>
    <cellStyle name="Normaali" xfId="0" builtinId="0"/>
    <cellStyle name="Pilkku" xfId="1" builtinId="3"/>
    <cellStyle name="Prosenttia" xfId="2" builtinId="5"/>
    <cellStyle name="Valuutta" xfId="3" builtinId="4"/>
  </cellStyles>
  <dxfs count="302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4" formatCode="0.00\ %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4" formatCode="0.00\ 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4" formatCode="0.00\ 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4" formatCode="0.00\ 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4" formatCode="0.00\ 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4" formatCode="0.00\ 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4" formatCode="0.00\ 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>
        <left style="thin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border diagonalUp="0" diagonalDown="0" outline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4" formatCode="0.00\ %"/>
      <border diagonalUp="0" diagonalDown="0" outline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4" formatCode="0.00\ 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border diagonalUp="0" diagonalDown="0">
        <left style="thin">
          <color auto="1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4" formatCode="0.00\ 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border diagonalUp="0" diagonalDown="0" outline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4" formatCode="0.00\ 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border diagonalUp="0" diagonalDown="0" outline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4" formatCode="0.00\ %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border diagonalUp="0" diagonalDown="0" outline="0">
        <left style="thin">
          <color indexed="64"/>
        </left>
        <right/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4" formatCode="0.00\ 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67" formatCode="#,##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70" formatCode="#,##0.0000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70" formatCode="#,##0.000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border diagonalUp="0" diagonalDown="0" outline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b/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z val="10"/>
      </font>
      <numFmt numFmtId="3" formatCode="#,##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4" formatCode="0.00\ %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border>
        <top style="thin">
          <color indexed="64"/>
        </top>
      </border>
    </dxf>
    <dxf>
      <font>
        <b/>
      </font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3" formatCode="#,##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3" formatCode="#,##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3" formatCode="#,##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3" formatCode="#,##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3" formatCode="#,##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3" formatCode="#,##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3" formatCode="#,##0"/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14" formatCode="0.00\ %"/>
      <border diagonalUp="0" diagonalDown="0">
        <left style="thin">
          <color indexed="64"/>
        </left>
        <right/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#,##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#,##0.0"/>
      <border diagonalUp="0" diagonalDown="0" outline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#,##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#,##0.0"/>
      <border diagonalUp="0" diagonalDown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3" formatCode="#,##0"/>
      <border diagonalUp="0" diagonalDown="0" outline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14" formatCode="0.00\ 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#,##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167" formatCode="#,##0.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14" formatCode="0.00\ 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#,##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167" formatCode="#,##0.0"/>
      <border diagonalUp="0" diagonalDown="0">
        <left style="thin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3" formatCode="#,##0"/>
      <border outline="0">
        <right style="thin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14" formatCode="0.00\ 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#,##0.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167" formatCode="#,##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3" formatCode="#,##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14" formatCode="0.00\ %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#,##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167" formatCode="#,##0.0"/>
      <border diagonalUp="0" diagonalDown="0">
        <left style="thin">
          <color indexed="64"/>
        </left>
        <right/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outline="0">
        <right style="thin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14" formatCode="0.00\ 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#,##0.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167" formatCode="#,##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168" formatCode="0.000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border>
        <top style="thin">
          <color indexed="64"/>
        </top>
      </border>
    </dxf>
    <dxf>
      <font>
        <b/>
        <strike val="0"/>
        <outline val="0"/>
        <shadow val="0"/>
        <u val="none"/>
        <vertAlign val="baseline"/>
        <sz val="10"/>
      </font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</dxf>
    <dxf>
      <font>
        <strike val="0"/>
        <outline val="0"/>
        <shadow val="0"/>
        <u val="none"/>
        <vertAlign val="baseline"/>
        <sz val="10"/>
      </font>
      <alignment vertical="bottom" textRotation="0" indent="0" justifyLastLine="0" shrinkToFit="0" readingOrder="0"/>
    </dxf>
    <dxf>
      <font>
        <b/>
        <color theme="1"/>
      </font>
      <border>
        <bottom style="thin">
          <color theme="9"/>
        </bottom>
        <vertical/>
        <horizontal/>
      </border>
    </dxf>
    <dxf>
      <font>
        <sz val="9"/>
        <color theme="1"/>
        <name val="Arial"/>
        <scheme val="none"/>
      </font>
      <border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/>
        <horizontal/>
      </border>
    </dxf>
    <dxf>
      <border>
        <top style="thin">
          <color theme="9" tint="0.59996337778862885"/>
        </top>
        <bottom style="thin">
          <color theme="9" tint="0.59996337778862885"/>
        </bottom>
      </border>
    </dxf>
    <dxf>
      <border>
        <top style="thin">
          <color theme="9" tint="0.59996337778862885"/>
        </top>
        <bottom style="thin">
          <color theme="9" tint="0.59996337778862885"/>
        </bottom>
      </border>
    </dxf>
    <dxf>
      <font>
        <b/>
        <i val="0"/>
      </font>
    </dxf>
    <dxf>
      <border>
        <top style="thin">
          <color rgb="FFE8F2E2"/>
        </top>
        <bottom style="thin">
          <color rgb="FFE8F2E2"/>
        </bottom>
      </border>
    </dxf>
    <dxf>
      <font>
        <b/>
        <i val="0"/>
      </font>
      <fill>
        <patternFill>
          <bgColor theme="9" tint="0.59996337778862885"/>
        </patternFill>
      </fill>
      <border>
        <top style="thin">
          <color theme="0" tint="-0.24994659260841701"/>
        </top>
        <bottom style="thin">
          <color theme="0" tint="-0.24994659260841701"/>
        </bottom>
      </border>
    </dxf>
    <dxf>
      <font>
        <b/>
        <i val="0"/>
      </font>
      <fill>
        <patternFill>
          <bgColor theme="9" tint="0.59996337778862885"/>
        </patternFill>
      </fill>
      <border>
        <top style="thin">
          <color theme="0" tint="-0.24994659260841701"/>
        </top>
        <bottom style="thin">
          <color theme="0" tint="-0.24994659260841701"/>
        </bottom>
      </border>
    </dxf>
  </dxfs>
  <tableStyles count="3" defaultTableStyle="TableStyleMedium2" defaultPivotStyle="PivotStyleLight16">
    <tableStyle name="PivotStyleLight1 2" table="0" count="0"/>
    <tableStyle name="PivotStyleLight7 2" table="0" count="6">
      <tableStyleElement type="headerRow" dxfId="301"/>
      <tableStyleElement type="totalRow" dxfId="300"/>
      <tableStyleElement type="firstRowStripe" dxfId="299"/>
      <tableStyleElement type="firstRowSubheading" dxfId="298"/>
      <tableStyleElement type="pageFieldLabels" dxfId="297"/>
      <tableStyleElement type="pageFieldValues" dxfId="296"/>
    </tableStyle>
    <tableStyle name="SlicerStyleLight6 2" pivot="0" table="0" count="2">
      <tableStyleElement type="wholeTable" dxfId="295"/>
      <tableStyleElement type="headerRow" dxfId="294"/>
    </tableStyle>
  </tableStyles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266701</xdr:colOff>
      <xdr:row>1</xdr:row>
      <xdr:rowOff>19049</xdr:rowOff>
    </xdr:from>
    <xdr:ext cx="6978649" cy="4053546"/>
    <xdr:sp macro="" textlink="">
      <xdr:nvSpPr>
        <xdr:cNvPr id="2" name="Tekstiruutu 1"/>
        <xdr:cNvSpPr txBox="1"/>
      </xdr:nvSpPr>
      <xdr:spPr>
        <a:xfrm>
          <a:off x="266701" y="209549"/>
          <a:ext cx="6978649" cy="4053546"/>
        </a:xfrm>
        <a:prstGeom prst="rect">
          <a:avLst/>
        </a:prstGeom>
        <a:solidFill>
          <a:schemeClr val="bg1">
            <a:lumMod val="9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fi-FI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15.3.2023	Rahoituksen simulointimalli ammatillisen koulutuksen järjestäjille</a:t>
          </a:r>
        </a:p>
        <a:p>
          <a:endParaRPr lang="fi-FI">
            <a:solidFill>
              <a:sysClr val="windowText" lastClr="000000"/>
            </a:solidFill>
            <a:effectLst/>
          </a:endParaRPr>
        </a:p>
        <a:p>
          <a:r>
            <a:rPr lang="fi-FI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OHJEET</a:t>
          </a:r>
          <a:endParaRPr lang="fi-FI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lang="fi-FI">
            <a:solidFill>
              <a:sysClr val="windowText" lastClr="000000"/>
            </a:solidFill>
            <a:effectLst/>
          </a:endParaRPr>
        </a:p>
        <a:p>
          <a:r>
            <a:rPr lang="fi-FI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Simulointimalli on varsinaisen suoritepäätöksen laatimiseen tarkoitettu työkalu, joka on tässä suppeampana versiona koulutuksen järjestäjien omaa rahoituksen ennakointia varten hyödynnettäväksi. Mallin tässä versiossa on vuoden 2023 varsinaisen suoritepäätöksen (16.12.2022, VN/29068/2022) mukaiset luvut.</a:t>
          </a:r>
        </a:p>
        <a:p>
          <a:endParaRPr lang="fi-FI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Välilehdellä 1.1</a:t>
          </a:r>
          <a:r>
            <a:rPr lang="fi-FI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on laskettu talousarvion mukaisen ammatillisen koulutuksen määrärahan jakautuminen eri rahoitusosuuksiin. Lukuja muuttamalla pystyy simuloimaan rahoitusta eri suuruisella määrärahalla tai rahoitusosuuksien eri suuruisilla osuuksilla.</a:t>
          </a:r>
        </a:p>
        <a:p>
          <a:endParaRPr lang="fi-FI" sz="110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Välilehdellä 1.2 on laskettu rahoitus koulutuksen järjestäjittäin. </a:t>
          </a:r>
          <a:r>
            <a:rPr lang="fi-FI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Lukuja muuttamalla pystyy simuloimaan rahoitusta erilaisilla t</a:t>
          </a:r>
          <a:r>
            <a:rPr lang="fi-FI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avoitteellisten opiskelijavuosien, harkinnanvaraisten korotusten ja rahoituksen perusteena olevien suoritteiden määrillä.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i-FI" sz="110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Välilehdellä 1.3 on vertailtu koulutuksen järjestäjittäin rahoitusosuuksien suuruuksia sekä rahoituksen muutosta edeltävän vuoden varsinaiseen suoritepäätökseen nähden. Välilehdellä 1.4 on vastaava vertailu maakunnittain koulutuksen järjestäjien kotipaikan maakuntien mukaan.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i-FI" sz="110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Välilehdille 2.1 - 2.7 on koottu rahoitusperusteraporteilta (https://vipunen.fi/fi-fi/ammatillinen/Sivut/Rahoitusperuste--ja-kustannustiedot.aspx) suoritetiedot rahoituksen välilehden 1.2 laskentaa varten.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3118576/Work%20Folders/Tiedostot%20Johannes/Kopio%20SIIRTOTIEDOSTO_OKM5AMOS_SUORITEP&#196;&#196;T&#214;SLASKENTAMALLI_2019_PAAKAYTTAJA_ver_1-0_12122018lopullin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nsilehti"/>
      <sheetName val="Ohjaus-Laskentataulu"/>
      <sheetName val="Jakotaulu"/>
      <sheetName val="Fuusiot"/>
      <sheetName val="Roolikartta"/>
      <sheetName val="Koski_opv"/>
      <sheetName val="Rajapinta_lukuarvot"/>
      <sheetName val="R-aineistot"/>
      <sheetName val="(Sarakkeet)"/>
    </sheetNames>
    <sheetDataSet>
      <sheetData sheetId="0"/>
      <sheetData sheetId="1"/>
      <sheetData sheetId="2"/>
      <sheetData sheetId="3">
        <row r="1">
          <cell r="C1">
            <v>9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ables/table1.xml><?xml version="1.0" encoding="utf-8"?>
<table xmlns="http://schemas.openxmlformats.org/spreadsheetml/2006/main" id="1" name="Ohj.lask." displayName="Ohj.lask." ref="A5:AU141" totalsRowCount="1" headerRowDxfId="293" dataDxfId="292" totalsRowDxfId="291" totalsRowBorderDxfId="290">
  <autoFilter ref="A5:AU140"/>
  <sortState ref="A6:BB143">
    <sortCondition ref="B5:B154"/>
  </sortState>
  <tableColumns count="47">
    <tableColumn id="62" name="Y-tunnus" totalsRowLabel="Yhteensä" dataDxfId="289" totalsRowDxfId="288"/>
    <tableColumn id="1" name="Nimi" totalsRowFunction="custom" dataDxfId="287" totalsRowDxfId="286">
      <totalsRowFormula>COUNTIF(Ohj.lask.[Nimi],"?*")</totalsRowFormula>
    </tableColumn>
    <tableColumn id="73" name="Maakunta" dataDxfId="285" totalsRowDxfId="284"/>
    <tableColumn id="72" name="Omistajatyyppi" dataDxfId="283" totalsRowDxfId="282"/>
    <tableColumn id="43" name="Kieli" dataDxfId="281" totalsRowDxfId="280"/>
    <tableColumn id="2" name="Järjestämisluvan opisk.vuosien vähimmäismäärä" totalsRowFunction="custom" dataDxfId="279" totalsRowDxfId="278">
      <totalsRowFormula>SUM(Ohj.lask.[Järjestämisluvan opisk.vuosien vähimmäismäärä])</totalsRowFormula>
    </tableColumn>
    <tableColumn id="3" name="Suoritepäätöksellä jaettavat opisk.vuodet (luvan ylittävä osuus)" totalsRowFunction="custom" dataDxfId="277" totalsRowDxfId="276">
      <calculatedColumnFormula>Ohj.lask.[[#This Row],[Tavoitteelliset opiskelija-vuodet]]-Ohj.lask.[[#This Row],[Järjestämisluvan opisk.vuosien vähimmäismäärä]]</calculatedColumnFormula>
      <totalsRowFormula>SUM(Ohj.lask.[Suoritepäätöksellä jaettavat opisk.vuodet (luvan ylittävä osuus)])</totalsRowFormula>
    </tableColumn>
    <tableColumn id="4" name="Tavoitteelliset opiskelija-vuodet" totalsRowFunction="custom" dataDxfId="275" totalsRowDxfId="274">
      <totalsRowFormula>SUM(Ohj.lask.[Tavoitteelliset opiskelija-vuodet])</totalsRowFormula>
    </tableColumn>
    <tableColumn id="5" name="Profiili-kerroin" dataDxfId="273" totalsRowDxfId="272">
      <calculatedColumnFormula>IFERROR(VLOOKUP($A6,'2.1 Toteut. op.vuodet'!$A:$T,COLUMN('2.1 Toteut. op.vuodet'!S:S),FALSE),0)</calculatedColumnFormula>
    </tableColumn>
    <tableColumn id="6" name="Painotetut opiskelija-vuodet" totalsRowFunction="custom" dataDxfId="271" totalsRowDxfId="270">
      <calculatedColumnFormula>IFERROR(ROUND(H6*I6,1),0)</calculatedColumnFormula>
      <totalsRowFormula>SUM(Ohj.lask.[Painotetut opiskelija-vuodet])</totalsRowFormula>
    </tableColumn>
    <tableColumn id="7" name="%-osuus 1" totalsRowFunction="custom" dataDxfId="269" totalsRowDxfId="268">
      <calculatedColumnFormula>IFERROR(Ohj.lask.[[#This Row],[Painotetut opiskelija-vuodet]]/Ohj.lask.[[#Totals],[Painotetut opiskelija-vuodet]],0)</calculatedColumnFormula>
      <totalsRowFormula>SUM(Ohj.lask.[%-osuus 1])</totalsRowFormula>
    </tableColumn>
    <tableColumn id="8" name="Jaettava € 1" totalsRowFunction="custom" dataDxfId="267" totalsRowDxfId="266">
      <calculatedColumnFormula>ROUND(IFERROR('1.1 Jakotaulu'!L$13*Ohj.lask.[[#This Row],[%-osuus 1]],0),0)</calculatedColumnFormula>
      <totalsRowFormula>SUM(Ohj.lask.[Jaettava € 1])</totalsRowFormula>
    </tableColumn>
    <tableColumn id="9" name="Painotetut pisteet 2" totalsRowFunction="custom" dataDxfId="265" totalsRowDxfId="264">
      <calculatedColumnFormula>IFERROR(ROUND(VLOOKUP($A6,'2.2 Tutk. ja osien pain. pist.'!$A:$Q,COLUMN('2.2 Tutk. ja osien pain. pist.'!O:O),FALSE),1),0)</calculatedColumnFormula>
      <totalsRowFormula>SUM(Ohj.lask.[Painotetut pisteet 2])</totalsRowFormula>
    </tableColumn>
    <tableColumn id="10" name="%-osuus 2" totalsRowFunction="custom" dataDxfId="263" totalsRowDxfId="262" dataCellStyle="Prosenttia">
      <calculatedColumnFormula>IFERROR(Ohj.lask.[[#This Row],[Painotetut pisteet 2]]/Ohj.lask.[[#Totals],[Painotetut pisteet 2]],0)</calculatedColumnFormula>
      <totalsRowFormula>SUM(Ohj.lask.[%-osuus 2])</totalsRowFormula>
    </tableColumn>
    <tableColumn id="11" name="Jaettava € 2" totalsRowFunction="custom" dataDxfId="261" totalsRowDxfId="260">
      <calculatedColumnFormula>ROUND(IFERROR('1.1 Jakotaulu'!K$14*Ohj.lask.[[#This Row],[%-osuus 2]],0),0)</calculatedColumnFormula>
      <totalsRowFormula>SUM(Ohj.lask.[Jaettava € 2])</totalsRowFormula>
    </tableColumn>
    <tableColumn id="12" name="Painotetut pisteet 3" totalsRowFunction="custom" dataDxfId="259" totalsRowDxfId="258" dataCellStyle="Pilkku">
      <calculatedColumnFormula>IFERROR(ROUND(VLOOKUP($A6,'2.3 Työll. ja jatko-opisk.'!$A:$Z,COLUMN('2.3 Työll. ja jatko-opisk.'!M:M),FALSE),1),0)</calculatedColumnFormula>
      <totalsRowFormula>SUM(Ohj.lask.[Painotetut pisteet 3])</totalsRowFormula>
    </tableColumn>
    <tableColumn id="13" name="%-osuus 3" totalsRowFunction="custom" dataDxfId="257" totalsRowDxfId="256">
      <calculatedColumnFormula>IFERROR(Ohj.lask.[[#This Row],[Painotetut pisteet 3]]/Ohj.lask.[[#Totals],[Painotetut pisteet 3]],0)</calculatedColumnFormula>
      <totalsRowFormula>SUM(Ohj.lask.[%-osuus 3])</totalsRowFormula>
    </tableColumn>
    <tableColumn id="14" name="Jaettava € 3" totalsRowFunction="custom" dataDxfId="255" totalsRowDxfId="254">
      <calculatedColumnFormula>ROUND(IFERROR('1.1 Jakotaulu'!L$16*Ohj.lask.[[#This Row],[%-osuus 3]],0),0)</calculatedColumnFormula>
      <totalsRowFormula>SUM(Ohj.lask.[Jaettava € 3])</totalsRowFormula>
    </tableColumn>
    <tableColumn id="15" name="Painotetut pisteet 4" totalsRowFunction="custom" dataDxfId="253" totalsRowDxfId="252">
      <calculatedColumnFormula>IFERROR(ROUND(VLOOKUP($A6,'2.4 Aloittaneet palaute'!$A:$J,COLUMN('2.4 Aloittaneet palaute'!I:I),FALSE),1),0)</calculatedColumnFormula>
      <totalsRowFormula>SUM(Ohj.lask.[Painotetut pisteet 4])</totalsRowFormula>
    </tableColumn>
    <tableColumn id="16" name="%-osuus 4" totalsRowFunction="custom" dataDxfId="251" totalsRowDxfId="250">
      <calculatedColumnFormula>IFERROR(Ohj.lask.[[#This Row],[Painotetut pisteet 4]]/Ohj.lask.[[#Totals],[Painotetut pisteet 4]],0)</calculatedColumnFormula>
      <totalsRowFormula>SUM(Ohj.lask.[%-osuus 4])</totalsRowFormula>
    </tableColumn>
    <tableColumn id="17" name="Jaettava € 4" totalsRowFunction="custom" dataDxfId="249" totalsRowDxfId="248">
      <calculatedColumnFormula>ROUND(IFERROR('1.1 Jakotaulu'!M$18*Ohj.lask.[[#This Row],[%-osuus 4]],0),0)</calculatedColumnFormula>
      <totalsRowFormula>SUM(Ohj.lask.[Jaettava € 4])</totalsRowFormula>
    </tableColumn>
    <tableColumn id="18" name="Painotetut pisteet 5" totalsRowFunction="custom" dataDxfId="247" totalsRowDxfId="246">
      <calculatedColumnFormula>IFERROR(ROUND(VLOOKUP($A6,'2.5 Päättäneet palaute'!$A:$Z,COLUMN('2.5 Päättäneet palaute'!Y:Y),FALSE),1),0)</calculatedColumnFormula>
      <totalsRowFormula>SUM(Ohj.lask.[Painotetut pisteet 5])</totalsRowFormula>
    </tableColumn>
    <tableColumn id="19" name="%-osuus 5" totalsRowFunction="custom" dataDxfId="245" totalsRowDxfId="244">
      <calculatedColumnFormula>IFERROR(Ohj.lask.[[#This Row],[Painotetut pisteet 5]]/Ohj.lask.[[#Totals],[Painotetut pisteet 5]],0)</calculatedColumnFormula>
      <totalsRowFormula>SUM(Ohj.lask.[%-osuus 5])</totalsRowFormula>
    </tableColumn>
    <tableColumn id="20" name="Jaettava € 5" totalsRowFunction="custom" dataDxfId="243" totalsRowDxfId="242">
      <calculatedColumnFormula>ROUND(IFERROR('1.1 Jakotaulu'!M$19*Ohj.lask.[[#This Row],[%-osuus 5]],0),0)</calculatedColumnFormula>
      <totalsRowFormula>SUM(Ohj.lask.[Jaettava € 5])</totalsRowFormula>
    </tableColumn>
    <tableColumn id="55" name="Painotetut pisteet 6" totalsRowFunction="sum" dataDxfId="241" totalsRowDxfId="240">
      <calculatedColumnFormula>IFERROR(ROUND(VLOOKUP($A6,'2.6 Työpaikkaohjaajakysely'!A:I,COLUMN('2.6 Työpaikkaohjaajakysely'!H:H),FALSE),1),0)</calculatedColumnFormula>
    </tableColumn>
    <tableColumn id="54" name="%-osuus 6" totalsRowFunction="sum" dataDxfId="239" totalsRowDxfId="238" dataCellStyle="Prosenttia">
      <calculatedColumnFormula>IFERROR(Ohj.lask.[[#This Row],[Painotetut pisteet 6]]/Ohj.lask.[[#Totals],[Painotetut pisteet 6]],0)</calculatedColumnFormula>
    </tableColumn>
    <tableColumn id="53" name="Jaettava € 6" totalsRowFunction="sum" dataDxfId="237" totalsRowDxfId="236">
      <calculatedColumnFormula>ROUND(IFERROR('1.1 Jakotaulu'!M$21*Ohj.lask.[[#This Row],[%-osuus 6]],0),0)</calculatedColumnFormula>
    </tableColumn>
    <tableColumn id="52" name="Pisteet 7" totalsRowFunction="sum" dataDxfId="235" totalsRowDxfId="234">
      <calculatedColumnFormula>IFERROR(ROUND(VLOOKUP($A6,'2.7 Työpaikkakysely'!A:G,COLUMN('2.7 Työpaikkakysely'!F:F),FALSE),1),0)</calculatedColumnFormula>
    </tableColumn>
    <tableColumn id="51" name="%-osuus 7" totalsRowFunction="sum" dataDxfId="233" totalsRowDxfId="232" dataCellStyle="Prosenttia">
      <calculatedColumnFormula>IFERROR(Ohj.lask.[[#This Row],[Pisteet 7]]/Ohj.lask.[[#Totals],[Pisteet 7]],0)</calculatedColumnFormula>
    </tableColumn>
    <tableColumn id="50" name="Jaettava € 7" totalsRowFunction="sum" dataDxfId="231" totalsRowDxfId="230">
      <calculatedColumnFormula>ROUND(IFERROR('1.1 Jakotaulu'!M$22*Ohj.lask.[[#This Row],[%-osuus 7]],0),0)</calculatedColumnFormula>
    </tableColumn>
    <tableColumn id="21" name="%-osuus 8" totalsRowFunction="custom" dataDxfId="229" totalsRowDxfId="228" dataCellStyle="Prosenttia">
      <calculatedColumnFormula>IFERROR(Ohj.lask.[[#This Row],[Jaettava € 8]]/Ohj.lask.[[#Totals],[Jaettava € 8]],"")</calculatedColumnFormula>
      <totalsRowFormula>SUM(Ohj.lask.[%-osuus 8])</totalsRowFormula>
    </tableColumn>
    <tableColumn id="22" name="Jaettava € 8" totalsRowFunction="custom" dataDxfId="227" totalsRowDxfId="226">
      <calculatedColumnFormula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calculatedColumnFormula>
      <totalsRowFormula>SUM(Ohj.lask.[Jaettava € 8])</totalsRowFormula>
    </tableColumn>
    <tableColumn id="25" name="Harkinnanvarainen korotus 1, €" totalsRowFunction="custom" dataDxfId="225" totalsRowDxfId="224">
      <totalsRowFormula>SUM(Ohj.lask.[Harkinnanvarainen korotus 1, €])</totalsRowFormula>
    </tableColumn>
    <tableColumn id="29" name="Harkinnanvarainen korotus 2, €" totalsRowFunction="custom" dataDxfId="223" totalsRowDxfId="222">
      <totalsRowFormula>SUM(Ohj.lask.[Harkinnanvarainen korotus 2, €])</totalsRowFormula>
    </tableColumn>
    <tableColumn id="44" name="Harkinnanvarainen korotus 3, €" totalsRowFunction="custom" dataDxfId="221" totalsRowDxfId="220">
      <totalsRowFormula>SUM(Ohj.lask.[Harkinnanvarainen korotus 3, €])</totalsRowFormula>
    </tableColumn>
    <tableColumn id="31" name="Harkinnanvarainen korotus 4, €" totalsRowFunction="custom" dataDxfId="219" totalsRowDxfId="218">
      <totalsRowFormula>SUM(Ohj.lask.[Harkinnanvarainen korotus 4, €])</totalsRowFormula>
    </tableColumn>
    <tableColumn id="27" name="Harkinnanvarainen korotus 5, €" totalsRowFunction="custom" dataDxfId="217" totalsRowDxfId="216">
      <totalsRowFormula>SUM(Ohj.lask.[Harkinnanvarainen korotus 5, €])</totalsRowFormula>
    </tableColumn>
    <tableColumn id="40" name="Harkinnanvarainen korotus 6, €" totalsRowFunction="custom" dataDxfId="215" totalsRowDxfId="214">
      <totalsRowFormula>SUM(Ohj.lask.[Harkinnanvarainen korotus 6, €])</totalsRowFormula>
    </tableColumn>
    <tableColumn id="37" name="Harkinnanvarainen korotus 7, €" totalsRowFunction="custom" dataDxfId="213" totalsRowDxfId="212">
      <totalsRowFormula>SUM(Ohj.lask.[Harkinnanvarainen korotus 7, €])</totalsRowFormula>
    </tableColumn>
    <tableColumn id="47" name="Harkinnanvarainen korotus 8, €" totalsRowFunction="sum" dataDxfId="211" totalsRowDxfId="210"/>
    <tableColumn id="33" name="Harkinnanvarainen korotus 9, €" totalsRowFunction="custom" dataDxfId="209" totalsRowDxfId="208">
      <calculatedColumnFormula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calculatedColumnFormula>
      <totalsRowFormula>SUM(Ohj.lask.[Harkinnanvarainen korotus 9, €])</totalsRowFormula>
    </tableColumn>
    <tableColumn id="38" name="Suoriteperusteinen (opiskelijavuosiin perustuva) sekä harkinnanvarainen korotus, €" totalsRowFunction="custom" dataDxfId="207" totalsRowDxfId="206">
      <calculatedColumnFormula>Ohj.lask.[[#This Row],[Jaettava € 1]]+Ohj.lask.[[#This Row],[Harkinnanvarainen korotus 9, €]]</calculatedColumnFormula>
      <totalsRowFormula>SUM(Ohj.lask.[Suoriteperusteinen (opiskelijavuosiin perustuva) sekä harkinnanvarainen korotus, €])</totalsRowFormula>
    </tableColumn>
    <tableColumn id="34" name="Suoritusrahoitus, €" totalsRowFunction="custom" dataDxfId="205" totalsRowDxfId="204">
      <calculatedColumnFormula>Ohj.lask.[[#This Row],[Jaettava € 2]]</calculatedColumnFormula>
      <totalsRowFormula>SUM(Ohj.lask.[Suoritusrahoitus, €])</totalsRowFormula>
    </tableColumn>
    <tableColumn id="23" name="Työllistymiseen ja jatko-opintoihin siirtymiseen, opiskelijapalautteiseen sekä työelämäpalautteeseen perustuva, €" totalsRowFunction="custom" dataDxfId="203" totalsRowDxfId="202">
      <calculatedColumnFormula>Ohj.lask.[[#This Row],[Jaettava € 3]]+Ohj.lask.[[#This Row],[Jaettava € 4]]+Ohj.lask.[[#This Row],[Jaettava € 5]]+Ohj.lask.[[#This Row],[Jaettava € 6]]+Ohj.lask.[[#This Row],[Jaettava € 7]]</calculatedColumnFormula>
      <totalsRowFormula>SUM(Ohj.lask.[Työllistymiseen ja jatko-opintoihin siirtymiseen, opiskelijapalautteiseen sekä työelämäpalautteeseen perustuva, €])</totalsRowFormula>
    </tableColumn>
    <tableColumn id="39" name="Perus-, suoritus- ja vaikuttavuusrahoitus yhteensä, €" totalsRowFunction="custom" dataDxfId="201" totalsRowDxfId="200">
      <calculatedColumnFormula>Ohj.lask.[[#This Row],[Jaettava € 8]]+Ohj.lask.[[#This Row],[Harkinnanvarainen korotus 9, €]]</calculatedColumnFormula>
      <totalsRowFormula>SUM(Ohj.lask.[Perus-, suoritus- ja vaikuttavuusrahoitus yhteensä, €])</totalsRowFormula>
    </tableColumn>
    <tableColumn id="35" name="Alv-korvaus, €" totalsRowFunction="custom" dataDxfId="199" totalsRowDxfId="198">
      <totalsRowFormula>SUM(Ohj.lask.[Alv-korvaus, €])</totalsRowFormula>
    </tableColumn>
    <tableColumn id="42" name="Koko rahoitus + _x000a_alv-korvaus, €" totalsRowFunction="custom" dataDxfId="197" totalsRowDxfId="196">
      <calculatedColumnFormula>Ohj.lask.[[#This Row],[Perus-, suoritus- ja vaikuttavuusrahoitus yhteensä, €]]+Ohj.lask.[[#This Row],[Alv-korvaus, €]]</calculatedColumnFormula>
      <totalsRowFormula>SUM(Ohj.lask.[Koko rahoitus + 
alv-korvaus, €])</totalsRow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3" name="Vertailu" displayName="Vertailu" ref="A5:AK142" totalsRowCount="1" dataDxfId="195" totalsRowDxfId="194" totalsRowBorderDxfId="193">
  <autoFilter ref="A5:AK141"/>
  <sortState ref="A6:BC141">
    <sortCondition ref="B5:B141"/>
  </sortState>
  <tableColumns count="37">
    <tableColumn id="1" name="Y-tunnus" totalsRowLabel="Yhteensä" dataDxfId="192" totalsRowDxfId="191"/>
    <tableColumn id="2" name="Nimi" totalsRowFunction="custom" dataDxfId="190" totalsRowDxfId="189">
      <totalsRowFormula>COUNTIF(Vertailu[Nimi],"?*")</totalsRowFormula>
    </tableColumn>
    <tableColumn id="3" name="Maakunta" dataDxfId="188" totalsRowDxfId="187"/>
    <tableColumn id="4" name="Omistajatyyppi" dataDxfId="186" totalsRowDxfId="185"/>
    <tableColumn id="5" name="Suorite-perusteinen perusrahoitus (pl. hark. kor.)" totalsRowFunction="custom" dataDxfId="184" totalsRowDxfId="183" dataCellStyle="Prosenttia">
      <calculatedColumnFormula>IFERROR(VLOOKUP(Vertailu[[#This Row],[Y-tunnus]],'1.2 Ohjaus-laskentataulu'!A:AU,COLUMN('1.2 Ohjaus-laskentataulu'!L:L),FALSE)/VLOOKUP(Vertailu[[#This Row],[Y-tunnus]],'1.2 Ohjaus-laskentataulu'!A:AU,COLUMN('1.2 Ohjaus-laskentataulu'!AS:AS),FALSE),0)</calculatedColumnFormula>
      <totalsRowFormula>Ohj.lask.[[#Totals],[Jaettava € 1]]/Ohj.lask.[[#Totals],[Perus-, suoritus- ja vaikuttavuusrahoitus yhteensä, €]]</totalsRowFormula>
    </tableColumn>
    <tableColumn id="38" name="Perusrahoitus yhteensä (ml. hark. kor.)" totalsRowFunction="custom" dataDxfId="182" totalsRowDxfId="181" dataCellStyle="Prosenttia">
      <calculatedColumnFormula>IFERROR(VLOOKUP(Vertailu[[#This Row],[Y-tunnus]],'1.2 Ohjaus-laskentataulu'!A:AU,COLUMN('1.2 Ohjaus-laskentataulu'!AP:AP),FALSE)/VLOOKUP(Vertailu[[#This Row],[Y-tunnus]],'1.2 Ohjaus-laskentataulu'!A:AU,COLUMN('1.2 Ohjaus-laskentataulu'!AS:AS),FALSE),0)</calculatedColumnFormula>
      <totalsRowFormula>Ohj.lask.[[#Totals],[Suoriteperusteinen (opiskelijavuosiin perustuva) sekä harkinnanvarainen korotus, €]]/Ohj.lask.[[#Totals],[Perus-, suoritus- ja vaikuttavuusrahoitus yhteensä, €]]</totalsRowFormula>
    </tableColumn>
    <tableColumn id="6" name="Suoritus-rahoitus" totalsRowFunction="custom" dataDxfId="180" totalsRowDxfId="179">
      <calculatedColumnFormula>IFERROR(VLOOKUP(Vertailu[[#This Row],[Y-tunnus]],'1.2 Ohjaus-laskentataulu'!A:AU,COLUMN('1.2 Ohjaus-laskentataulu'!AQ:AQ),FALSE)/VLOOKUP(Vertailu[[#This Row],[Y-tunnus]],'1.2 Ohjaus-laskentataulu'!A:AU,COLUMN('1.2 Ohjaus-laskentataulu'!AS:AS),FALSE),0)</calculatedColumnFormula>
      <totalsRowFormula>Ohj.lask.[[#Totals],[Suoritusrahoitus, €]]/Ohj.lask.[[#Totals],[Perus-, suoritus- ja vaikuttavuusrahoitus yhteensä, €]]</totalsRowFormula>
    </tableColumn>
    <tableColumn id="7" name="Vaikuttavuus-rahoitus yhteensä" totalsRowFunction="custom" dataDxfId="178" totalsRowDxfId="177" dataCellStyle="Prosenttia">
      <calculatedColumnFormula>IFERROR(VLOOKUP(Vertailu[[#This Row],[Y-tunnus]],'1.2 Ohjaus-laskentataulu'!A:AU,COLUMN('1.2 Ohjaus-laskentataulu'!AR:AR),FALSE)/VLOOKUP(Vertailu[[#This Row],[Y-tunnus]],'1.2 Ohjaus-laskentataulu'!A:AU,COLUMN('1.2 Ohjaus-laskentataulu'!AS:AS),FALSE),0)</calculatedColumnFormula>
      <totalsRowFormula>Ohj.lask.[[#Totals],[Työllistymiseen ja jatko-opintoihin siirtymiseen, opiskelijapalautteiseen sekä työelämäpalautteeseen perustuva, €]]/Ohj.lask.[[#Totals],[Perus-, suoritus- ja vaikuttavuusrahoitus yhteensä, €]]</totalsRowFormula>
    </tableColumn>
    <tableColumn id="8" name="-josta työllistyneet ja jatko-opiskelijat" totalsRowFunction="custom" dataDxfId="176" totalsRowDxfId="175" dataCellStyle="Prosenttia">
      <calculatedColumnFormula>IFERROR(VLOOKUP(Vertailu[[#This Row],[Y-tunnus]],'1.2 Ohjaus-laskentataulu'!A:AU,COLUMN('1.2 Ohjaus-laskentataulu'!R:R),FALSE)/VLOOKUP(Vertailu[[#This Row],[Y-tunnus]],'1.2 Ohjaus-laskentataulu'!A:AU,COLUMN('1.2 Ohjaus-laskentataulu'!AS:AS),FALSE),0)</calculatedColumnFormula>
      <totalsRowFormula>Ohj.lask.[[#Totals],[Jaettava € 3]]/Ohj.lask.[[#Totals],[Perus-, suoritus- ja vaikuttavuusrahoitus yhteensä, €]]</totalsRowFormula>
    </tableColumn>
    <tableColumn id="9" name="-josta aloittaneet opiskelija-palaute" totalsRowFunction="custom" dataDxfId="174" totalsRowDxfId="173" dataCellStyle="Prosenttia">
      <calculatedColumnFormula>IFERROR(VLOOKUP(Vertailu[[#This Row],[Y-tunnus]],'1.2 Ohjaus-laskentataulu'!A:AU,COLUMN('1.2 Ohjaus-laskentataulu'!U:U),FALSE)/VLOOKUP(Vertailu[[#This Row],[Y-tunnus]],'1.2 Ohjaus-laskentataulu'!A:AU,COLUMN('1.2 Ohjaus-laskentataulu'!AS:AS),FALSE),0)</calculatedColumnFormula>
      <totalsRowFormula>Ohj.lask.[[#Totals],[Jaettava € 4]]/Ohj.lask.[[#Totals],[Perus-, suoritus- ja vaikuttavuusrahoitus yhteensä, €]]</totalsRowFormula>
    </tableColumn>
    <tableColumn id="10" name="-josta päättäneet opiskelija-palaute" totalsRowFunction="custom" dataDxfId="172" totalsRowDxfId="171" dataCellStyle="Prosenttia">
      <calculatedColumnFormula>IFERROR(VLOOKUP(Vertailu[[#This Row],[Y-tunnus]],'1.2 Ohjaus-laskentataulu'!A:AU,COLUMN('1.2 Ohjaus-laskentataulu'!X:X),FALSE)/VLOOKUP(Vertailu[[#This Row],[Y-tunnus]],'1.2 Ohjaus-laskentataulu'!A:AU,COLUMN('1.2 Ohjaus-laskentataulu'!AS:AS),FALSE),0)</calculatedColumnFormula>
      <totalsRowFormula>Ohj.lask.[[#Totals],[Jaettava € 5]]/Ohj.lask.[[#Totals],[Perus-, suoritus- ja vaikuttavuusrahoitus yhteensä, €]]</totalsRowFormula>
    </tableColumn>
    <tableColumn id="55" name="-josta työpaikka-ohjaajakysely" totalsRowFunction="custom" dataDxfId="170" totalsRowDxfId="169" dataCellStyle="Prosenttia">
      <calculatedColumnFormula>IFERROR(VLOOKUP(Vertailu[[#This Row],[Y-tunnus]],'1.2 Ohjaus-laskentataulu'!A:AU,COLUMN('1.2 Ohjaus-laskentataulu'!AA:AA),FALSE)/VLOOKUP(Vertailu[[#This Row],[Y-tunnus]],'1.2 Ohjaus-laskentataulu'!A:AU,COLUMN('1.2 Ohjaus-laskentataulu'!AS:AS),FALSE),0)</calculatedColumnFormula>
      <totalsRowFormula>Ohj.lask.[[#Totals],[Jaettava € 6]]/Ohj.lask.[[#Totals],[Perus-, suoritus- ja vaikuttavuusrahoitus yhteensä, €]]</totalsRowFormula>
    </tableColumn>
    <tableColumn id="54" name="-josta työpaikka-kysely" totalsRowFunction="custom" dataDxfId="168" totalsRowDxfId="167" dataCellStyle="Prosenttia">
      <calculatedColumnFormula>IFERROR(VLOOKUP(Vertailu[[#This Row],[Y-tunnus]],'1.2 Ohjaus-laskentataulu'!A:AU,COLUMN('1.2 Ohjaus-laskentataulu'!AD:AD),FALSE)/VLOOKUP(Vertailu[[#This Row],[Y-tunnus]],'1.2 Ohjaus-laskentataulu'!A:AU,COLUMN('1.2 Ohjaus-laskentataulu'!AS:AS),FALSE),0)</calculatedColumnFormula>
      <totalsRowFormula>Ohj.lask.[[#Totals],[Jaettava € 7]]/Ohj.lask.[[#Totals],[Perus-, suoritus- ja vaikuttavuusrahoitus yhteensä, €]]</totalsRowFormula>
    </tableColumn>
    <tableColumn id="12" name="Rahoitus pl. hark. kor. 2022 ilman alv, €" totalsRowFunction="sum" dataDxfId="166" totalsRowDxfId="165">
      <calculatedColumnFormula>IFERROR(VLOOKUP(Vertailu[[#This Row],[Y-tunnus]],'Suoritepäätös 2022 oikaistu'!$Q:$AC,COLUMN('Suoritepäätös 2022 oikaistu'!L:L),FALSE)-VLOOKUP(Vertailu[[#This Row],[Y-tunnus]],'Suoritepäätös 2022 oikaistu'!$B:$N,COLUMN('Suoritepäätös 2022 oikaistu'!F:F),FALSE),0)</calculatedColumnFormula>
    </tableColumn>
    <tableColumn id="16" name="Rahoitus pl. hark. kor. 2023 ilman alv, €" totalsRowFunction="sum" dataDxfId="164" totalsRowDxfId="163">
      <calculatedColumnFormula>IFERROR(VLOOKUP(Vertailu[[#This Row],[Y-tunnus]],'1.2 Ohjaus-laskentataulu'!A:AU,COLUMN('1.2 Ohjaus-laskentataulu'!AF:AF),FALSE),0)</calculatedColumnFormula>
    </tableColumn>
    <tableColumn id="14" name="Muutos, € 1" totalsRowFunction="sum" dataDxfId="162" totalsRowDxfId="161">
      <calculatedColumnFormula>IFERROR(Vertailu[[#This Row],[Rahoitus pl. hark. kor. 2023 ilman alv, €]]-Vertailu[[#This Row],[Rahoitus pl. hark. kor. 2022 ilman alv, €]],0)</calculatedColumnFormula>
    </tableColumn>
    <tableColumn id="15" name="Muutos, % 1" totalsRowFunction="custom" dataDxfId="160" totalsRowDxfId="159" dataCellStyle="Prosenttia">
      <calculatedColumnFormula>IFERROR(Vertailu[[#This Row],[Muutos, € 1]]/Vertailu[[#This Row],[Rahoitus pl. hark. kor. 2022 ilman alv, €]],0)</calculatedColumnFormula>
      <totalsRowFormula>IFERROR(Vertailu[[#Totals],[Muutos, € 1]]/Vertailu[[#Totals],[Rahoitus pl. hark. kor. 2022 ilman alv, €]],0)</totalsRowFormula>
    </tableColumn>
    <tableColumn id="37" name="Rahoitus ml. hark. kor. _x000a_2022 ilman alv, €" totalsRowFunction="sum" dataDxfId="158" totalsRowDxfId="157" dataCellStyle="Prosenttia">
      <calculatedColumnFormula>IFERROR(VLOOKUP(Vertailu[[#This Row],[Y-tunnus]],'Suoritepäätös 2022 oikaistu'!$Q:$AC,COLUMN('Suoritepäätös 2022 oikaistu'!L:L),FALSE),0)</calculatedColumnFormula>
    </tableColumn>
    <tableColumn id="23" name="Rahoitus ml. hark. kor. _x000a_2023 ilman alv, €" totalsRowFunction="sum" dataDxfId="156" totalsRowDxfId="155" dataCellStyle="Prosenttia">
      <calculatedColumnFormula>IFERROR(VLOOKUP(Vertailu[[#This Row],[Y-tunnus]],'1.2 Ohjaus-laskentataulu'!A:AU,COLUMN('1.2 Ohjaus-laskentataulu'!AS:AS),FALSE),0)</calculatedColumnFormula>
    </tableColumn>
    <tableColumn id="13" name="Muutos, € 2" totalsRowFunction="sum" dataDxfId="154" totalsRowDxfId="153" dataCellStyle="Prosenttia">
      <calculatedColumnFormula>IFERROR(Vertailu[[#This Row],[Rahoitus ml. hark. kor. 
2023 ilman alv, €]]-Vertailu[[#This Row],[Rahoitus ml. hark. kor. 
2022 ilman alv, €]],0)</calculatedColumnFormula>
    </tableColumn>
    <tableColumn id="11" name="Muutos, % 2" totalsRowFunction="custom" dataDxfId="152" totalsRowDxfId="151" dataCellStyle="Prosenttia">
      <calculatedColumnFormula>IFERROR(Vertailu[[#This Row],[Muutos, € 2]]/Vertailu[[#This Row],[Rahoitus ml. hark. kor. 
2022 ilman alv, €]],0)</calculatedColumnFormula>
      <totalsRowFormula>IFERROR(Vertailu[[#Totals],[Muutos, € 2]]/Vertailu[[#Totals],[Rahoitus ml. hark. kor. 
2022 ilman alv, €]],0)</totalsRowFormula>
    </tableColumn>
    <tableColumn id="30" name="Rahoitus ml. hark. kor. + alv 2022, €" totalsRowFunction="sum" dataDxfId="150" totalsRowDxfId="149" dataCellStyle="Prosenttia">
      <calculatedColumnFormula>IFERROR(VLOOKUP(Vertailu[[#This Row],[Y-tunnus]],'Suoritepäätös 2022 oikaistu'!$Q:$AC,COLUMN('Suoritepäätös 2022 oikaistu'!L:L),FALSE)+VLOOKUP(Vertailu[[#This Row],[Y-tunnus]],'Suoritepäätös 2022 oikaistu'!$Q:$AC,COLUMN('Suoritepäätös 2022 oikaistu'!M:M),FALSE),0)</calculatedColumnFormula>
    </tableColumn>
    <tableColumn id="45" name="Rahoitus ml. hark. kor. + alv 2023, €" totalsRowFunction="sum" dataDxfId="148" totalsRowDxfId="147" dataCellStyle="Prosenttia">
      <calculatedColumnFormula>IFERROR(VLOOKUP(Vertailu[[#This Row],[Y-tunnus]],'1.2 Ohjaus-laskentataulu'!A:AU,COLUMN('1.2 Ohjaus-laskentataulu'!AU:AU),FALSE),0)</calculatedColumnFormula>
    </tableColumn>
    <tableColumn id="44" name="Muutos, € 3" totalsRowFunction="sum" dataDxfId="146" totalsRowDxfId="145" dataCellStyle="Prosenttia">
      <calculatedColumnFormula>IFERROR(Vertailu[[#This Row],[Rahoitus ml. hark. kor. + alv 2023, €]]-Vertailu[[#This Row],[Rahoitus ml. hark. kor. + alv 2022, €]],0)</calculatedColumnFormula>
    </tableColumn>
    <tableColumn id="24" name="Muutos, % 3" totalsRowFunction="custom" dataDxfId="144" totalsRowDxfId="143" dataCellStyle="Prosenttia">
      <calculatedColumnFormula>IFERROR(Vertailu[[#This Row],[Muutos, € 3]]/Vertailu[[#This Row],[Rahoitus ml. hark. kor. + alv 2022, €]],0)</calculatedColumnFormula>
      <totalsRowFormula>IFERROR(Vertailu[[#Totals],[Muutos, € 3]]/Vertailu[[#Totals],[Rahoitus ml. hark. kor. + alv 2022, €]],0)</totalsRowFormula>
    </tableColumn>
    <tableColumn id="40" name="Perusrahoitus 2022, €" totalsRowFunction="sum" dataDxfId="142" totalsRowDxfId="141">
      <calculatedColumnFormula>IFERROR(VLOOKUP(Vertailu[[#This Row],[Y-tunnus]],'Suoritepäätös 2022 oikaistu'!$B:$N,COLUMN('Suoritepäätös 2022 oikaistu'!G:G),FALSE),0)</calculatedColumnFormula>
    </tableColumn>
    <tableColumn id="41" name="Perusrahoitus 2023, €" totalsRowFunction="sum" dataDxfId="140" totalsRowDxfId="139">
      <calculatedColumnFormula>IFERROR(VLOOKUP(Vertailu[[#This Row],[Y-tunnus]],'1.2 Ohjaus-laskentataulu'!A:AU,COLUMN('1.2 Ohjaus-laskentataulu'!AP:AP),FALSE),0)</calculatedColumnFormula>
    </tableColumn>
    <tableColumn id="42" name="Perusrahoituksen muutos, €" totalsRowFunction="sum" dataDxfId="138" totalsRowDxfId="137">
      <calculatedColumnFormula>Vertailu[[#This Row],[Perusrahoitus 2023, €]]-Vertailu[[#This Row],[Perusrahoitus 2022, €]]</calculatedColumnFormula>
    </tableColumn>
    <tableColumn id="43" name="Perusrahoituksen muutos, %" totalsRowFunction="custom" dataDxfId="136" totalsRowDxfId="135" dataCellStyle="Prosenttia">
      <calculatedColumnFormula>IFERROR(Vertailu[[#This Row],[Perusrahoituksen muutos, €]]/Vertailu[[#This Row],[Perusrahoitus 2022, €]],0)</calculatedColumnFormula>
      <totalsRowFormula>IFERROR(Vertailu[[#Totals],[Perusrahoituksen muutos, €]]/Vertailu[[#Totals],[Perusrahoitus 2022, €]],0)</totalsRowFormula>
    </tableColumn>
    <tableColumn id="46" name="Suoritusrahoitus 2022, €" totalsRowFunction="sum" dataDxfId="134" totalsRowDxfId="133">
      <calculatedColumnFormula>IFERROR(VLOOKUP(Vertailu[[#This Row],[Y-tunnus]],'Suoritepäätös 2022 oikaistu'!$B:$N,COLUMN('Suoritepäätös 2022 oikaistu'!M:M),FALSE),0)</calculatedColumnFormula>
    </tableColumn>
    <tableColumn id="47" name="Suoritusrahoitus 2023, €" totalsRowFunction="sum" dataDxfId="132" totalsRowDxfId="131">
      <calculatedColumnFormula>IFERROR(VLOOKUP(Vertailu[[#This Row],[Y-tunnus]],'1.2 Ohjaus-laskentataulu'!A:AU,COLUMN('1.2 Ohjaus-laskentataulu'!O:O),FALSE),0)</calculatedColumnFormula>
    </tableColumn>
    <tableColumn id="48" name="Suoritusrahoituksen muutos, €" totalsRowFunction="sum" dataDxfId="130" totalsRowDxfId="129">
      <calculatedColumnFormula>Vertailu[[#This Row],[Suoritusrahoitus 2023, €]]-Vertailu[[#This Row],[Suoritusrahoitus 2022, €]]</calculatedColumnFormula>
    </tableColumn>
    <tableColumn id="49" name="Suoritusrahoituksen muutos, %" totalsRowFunction="custom" dataDxfId="128" totalsRowDxfId="127" dataCellStyle="Prosenttia">
      <calculatedColumnFormula>IFERROR(Vertailu[[#This Row],[Suoritusrahoituksen muutos, €]]/Vertailu[[#This Row],[Suoritusrahoitus 2022, €]],0)</calculatedColumnFormula>
      <totalsRowFormula>IFERROR(Vertailu[[#Totals],[Suoritusrahoituksen muutos, €]]/Vertailu[[#Totals],[Suoritusrahoitus 2022, €]],0)</totalsRowFormula>
    </tableColumn>
    <tableColumn id="50" name="Vaikuttavuusrahoitus 2022, €" totalsRowFunction="sum" dataDxfId="126" totalsRowDxfId="125">
      <calculatedColumnFormula>IFERROR(VLOOKUP(Vertailu[[#This Row],[Y-tunnus]],'Suoritepäätös 2022 oikaistu'!$Q:$AC,COLUMN('Suoritepäätös 2022 oikaistu'!K:K),FALSE),0)</calculatedColumnFormula>
    </tableColumn>
    <tableColumn id="51" name="Vaikuttavuusrahoitus 2023, €" totalsRowFunction="sum" dataDxfId="124" totalsRowDxfId="123">
      <calculatedColumnFormula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calculatedColumnFormula>
    </tableColumn>
    <tableColumn id="52" name="Vaikuttavuusrahoituksen muutos, €" totalsRowFunction="sum" dataDxfId="122" totalsRowDxfId="121">
      <calculatedColumnFormula>Vertailu[[#This Row],[Vaikuttavuusrahoitus 2023, €]]-Vertailu[[#This Row],[Vaikuttavuusrahoitus 2022, €]]</calculatedColumnFormula>
    </tableColumn>
    <tableColumn id="53" name="Vaikuttavuusrahoituksen muutos, %" totalsRowFunction="custom" dataDxfId="120" totalsRowDxfId="119" dataCellStyle="Prosenttia">
      <calculatedColumnFormula>IFERROR(Vertailu[[#This Row],[Vaikuttavuusrahoituksen muutos, €]]/Vertailu[[#This Row],[Vaikuttavuusrahoitus 2022, €]],0)</calculatedColumnFormula>
      <totalsRowFormula>IFERROR(Vertailu[[#Totals],[Vaikuttavuusrahoituksen muutos, €]]/Vertailu[[#Totals],[Vaikuttavuusrahoitus 2022, €]],0)</totalsRowFormula>
    </tableColumn>
  </tableColumns>
  <tableStyleInfo showFirstColumn="0" showLastColumn="0" showRowStripes="0" showColumnStripes="0"/>
</table>
</file>

<file path=xl/tables/table3.xml><?xml version="1.0" encoding="utf-8"?>
<table xmlns="http://schemas.openxmlformats.org/spreadsheetml/2006/main" id="4" name="Maakunt." displayName="Maakunt." ref="A5:BF24" totalsRowCount="1" headerRowDxfId="118" dataDxfId="117" totalsRowDxfId="116">
  <autoFilter ref="A5:BF23"/>
  <tableColumns count="58">
    <tableColumn id="1" name="Maakunta" totalsRowLabel="Summa" dataDxfId="115" totalsRowDxfId="114"/>
    <tableColumn id="2" name="Järjestäjien kokonais-määrä" totalsRowFunction="sum" dataDxfId="113" totalsRowDxfId="112">
      <calculatedColumnFormula>COUNTIF(Ohj.lask.[Maakunta],Maakunt.[[#This Row],[Maakunta]])</calculatedColumnFormula>
    </tableColumn>
    <tableColumn id="50" name="Yksityinen" totalsRowFunction="sum" dataDxfId="111" totalsRowDxfId="110">
      <calculatedColumnFormula>COUNTIFS(Ohj.lask.[Maakunta],Maakunt.[[#This Row],[Maakunta]],Ohj.lask.[Omistajatyyppi],"=yksityinen")</calculatedColumnFormula>
    </tableColumn>
    <tableColumn id="3" name="Kunta" totalsRowFunction="sum" dataDxfId="109" totalsRowDxfId="108">
      <calculatedColumnFormula>COUNTIFS(Ohj.lask.[Maakunta],Maakunt.[[#This Row],[Maakunta]],Ohj.lask.[Omistajatyyppi],"=kunta")</calculatedColumnFormula>
    </tableColumn>
    <tableColumn id="4" name="Kunta-yhtymä" totalsRowFunction="sum" dataDxfId="107" totalsRowDxfId="106">
      <calculatedColumnFormula>COUNTIFS(Ohj.lask.[Maakunta],Maakunt.[[#This Row],[Maakunta]],Ohj.lask.[Omistajatyyppi],"=kuntayhtymä")</calculatedColumnFormula>
    </tableColumn>
    <tableColumn id="5" name="Järjestämisluvan opisk.vuosien vähimmäismäärä 2020" totalsRowFunction="sum" dataDxfId="105" totalsRowDxfId="104">
      <calculatedColumnFormula>SUMIF(Ohj.lask.[Maakunta],Maakunt.[[#This Row],[Maakunta]],Ohj.lask.[Järjestämisluvan opisk.vuosien vähimmäismäärä])</calculatedColumnFormula>
    </tableColumn>
    <tableColumn id="6" name="Suoritepäätöksellä 2020 jaetut opisk.vuodet (luvan ylittävä osuus)" totalsRowFunction="sum" dataDxfId="103" totalsRowDxfId="102">
      <calculatedColumnFormula>SUMIF(Ohj.lask.[Maakunta],Maakunt.[[#This Row],[Maakunta]],Ohj.lask.[Suoritepäätöksellä jaettavat opisk.vuodet (luvan ylittävä osuus)])</calculatedColumnFormula>
    </tableColumn>
    <tableColumn id="7" name="Tavoitteelliset opiske-lijavuodet" totalsRowFunction="sum" dataDxfId="101" totalsRowDxfId="100">
      <calculatedColumnFormula>SUMIF(Ohj.lask.[Maakunta],Maakunt.[[#This Row],[Maakunta]],Ohj.lask.[Tavoitteelliset opiskelija-vuodet])</calculatedColumnFormula>
    </tableColumn>
    <tableColumn id="8" name="Keskimääräinen profiilikerroin" totalsRowFunction="custom" dataDxfId="99" totalsRowDxfId="98">
      <calculatedColumnFormula>Maakunt.[[#This Row],[Painotetut opiskelija-vuodet]]/Maakunt.[[#This Row],[Tavoitteelliset opiske-lijavuodet]]</calculatedColumnFormula>
      <totalsRowFormula>Maakunt.[[#Totals],[Painotetut opiskelija-vuodet]]/Maakunt.[[#Totals],[Tavoitteelliset opiske-lijavuodet]]</totalsRowFormula>
    </tableColumn>
    <tableColumn id="9" name="Painotetut opiskelija-vuodet" totalsRowFunction="sum" dataDxfId="97" totalsRowDxfId="96">
      <calculatedColumnFormula>SUMIF(Ohj.lask.[Maakunta],Maakunt.[[#This Row],[Maakunta]],Ohj.lask.[Painotetut opiskelija-vuodet])</calculatedColumnFormula>
    </tableColumn>
    <tableColumn id="10" name="%-osuus 1" totalsRowFunction="sum" dataDxfId="95" totalsRowDxfId="94" dataCellStyle="Prosenttia">
      <calculatedColumnFormula>SUMIF(Ohj.lask.[Maakunta],Maakunt.[[#This Row],[Maakunta]],Ohj.lask.[%-osuus 1])</calculatedColumnFormula>
    </tableColumn>
    <tableColumn id="11" name="Jaettava € 1" totalsRowFunction="sum" dataDxfId="93" totalsRowDxfId="92">
      <calculatedColumnFormula>SUMIF(Ohj.lask.[Maakunta],Maakunt.[[#This Row],[Maakunta]],Ohj.lask.[Jaettava € 1])</calculatedColumnFormula>
    </tableColumn>
    <tableColumn id="12" name="Painotetut pisteet 2" totalsRowFunction="sum" dataDxfId="91" totalsRowDxfId="90">
      <calculatedColumnFormula>SUMIF(Ohj.lask.[Maakunta],Maakunt.[[#This Row],[Maakunta]],Ohj.lask.[Painotetut pisteet 2])</calculatedColumnFormula>
    </tableColumn>
    <tableColumn id="13" name="%-osuus 2" totalsRowFunction="sum" dataDxfId="89" totalsRowDxfId="88" dataCellStyle="Prosenttia">
      <calculatedColumnFormula>SUMIF(Ohj.lask.[Maakunta],Maakunt.[[#This Row],[Maakunta]],Ohj.lask.[%-osuus 2])</calculatedColumnFormula>
    </tableColumn>
    <tableColumn id="14" name="Jaettava € 2" totalsRowFunction="sum" dataDxfId="87" totalsRowDxfId="86">
      <calculatedColumnFormula>SUMIF(Ohj.lask.[Maakunta],Maakunt.[[#This Row],[Maakunta]],Ohj.lask.[Jaettava € 2])</calculatedColumnFormula>
    </tableColumn>
    <tableColumn id="15" name="Painotetut pisteet 3" totalsRowFunction="sum" dataDxfId="85" totalsRowDxfId="84">
      <calculatedColumnFormula>SUMIF(Ohj.lask.[Maakunta],Maakunt.[[#This Row],[Maakunta]],Ohj.lask.[Painotetut pisteet 3])</calculatedColumnFormula>
    </tableColumn>
    <tableColumn id="16" name="%-osuus 3" totalsRowFunction="sum" dataDxfId="83" totalsRowDxfId="82" dataCellStyle="Prosenttia">
      <calculatedColumnFormula>SUMIF(Ohj.lask.[Maakunta],Maakunt.[[#This Row],[Maakunta]],Ohj.lask.[%-osuus 3])</calculatedColumnFormula>
    </tableColumn>
    <tableColumn id="17" name="Jaettava € 3" totalsRowFunction="sum" dataDxfId="81" totalsRowDxfId="80">
      <calculatedColumnFormula>SUMIF(Ohj.lask.[Maakunta],Maakunt.[[#This Row],[Maakunta]],Ohj.lask.[Jaettava € 3])</calculatedColumnFormula>
    </tableColumn>
    <tableColumn id="18" name="Painotetut pisteet 4" totalsRowFunction="sum" dataDxfId="79" totalsRowDxfId="78">
      <calculatedColumnFormula>SUMIF(Ohj.lask.[Maakunta],Maakunt.[[#This Row],[Maakunta]],Ohj.lask.[Painotetut pisteet 4])</calculatedColumnFormula>
    </tableColumn>
    <tableColumn id="19" name="%-osuus 4" totalsRowFunction="sum" dataDxfId="77" totalsRowDxfId="76" dataCellStyle="Prosenttia">
      <calculatedColumnFormula>SUMIF(Ohj.lask.[Maakunta],Maakunt.[[#This Row],[Maakunta]],Ohj.lask.[%-osuus 4])</calculatedColumnFormula>
    </tableColumn>
    <tableColumn id="20" name="Jaettava € 4" totalsRowFunction="sum" dataDxfId="75" totalsRowDxfId="74">
      <calculatedColumnFormula>SUMIF(Ohj.lask.[Maakunta],Maakunt.[[#This Row],[Maakunta]],Ohj.lask.[Jaettava € 4])</calculatedColumnFormula>
    </tableColumn>
    <tableColumn id="21" name="Painotetut pisteet 5" totalsRowFunction="sum" dataDxfId="73" totalsRowDxfId="72">
      <calculatedColumnFormula>SUMIF(Ohj.lask.[Maakunta],Maakunt.[[#This Row],[Maakunta]],Ohj.lask.[Painotetut pisteet 5])</calculatedColumnFormula>
    </tableColumn>
    <tableColumn id="22" name="%-osuus 5" totalsRowFunction="sum" dataDxfId="71" totalsRowDxfId="70" dataCellStyle="Prosenttia">
      <calculatedColumnFormula>SUMIF(Ohj.lask.[Maakunta],Maakunt.[[#This Row],[Maakunta]],Ohj.lask.[%-osuus 5])</calculatedColumnFormula>
    </tableColumn>
    <tableColumn id="23" name="Jaettava € 5" totalsRowFunction="sum" dataDxfId="69" totalsRowDxfId="68">
      <calculatedColumnFormula>SUMIF(Ohj.lask.[Maakunta],Maakunt.[[#This Row],[Maakunta]],Ohj.lask.[Jaettava € 5])</calculatedColumnFormula>
    </tableColumn>
    <tableColumn id="65" name="Painotetut pisteet 6" totalsRowFunction="sum" dataDxfId="67" totalsRowDxfId="66">
      <calculatedColumnFormula>SUMIF(Ohj.lask.[Maakunta],Maakunt.[[#This Row],[Maakunta]],Ohj.lask.[Painotetut pisteet 6])</calculatedColumnFormula>
    </tableColumn>
    <tableColumn id="64" name="%-osuus 6" totalsRowFunction="sum" dataDxfId="65" totalsRowDxfId="64" dataCellStyle="Prosenttia">
      <calculatedColumnFormula>SUMIF(Ohj.lask.[Maakunta],Maakunt.[[#This Row],[Maakunta]],Ohj.lask.[%-osuus 6])</calculatedColumnFormula>
    </tableColumn>
    <tableColumn id="63" name="Jaettava € 6" totalsRowFunction="sum" dataDxfId="63" totalsRowDxfId="62">
      <calculatedColumnFormula>SUMIF(Ohj.lask.[Maakunta],Maakunt.[[#This Row],[Maakunta]],Ohj.lask.[Jaettava € 6])</calculatedColumnFormula>
    </tableColumn>
    <tableColumn id="62" name="Pisteet 7" totalsRowFunction="sum" dataDxfId="61" totalsRowDxfId="60">
      <calculatedColumnFormula>SUMIF(Ohj.lask.[Maakunta],Maakunt.[[#This Row],[Maakunta]],Ohj.lask.[Pisteet 7])</calculatedColumnFormula>
    </tableColumn>
    <tableColumn id="56" name="%-osuus 7" totalsRowFunction="sum" dataDxfId="59" totalsRowDxfId="58" dataCellStyle="Prosenttia">
      <calculatedColumnFormula>SUMIF(Ohj.lask.[Maakunta],Maakunt.[[#This Row],[Maakunta]],Ohj.lask.[%-osuus 7])</calculatedColumnFormula>
    </tableColumn>
    <tableColumn id="38" name="Jaettava € 7" totalsRowFunction="sum" dataDxfId="57" totalsRowDxfId="56">
      <calculatedColumnFormula>SUMIF(Ohj.lask.[Maakunta],Maakunt.[[#This Row],[Maakunta]],Ohj.lask.[Jaettava € 7])</calculatedColumnFormula>
    </tableColumn>
    <tableColumn id="24" name="%-osuus 8" totalsRowFunction="sum" dataDxfId="55" totalsRowDxfId="54" dataCellStyle="Prosenttia">
      <calculatedColumnFormula>SUMIF(Ohj.lask.[Maakunta],Maakunt.[[#This Row],[Maakunta]],Ohj.lask.[%-osuus 8])</calculatedColumnFormula>
    </tableColumn>
    <tableColumn id="25" name="Jaettava € 8" totalsRowFunction="sum" dataDxfId="53" totalsRowDxfId="52">
      <calculatedColumnFormula>SUMIF(Ohj.lask.[Maakunta],Maakunt.[[#This Row],[Maakunta]],Ohj.lask.[Jaettava € 8])</calculatedColumnFormula>
    </tableColumn>
    <tableColumn id="27" name="Harkinnanvarainen korotus 1, €" totalsRowFunction="sum" dataDxfId="51" totalsRowDxfId="50">
      <calculatedColumnFormula>SUMIF(Ohj.lask.[Maakunta],Maakunt.[[#This Row],[Maakunta]],Ohj.lask.[Harkinnanvarainen korotus 1, €])</calculatedColumnFormula>
    </tableColumn>
    <tableColumn id="29" name="Harkinnanvarainen korotus 2, €" totalsRowFunction="sum" dataDxfId="49" totalsRowDxfId="48">
      <calculatedColumnFormula>SUMIF(Ohj.lask.[Maakunta],Maakunt.[[#This Row],[Maakunta]],Ohj.lask.[Harkinnanvarainen korotus 2, €])</calculatedColumnFormula>
    </tableColumn>
    <tableColumn id="31" name="Harkinnanvarainen korotus 3, €" totalsRowFunction="sum" dataDxfId="47" totalsRowDxfId="46">
      <calculatedColumnFormula>SUMIF(Ohj.lask.[Maakunta],Maakunt.[[#This Row],[Maakunta]],Ohj.lask.[Harkinnanvarainen korotus 3, €])</calculatedColumnFormula>
    </tableColumn>
    <tableColumn id="33" name="Harkinnanvarainen korotus 4, €" totalsRowFunction="sum" dataDxfId="45" totalsRowDxfId="44">
      <calculatedColumnFormula>SUMIF(Ohj.lask.[Maakunta],Maakunt.[[#This Row],[Maakunta]],Ohj.lask.[Harkinnanvarainen korotus 4, €])</calculatedColumnFormula>
    </tableColumn>
    <tableColumn id="51" name="Harkinnanvarainen korotus 5, €" totalsRowFunction="sum" dataDxfId="43" totalsRowDxfId="42">
      <calculatedColumnFormula>SUMIF(Ohj.lask.[Maakunta],Maakunt.[[#This Row],[Maakunta]],Ohj.lask.[Harkinnanvarainen korotus 5, €])</calculatedColumnFormula>
    </tableColumn>
    <tableColumn id="61" name="Harkinnanvarainen korotus 6, €" totalsRowFunction="sum" dataDxfId="41" totalsRowDxfId="40">
      <calculatedColumnFormula>SUMIF(Ohj.lask.[Maakunta],Maakunt.[[#This Row],[Maakunta]],Ohj.lask.[Harkinnanvarainen korotus 6, €])</calculatedColumnFormula>
    </tableColumn>
    <tableColumn id="60" name="Harkinnanvarainen korotus 7, €" totalsRowFunction="sum" dataDxfId="39" totalsRowDxfId="38">
      <calculatedColumnFormula>SUMIF(Ohj.lask.[Maakunta],Maakunt.[[#This Row],[Maakunta]],Ohj.lask.[Harkinnanvarainen korotus 7, €])</calculatedColumnFormula>
    </tableColumn>
    <tableColumn id="45" name="Harkinnanvarainen korotus 8, €" totalsRowFunction="sum" dataDxfId="37" totalsRowDxfId="36">
      <calculatedColumnFormula>SUMIF(Ohj.lask.[Maakunta],Maakunt.[[#This Row],[Maakunta]],#REF!)</calculatedColumnFormula>
    </tableColumn>
    <tableColumn id="35" name="Harkinnanvarainen korotus 9, €" totalsRowFunction="sum" dataDxfId="35" totalsRowDxfId="34">
      <calculatedColumnFormula>SUM(Maakunt.[[#This Row],[Harkinnanvarainen korotus 8, €]],Maakunt.[[#This Row],[Harkinnanvarainen korotus 7, €]],Maakunt.[[#This Row],[Harkinnanvarainen korotus 6, €]],Maakunt.[[#This Row],[Harkinnanvarainen korotus 5, €]],Maakunt.[[#This Row],[Harkinnanvarainen korotus 4, €]],Maakunt.[[#This Row],[Harkinnanvarainen korotus 3, €]],Maakunt.[[#This Row],[Harkinnanvarainen korotus 2, €]],Maakunt.[[#This Row],[Harkinnanvarainen korotus 1, €]])</calculatedColumnFormula>
    </tableColumn>
    <tableColumn id="36" name="Suoriteperusteinen (opiskelijavuosiin perustuva) sekä harkinnanvarainen korotus, €" totalsRowFunction="sum" dataDxfId="33" totalsRowDxfId="32">
      <calculatedColumnFormula>SUMIF(Ohj.lask.[Maakunta],Maakunt.[[#This Row],[Maakunta]],Ohj.lask.[Suoriteperusteinen (opiskelijavuosiin perustuva) sekä harkinnanvarainen korotus, €])</calculatedColumnFormula>
    </tableColumn>
    <tableColumn id="54" name="Suoritusrahoitus, €" totalsRowFunction="sum" dataDxfId="31" totalsRowDxfId="30">
      <calculatedColumnFormula>SUMIF(Ohj.lask.[Maakunta],Maakunt.[[#This Row],[Maakunta]],Ohj.lask.[Suoritusrahoitus, €])</calculatedColumnFormula>
    </tableColumn>
    <tableColumn id="53" name="Työllistymiseen ja jatko-opintoihin siirtymiseen, opiskelijapalautteiseen sekä työelämäpalautteeseen perustuva, €" totalsRowFunction="sum" dataDxfId="29" totalsRowDxfId="28">
      <calculatedColumnFormula>SUMIF(Ohj.lask.[Maakunta],Maakunt.[[#This Row],[Maakunta]],Ohj.lask.[Työllistymiseen ja jatko-opintoihin siirtymiseen, opiskelijapalautteiseen sekä työelämäpalautteeseen perustuva, €])</calculatedColumnFormula>
    </tableColumn>
    <tableColumn id="37" name="Perus-, suoritus- ja vaikuttavuusrahoitus yhteensä, €" totalsRowFunction="sum" dataDxfId="27" totalsRowDxfId="26">
      <calculatedColumnFormula>SUMIF(Ohj.lask.[Maakunta],Maakunt.[[#This Row],[Maakunta]],Ohj.lask.[Perus-, suoritus- ja vaikuttavuusrahoitus yhteensä, €])</calculatedColumnFormula>
    </tableColumn>
    <tableColumn id="57" name="Suorite-perusteinen perusrahoitus (pl. hark. kor.)" totalsRowFunction="custom" dataDxfId="25" totalsRowDxfId="24" dataCellStyle="Prosenttia">
      <calculatedColumnFormula>Maakunt.[[#This Row],[Jaettava € 1]]/Maakunt.[[#This Row],[Perus-, suoritus- ja vaikuttavuusrahoitus yhteensä, €]]</calculatedColumnFormula>
      <totalsRowFormula>Maakunt.[[#Totals],[Jaettava € 1]]/Maakunt.[[#Totals],[Perus-, suoritus- ja vaikuttavuusrahoitus yhteensä, €]]</totalsRowFormula>
    </tableColumn>
    <tableColumn id="39" name="Perusrahoitus yhteensä (ml. hark. kor.)" totalsRowFunction="custom" dataDxfId="23" totalsRowDxfId="22" dataCellStyle="Prosenttia">
      <calculatedColumnFormula>Maakunt.[[#This Row],[Suoriteperusteinen (opiskelijavuosiin perustuva) sekä harkinnanvarainen korotus, €]]/Maakunt.[[#This Row],[Perus-, suoritus- ja vaikuttavuusrahoitus yhteensä, €]]</calculatedColumnFormula>
      <totalsRowFormula>Maakunt.[[#Totals],[Suoriteperusteinen (opiskelijavuosiin perustuva) sekä harkinnanvarainen korotus, €]]/Maakunt.[[#Totals],[Perus-, suoritus- ja vaikuttavuusrahoitus yhteensä, €]]</totalsRowFormula>
    </tableColumn>
    <tableColumn id="40" name="Suoritus-rahoitus" totalsRowFunction="custom" dataDxfId="21" totalsRowDxfId="20" dataCellStyle="Prosenttia">
      <calculatedColumnFormula>Maakunt.[[#This Row],[Suoritusrahoitus, €]]/Maakunt.[[#This Row],[Perus-, suoritus- ja vaikuttavuusrahoitus yhteensä, €]]</calculatedColumnFormula>
      <totalsRowFormula>Maakunt.[[#Totals],[Suoritusrahoitus, €]]/Maakunt.[[#Totals],[Perus-, suoritus- ja vaikuttavuusrahoitus yhteensä, €]]</totalsRowFormula>
    </tableColumn>
    <tableColumn id="41" name="Vaikuttavuus-rahoitus yhteensä" totalsRowFunction="custom" dataDxfId="19" totalsRowDxfId="18" dataCellStyle="Prosenttia">
      <calculatedColumnFormula>Maakunt.[[#This Row],[Työllistymiseen ja jatko-opintoihin siirtymiseen, opiskelijapalautteiseen sekä työelämäpalautteeseen perustuva, €]]/Maakunt.[[#This Row],[Perus-, suoritus- ja vaikuttavuusrahoitus yhteensä, €]]</calculatedColumnFormula>
      <totalsRowFormula>Maakunt.[[#Totals],[Työllistymiseen ja jatko-opintoihin siirtymiseen, opiskelijapalautteiseen sekä työelämäpalautteeseen perustuva, €]]/Maakunt.[[#Totals],[Perus-, suoritus- ja vaikuttavuusrahoitus yhteensä, €]]</totalsRowFormula>
    </tableColumn>
    <tableColumn id="42" name="-josta työllistyneet ja jatko-opiskelijat" totalsRowFunction="custom" dataDxfId="17" totalsRowDxfId="16" dataCellStyle="Prosenttia">
      <calculatedColumnFormula>SUMIF(Ohj.lask.[Maakunta],Maakunt.[[#This Row],[Maakunta]],Ohj.lask.[Jaettava € 3])/Maakunt.[[#This Row],[Perus-, suoritus- ja vaikuttavuusrahoitus yhteensä, €]]</calculatedColumnFormula>
      <totalsRowFormula>Ohj.lask.[[#Totals],[Jaettava € 3]]/Ohj.lask.[[#Totals],[Perus-, suoritus- ja vaikuttavuusrahoitus yhteensä, €]]</totalsRowFormula>
    </tableColumn>
    <tableColumn id="43" name="-josta aloittaneet opiskelija-palaute" totalsRowFunction="custom" dataDxfId="15" totalsRowDxfId="14" dataCellStyle="Prosenttia">
      <calculatedColumnFormula>SUMIF(Ohj.lask.[Maakunta],Maakunt.[[#This Row],[Maakunta]],Ohj.lask.[Jaettava € 4])/Maakunt.[[#This Row],[Perus-, suoritus- ja vaikuttavuusrahoitus yhteensä, €]]</calculatedColumnFormula>
      <totalsRowFormula>Ohj.lask.[[#Totals],[Jaettava € 4]]/Ohj.lask.[[#Totals],[Perus-, suoritus- ja vaikuttavuusrahoitus yhteensä, €]]</totalsRowFormula>
    </tableColumn>
    <tableColumn id="44" name="-josta päättäneet opiskelija-palaute" totalsRowFunction="custom" dataDxfId="13" totalsRowDxfId="12" dataCellStyle="Prosenttia">
      <calculatedColumnFormula>SUMIF(Ohj.lask.[Maakunta],Maakunt.[[#This Row],[Maakunta]],Ohj.lask.[Jaettava € 5])/Maakunt.[[#This Row],[Perus-, suoritus- ja vaikuttavuusrahoitus yhteensä, €]]</calculatedColumnFormula>
      <totalsRowFormula>Ohj.lask.[[#Totals],[Jaettava € 5]]/Ohj.lask.[[#Totals],[Perus-, suoritus- ja vaikuttavuusrahoitus yhteensä, €]]</totalsRowFormula>
    </tableColumn>
    <tableColumn id="67" name="-josta työpaikka-ohjaajakysely" totalsRowFunction="custom" dataDxfId="11" totalsRowDxfId="10" dataCellStyle="Prosenttia">
      <calculatedColumnFormula>SUMIF(Ohj.lask.[Maakunta],Maakunt.[[#This Row],[Maakunta]],Ohj.lask.[Jaettava € 6])/Maakunt.[[#This Row],[Perus-, suoritus- ja vaikuttavuusrahoitus yhteensä, €]]</calculatedColumnFormula>
      <totalsRowFormula>Ohj.lask.[[#Totals],[Jaettava € 6]]/Ohj.lask.[[#Totals],[Perus-, suoritus- ja vaikuttavuusrahoitus yhteensä, €]]</totalsRowFormula>
    </tableColumn>
    <tableColumn id="66" name="-josta työpaikka-kysely" totalsRowFunction="custom" dataDxfId="9" totalsRowDxfId="8" dataCellStyle="Prosenttia">
      <calculatedColumnFormula>SUMIF(Ohj.lask.[Maakunta],Maakunt.[[#This Row],[Maakunta]],Ohj.lask.[Jaettava € 7])/Maakunt.[[#This Row],[Perus-, suoritus- ja vaikuttavuusrahoitus yhteensä, €]]</calculatedColumnFormula>
      <totalsRowFormula>Ohj.lask.[[#Totals],[Jaettava € 7]]/Ohj.lask.[[#Totals],[Perus-, suoritus- ja vaikuttavuusrahoitus yhteensä, €]]</totalsRowFormula>
    </tableColumn>
    <tableColumn id="46" name="Rahoitus ml. hark. kor. _x000a_2022 ilman alv, €" totalsRowFunction="sum" dataDxfId="7" totalsRowDxfId="6">
      <calculatedColumnFormula>SUMIF(Vertailu[Maakunta],Maakunt.[[#This Row],[Maakunta]],Vertailu[Rahoitus ml. hark. kor. 
2022 ilman alv, €])</calculatedColumnFormula>
    </tableColumn>
    <tableColumn id="55" name="Rahoitus ml. hark. kor. _x000a_2023 ilman alv, €" totalsRowFunction="sum" dataDxfId="5" totalsRowDxfId="4">
      <calculatedColumnFormula>SUMIF(Vertailu[Maakunta],Maakunt.[[#This Row],[Maakunta]],Vertailu[Rahoitus ml. hark. kor. 
2023 ilman alv, €])</calculatedColumnFormula>
    </tableColumn>
    <tableColumn id="48" name="Muutos, €" totalsRowFunction="sum" dataDxfId="3" totalsRowDxfId="2">
      <calculatedColumnFormula>SUMIF(Vertailu[Maakunta],Maakunt.[[#This Row],[Maakunta]],Vertailu[Muutos, € 2])</calculatedColumnFormula>
    </tableColumn>
    <tableColumn id="49" name="Muutos, %" totalsRowFunction="custom" dataDxfId="1" totalsRowDxfId="0" dataCellStyle="Prosenttia">
      <calculatedColumnFormula>IFERROR(Maakunt.[[#This Row],[Muutos, €]]/Maakunt.[[#This Row],[Rahoitus ml. hark. kor. 
2022 ilman alv, €]],0)</calculatedColumnFormula>
      <totalsRowFormula>IFERROR(Maakunt.[[#Totals],[Muutos, €]]/Maakunt.[[#Totals],[Rahoitus ml. hark. kor. 
2022 ilman alv, €]],0)</totalsRow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vipunen.fi/fi-fi/_layouts/15/xlviewer.aspx?id=/fi-fi/Raportit/Koski%20tutkinnot%20ja%20tutkinnon%20osat%20painotetut.xlsb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vipunen.fi/fi-fi/_layouts/15/xlviewer.aspx?id=/fi-fi/Raportit/Ammatillinen%20koulutus%20-%20opiskelijapalaute%20-%20rahoitusmalli%20-%20aloituskysely.xls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ColWidth="8.7265625" defaultRowHeight="14.5" x14ac:dyDescent="0.35"/>
  <cols>
    <col min="1" max="19" width="8.7265625" style="163"/>
    <col min="20" max="20" width="9.26953125" style="163" customWidth="1"/>
    <col min="21" max="16384" width="8.7265625" style="163"/>
  </cols>
  <sheetData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8">
    <tabColor theme="9" tint="0.59999389629810485"/>
  </sheetPr>
  <dimension ref="A1:AA140"/>
  <sheetViews>
    <sheetView zoomScale="90" zoomScaleNormal="90" workbookViewId="0">
      <pane xSplit="2" ySplit="5" topLeftCell="C114" activePane="bottomRight" state="frozen"/>
      <selection pane="topRight" activeCell="C1" sqref="C1"/>
      <selection pane="bottomLeft" activeCell="A7" sqref="A7"/>
      <selection pane="bottomRight" activeCell="A2" sqref="A2"/>
    </sheetView>
  </sheetViews>
  <sheetFormatPr defaultRowHeight="14.5" x14ac:dyDescent="0.35"/>
  <cols>
    <col min="1" max="1" width="12.26953125" customWidth="1"/>
    <col min="2" max="2" width="38" customWidth="1"/>
    <col min="3" max="26" width="17.453125" style="163" customWidth="1"/>
  </cols>
  <sheetData>
    <row r="1" spans="1:27" ht="19.5" x14ac:dyDescent="0.45">
      <c r="A1" s="3" t="s">
        <v>596</v>
      </c>
      <c r="B1" s="3"/>
    </row>
    <row r="2" spans="1:27" ht="15" customHeight="1" x14ac:dyDescent="0.35">
      <c r="A2" s="9" t="s">
        <v>593</v>
      </c>
      <c r="B2" s="1"/>
      <c r="C2" s="146"/>
      <c r="D2" s="2"/>
      <c r="E2" s="2"/>
      <c r="F2" s="2"/>
      <c r="G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7" ht="15" customHeight="1" x14ac:dyDescent="0.35">
      <c r="A3" s="147"/>
      <c r="B3" s="111"/>
      <c r="C3" s="149" t="s">
        <v>12</v>
      </c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</row>
    <row r="4" spans="1:27" ht="15" customHeight="1" x14ac:dyDescent="0.35">
      <c r="A4" s="148"/>
      <c r="B4" s="112"/>
      <c r="C4" s="309" t="s">
        <v>129</v>
      </c>
      <c r="D4" s="309"/>
      <c r="E4" s="309"/>
      <c r="F4" s="309"/>
      <c r="G4" s="309"/>
      <c r="H4" s="309"/>
      <c r="I4" s="309"/>
      <c r="J4" s="309"/>
      <c r="K4" s="309" t="s">
        <v>130</v>
      </c>
      <c r="L4" s="309"/>
      <c r="M4" s="309"/>
      <c r="N4" s="309"/>
      <c r="O4" s="309"/>
      <c r="P4" s="309"/>
      <c r="Q4" s="309"/>
      <c r="R4" s="309"/>
      <c r="S4" s="309" t="s">
        <v>426</v>
      </c>
      <c r="T4" s="309" t="s">
        <v>427</v>
      </c>
      <c r="U4" s="309" t="s">
        <v>428</v>
      </c>
      <c r="V4" s="309" t="s">
        <v>467</v>
      </c>
      <c r="W4" s="309" t="s">
        <v>429</v>
      </c>
      <c r="X4" s="309" t="s">
        <v>430</v>
      </c>
      <c r="Y4" s="309" t="s">
        <v>468</v>
      </c>
      <c r="Z4" s="309" t="s">
        <v>469</v>
      </c>
    </row>
    <row r="5" spans="1:27" ht="24" customHeight="1" x14ac:dyDescent="0.35">
      <c r="A5" s="126" t="s">
        <v>12</v>
      </c>
      <c r="B5" s="113"/>
      <c r="C5" s="126" t="s">
        <v>418</v>
      </c>
      <c r="D5" s="126" t="s">
        <v>419</v>
      </c>
      <c r="E5" s="126" t="s">
        <v>420</v>
      </c>
      <c r="F5" s="126" t="s">
        <v>421</v>
      </c>
      <c r="G5" s="126" t="s">
        <v>422</v>
      </c>
      <c r="H5" s="126" t="s">
        <v>423</v>
      </c>
      <c r="I5" s="126" t="s">
        <v>424</v>
      </c>
      <c r="J5" s="126" t="s">
        <v>425</v>
      </c>
      <c r="K5" s="126" t="s">
        <v>418</v>
      </c>
      <c r="L5" s="126" t="s">
        <v>419</v>
      </c>
      <c r="M5" s="126" t="s">
        <v>420</v>
      </c>
      <c r="N5" s="126" t="s">
        <v>421</v>
      </c>
      <c r="O5" s="126" t="s">
        <v>422</v>
      </c>
      <c r="P5" s="126" t="s">
        <v>423</v>
      </c>
      <c r="Q5" s="126" t="s">
        <v>424</v>
      </c>
      <c r="R5" s="126" t="s">
        <v>425</v>
      </c>
      <c r="S5" s="309"/>
      <c r="T5" s="309"/>
      <c r="U5" s="309"/>
      <c r="V5" s="309"/>
      <c r="W5" s="309"/>
      <c r="X5" s="309"/>
      <c r="Y5" s="309"/>
      <c r="Z5" s="309"/>
    </row>
    <row r="6" spans="1:27" x14ac:dyDescent="0.35">
      <c r="A6" s="162" t="s">
        <v>289</v>
      </c>
      <c r="B6" s="110" t="s">
        <v>49</v>
      </c>
      <c r="C6" s="185">
        <v>24</v>
      </c>
      <c r="D6" s="185">
        <v>12</v>
      </c>
      <c r="E6" s="197">
        <v>0.5</v>
      </c>
      <c r="F6" s="198">
        <v>1.8365714285714285</v>
      </c>
      <c r="G6" s="198">
        <v>3.4652773333333342</v>
      </c>
      <c r="H6" s="185">
        <v>499</v>
      </c>
      <c r="I6" s="185">
        <v>2749.3474285714283</v>
      </c>
      <c r="J6" s="195">
        <v>3.0831363817813593E-4</v>
      </c>
      <c r="K6" s="201"/>
      <c r="L6" s="201"/>
      <c r="M6" s="201"/>
      <c r="N6" s="201"/>
      <c r="O6" s="201"/>
      <c r="P6" s="201"/>
      <c r="Q6" s="201"/>
      <c r="R6" s="201"/>
      <c r="S6" s="185">
        <v>24</v>
      </c>
      <c r="T6" s="185">
        <v>12</v>
      </c>
      <c r="U6" s="197">
        <v>0.5</v>
      </c>
      <c r="V6" s="198">
        <v>1.8365714285714285</v>
      </c>
      <c r="W6" s="198">
        <v>3.4652773333333342</v>
      </c>
      <c r="X6" s="185">
        <v>499</v>
      </c>
      <c r="Y6" s="185">
        <v>2749.3474285714283</v>
      </c>
      <c r="Z6" s="195">
        <v>2.8891367723589054E-4</v>
      </c>
      <c r="AA6" s="206"/>
    </row>
    <row r="7" spans="1:27" x14ac:dyDescent="0.35">
      <c r="A7" s="162" t="s">
        <v>223</v>
      </c>
      <c r="B7" s="110" t="s">
        <v>103</v>
      </c>
      <c r="C7" s="185">
        <v>13</v>
      </c>
      <c r="D7" s="185">
        <v>2</v>
      </c>
      <c r="E7" s="197">
        <v>0.15384615384615385</v>
      </c>
      <c r="F7" s="198">
        <v>2.4485709999999998</v>
      </c>
      <c r="G7" s="198">
        <v>3.5833333333333335</v>
      </c>
      <c r="H7" s="185">
        <v>86</v>
      </c>
      <c r="I7" s="185">
        <v>631.73131799999999</v>
      </c>
      <c r="J7" s="195">
        <v>7.0842767625353524E-5</v>
      </c>
      <c r="K7" s="201"/>
      <c r="L7" s="201"/>
      <c r="M7" s="201"/>
      <c r="N7" s="201"/>
      <c r="O7" s="201"/>
      <c r="P7" s="201"/>
      <c r="Q7" s="201"/>
      <c r="R7" s="201"/>
      <c r="S7" s="185">
        <v>13</v>
      </c>
      <c r="T7" s="185">
        <v>2</v>
      </c>
      <c r="U7" s="197">
        <v>0.15384615384615385</v>
      </c>
      <c r="V7" s="198">
        <v>2.4485709999999998</v>
      </c>
      <c r="W7" s="198">
        <v>3.5833333333333335</v>
      </c>
      <c r="X7" s="185">
        <v>86</v>
      </c>
      <c r="Y7" s="185">
        <v>631.73131799999999</v>
      </c>
      <c r="Z7" s="195">
        <v>6.63851415109409E-5</v>
      </c>
      <c r="AA7" s="206"/>
    </row>
    <row r="8" spans="1:27" x14ac:dyDescent="0.35">
      <c r="A8" s="162" t="s">
        <v>191</v>
      </c>
      <c r="B8" s="110" t="s">
        <v>125</v>
      </c>
      <c r="C8" s="185">
        <v>957</v>
      </c>
      <c r="D8" s="185">
        <v>314</v>
      </c>
      <c r="E8" s="197">
        <v>0.32810867293625912</v>
      </c>
      <c r="F8" s="198">
        <v>2.1872297357814601</v>
      </c>
      <c r="G8" s="198">
        <v>4.191798416666666</v>
      </c>
      <c r="H8" s="185">
        <v>15845</v>
      </c>
      <c r="I8" s="185">
        <v>103969.9654903717</v>
      </c>
      <c r="J8" s="195">
        <v>1.1659260662537594E-2</v>
      </c>
      <c r="K8" s="185">
        <v>486</v>
      </c>
      <c r="L8" s="185">
        <v>106</v>
      </c>
      <c r="M8" s="197">
        <v>0.21810699588477367</v>
      </c>
      <c r="N8" s="198">
        <v>2.4116331569664902</v>
      </c>
      <c r="O8" s="198">
        <v>4.2963830833333327</v>
      </c>
      <c r="P8" s="185">
        <v>5465</v>
      </c>
      <c r="Q8" s="185">
        <v>13179.575202821869</v>
      </c>
      <c r="R8" s="195">
        <v>2.2010594397576071E-2</v>
      </c>
      <c r="S8" s="185">
        <v>1443</v>
      </c>
      <c r="T8" s="185">
        <v>420</v>
      </c>
      <c r="U8" s="197">
        <v>0.29106029106029108</v>
      </c>
      <c r="V8" s="198">
        <v>2.2994314463739753</v>
      </c>
      <c r="W8" s="198">
        <v>4.2181935944444442</v>
      </c>
      <c r="X8" s="185">
        <v>21310</v>
      </c>
      <c r="Y8" s="185">
        <v>117149.54069319357</v>
      </c>
      <c r="Z8" s="195">
        <v>1.2310595684064826E-2</v>
      </c>
      <c r="AA8" s="206"/>
    </row>
    <row r="9" spans="1:27" x14ac:dyDescent="0.35">
      <c r="A9" s="162" t="s">
        <v>231</v>
      </c>
      <c r="B9" s="110" t="s">
        <v>97</v>
      </c>
      <c r="C9" s="185">
        <v>712</v>
      </c>
      <c r="D9" s="185">
        <v>387</v>
      </c>
      <c r="E9" s="197">
        <v>0.5435393258426966</v>
      </c>
      <c r="F9" s="198">
        <v>1.7477512038523275</v>
      </c>
      <c r="G9" s="198">
        <v>4.2484960833333325</v>
      </c>
      <c r="H9" s="185">
        <v>19781</v>
      </c>
      <c r="I9" s="185">
        <v>103716.79969020867</v>
      </c>
      <c r="J9" s="195">
        <v>1.1630870482344506E-2</v>
      </c>
      <c r="K9" s="185">
        <v>200</v>
      </c>
      <c r="L9" s="185">
        <v>58</v>
      </c>
      <c r="M9" s="197">
        <v>0.28999999999999998</v>
      </c>
      <c r="N9" s="198">
        <v>2.2649714285714286</v>
      </c>
      <c r="O9" s="198">
        <v>4.2931029999999994</v>
      </c>
      <c r="P9" s="185">
        <v>2988</v>
      </c>
      <c r="Q9" s="185">
        <v>6767.7346285714284</v>
      </c>
      <c r="R9" s="195">
        <v>1.1302478236781238E-2</v>
      </c>
      <c r="S9" s="185">
        <v>912</v>
      </c>
      <c r="T9" s="185">
        <v>445</v>
      </c>
      <c r="U9" s="197">
        <v>0.48793859649122806</v>
      </c>
      <c r="V9" s="198">
        <v>2.0063613162118781</v>
      </c>
      <c r="W9" s="198">
        <v>4.254310018539325</v>
      </c>
      <c r="X9" s="185">
        <v>22769</v>
      </c>
      <c r="Y9" s="185">
        <v>110484.5343187801</v>
      </c>
      <c r="Z9" s="195">
        <v>1.1610207118974309E-2</v>
      </c>
      <c r="AA9" s="206"/>
    </row>
    <row r="10" spans="1:27" x14ac:dyDescent="0.35">
      <c r="A10" s="162" t="s">
        <v>204</v>
      </c>
      <c r="B10" s="110" t="s">
        <v>116</v>
      </c>
      <c r="C10" s="185">
        <v>555</v>
      </c>
      <c r="D10" s="185">
        <v>265</v>
      </c>
      <c r="E10" s="197">
        <v>0.47747747747747749</v>
      </c>
      <c r="F10" s="198">
        <v>1.8825173745173747</v>
      </c>
      <c r="G10" s="198">
        <v>4.1334581666666654</v>
      </c>
      <c r="H10" s="185">
        <v>13194</v>
      </c>
      <c r="I10" s="185">
        <v>74513.802718146719</v>
      </c>
      <c r="J10" s="195">
        <v>8.3560270963851501E-3</v>
      </c>
      <c r="K10" s="185">
        <v>412</v>
      </c>
      <c r="L10" s="185">
        <v>107</v>
      </c>
      <c r="M10" s="197">
        <v>0.25970873786407767</v>
      </c>
      <c r="N10" s="198">
        <v>2.3267656033287101</v>
      </c>
      <c r="O10" s="198">
        <v>4.0950150000000001</v>
      </c>
      <c r="P10" s="185">
        <v>5258</v>
      </c>
      <c r="Q10" s="185">
        <v>12234.133542302357</v>
      </c>
      <c r="R10" s="195">
        <v>2.0431656336521553E-2</v>
      </c>
      <c r="S10" s="185">
        <v>967</v>
      </c>
      <c r="T10" s="185">
        <v>372</v>
      </c>
      <c r="U10" s="197">
        <v>0.38469493278179939</v>
      </c>
      <c r="V10" s="198">
        <v>2.1046414889230425</v>
      </c>
      <c r="W10" s="198">
        <v>4.1224005891577056</v>
      </c>
      <c r="X10" s="185">
        <v>18452</v>
      </c>
      <c r="Y10" s="185">
        <v>86747.936260449074</v>
      </c>
      <c r="Z10" s="195">
        <v>9.1158596389739107E-3</v>
      </c>
      <c r="AA10" s="206"/>
    </row>
    <row r="11" spans="1:27" x14ac:dyDescent="0.35">
      <c r="A11" s="162" t="s">
        <v>286</v>
      </c>
      <c r="B11" s="110" t="s">
        <v>55</v>
      </c>
      <c r="C11" s="185">
        <v>151</v>
      </c>
      <c r="D11" s="185">
        <v>80</v>
      </c>
      <c r="E11" s="197">
        <v>0.5298013245033113</v>
      </c>
      <c r="F11" s="198">
        <v>1.7757767265846736</v>
      </c>
      <c r="G11" s="198">
        <v>4.2197916666666666</v>
      </c>
      <c r="H11" s="185">
        <v>4051</v>
      </c>
      <c r="I11" s="185">
        <v>21581.014558183539</v>
      </c>
      <c r="J11" s="195">
        <v>2.4201092393281785E-3</v>
      </c>
      <c r="K11" s="185">
        <v>43</v>
      </c>
      <c r="L11" s="185">
        <v>28</v>
      </c>
      <c r="M11" s="197">
        <v>0.65116279069767447</v>
      </c>
      <c r="N11" s="198">
        <v>1.5281993355481727</v>
      </c>
      <c r="O11" s="198">
        <v>4.4732139166666673</v>
      </c>
      <c r="P11" s="185">
        <v>1503</v>
      </c>
      <c r="Q11" s="185">
        <v>2296.8836013289033</v>
      </c>
      <c r="R11" s="195">
        <v>3.8359182712102776E-3</v>
      </c>
      <c r="S11" s="185">
        <v>194</v>
      </c>
      <c r="T11" s="185">
        <v>108</v>
      </c>
      <c r="U11" s="197">
        <v>0.55670103092783507</v>
      </c>
      <c r="V11" s="198">
        <v>1.651988031066423</v>
      </c>
      <c r="W11" s="198">
        <v>4.2854937314814814</v>
      </c>
      <c r="X11" s="185">
        <v>5554</v>
      </c>
      <c r="Y11" s="185">
        <v>23877.898159512442</v>
      </c>
      <c r="Z11" s="195">
        <v>2.5091959241809645E-3</v>
      </c>
      <c r="AA11" s="206"/>
    </row>
    <row r="12" spans="1:27" x14ac:dyDescent="0.35">
      <c r="A12" s="162" t="s">
        <v>267</v>
      </c>
      <c r="B12" s="110" t="s">
        <v>69</v>
      </c>
      <c r="C12" s="185">
        <v>12</v>
      </c>
      <c r="D12" s="185">
        <v>4</v>
      </c>
      <c r="E12" s="197">
        <v>0.33333333333333331</v>
      </c>
      <c r="F12" s="198">
        <v>2.1765714285714286</v>
      </c>
      <c r="G12" s="198">
        <v>4.125</v>
      </c>
      <c r="H12" s="185">
        <v>198</v>
      </c>
      <c r="I12" s="185">
        <v>1292.8834285714286</v>
      </c>
      <c r="J12" s="195">
        <v>1.4498480237915964E-4</v>
      </c>
      <c r="K12" s="185">
        <v>6</v>
      </c>
      <c r="L12" s="185">
        <v>3</v>
      </c>
      <c r="M12" s="197">
        <v>0.5</v>
      </c>
      <c r="N12" s="198">
        <v>1.8365714285714285</v>
      </c>
      <c r="O12" s="198">
        <v>4.4166663333333345</v>
      </c>
      <c r="P12" s="185">
        <v>159</v>
      </c>
      <c r="Q12" s="185">
        <v>292.01485714285712</v>
      </c>
      <c r="R12" s="195">
        <v>4.8768040545505424E-4</v>
      </c>
      <c r="S12" s="185">
        <v>18</v>
      </c>
      <c r="T12" s="185">
        <v>7</v>
      </c>
      <c r="U12" s="197">
        <v>0.3888888888888889</v>
      </c>
      <c r="V12" s="198">
        <v>2.0065714285714287</v>
      </c>
      <c r="W12" s="198">
        <v>4.2499998571428579</v>
      </c>
      <c r="X12" s="185">
        <v>357</v>
      </c>
      <c r="Y12" s="185">
        <v>1584.8982857142857</v>
      </c>
      <c r="Z12" s="195">
        <v>1.6654817321814413E-4</v>
      </c>
      <c r="AA12" s="206"/>
    </row>
    <row r="13" spans="1:27" x14ac:dyDescent="0.35">
      <c r="A13" s="162" t="s">
        <v>268</v>
      </c>
      <c r="B13" s="110" t="s">
        <v>68</v>
      </c>
      <c r="C13" s="185">
        <v>14</v>
      </c>
      <c r="D13" s="185">
        <v>14</v>
      </c>
      <c r="E13" s="197">
        <v>1</v>
      </c>
      <c r="F13" s="198">
        <v>1</v>
      </c>
      <c r="G13" s="198">
        <v>4.8452377500000008</v>
      </c>
      <c r="H13" s="185">
        <v>814</v>
      </c>
      <c r="I13" s="185">
        <v>2442</v>
      </c>
      <c r="J13" s="195">
        <v>2.7384749435694955E-4</v>
      </c>
      <c r="K13" s="201"/>
      <c r="L13" s="201"/>
      <c r="M13" s="201"/>
      <c r="N13" s="201"/>
      <c r="O13" s="201"/>
      <c r="P13" s="201"/>
      <c r="Q13" s="201"/>
      <c r="R13" s="201"/>
      <c r="S13" s="185">
        <v>14</v>
      </c>
      <c r="T13" s="185">
        <v>14</v>
      </c>
      <c r="U13" s="197">
        <v>1</v>
      </c>
      <c r="V13" s="198">
        <v>1</v>
      </c>
      <c r="W13" s="198">
        <v>4.8452377500000008</v>
      </c>
      <c r="X13" s="185">
        <v>814</v>
      </c>
      <c r="Y13" s="185">
        <v>2442</v>
      </c>
      <c r="Z13" s="195">
        <v>2.5661624008597539E-4</v>
      </c>
      <c r="AA13" s="206"/>
    </row>
    <row r="14" spans="1:27" x14ac:dyDescent="0.35">
      <c r="A14" s="162" t="s">
        <v>331</v>
      </c>
      <c r="B14" s="110" t="s">
        <v>16</v>
      </c>
      <c r="C14" s="185">
        <v>17</v>
      </c>
      <c r="D14" s="185">
        <v>17</v>
      </c>
      <c r="E14" s="197">
        <v>1</v>
      </c>
      <c r="F14" s="198">
        <v>1</v>
      </c>
      <c r="G14" s="198">
        <v>4.5245092500000013</v>
      </c>
      <c r="H14" s="185">
        <v>923</v>
      </c>
      <c r="I14" s="185">
        <v>2769</v>
      </c>
      <c r="J14" s="195">
        <v>3.1051749053005457E-4</v>
      </c>
      <c r="K14" s="185">
        <v>1</v>
      </c>
      <c r="L14" s="185">
        <v>1</v>
      </c>
      <c r="M14" s="197">
        <v>1</v>
      </c>
      <c r="N14" s="198">
        <v>1</v>
      </c>
      <c r="O14" s="198">
        <v>5</v>
      </c>
      <c r="P14" s="185">
        <v>60</v>
      </c>
      <c r="Q14" s="185">
        <v>60</v>
      </c>
      <c r="R14" s="195">
        <v>1.0020320408899096E-4</v>
      </c>
      <c r="S14" s="185">
        <v>18</v>
      </c>
      <c r="T14" s="185">
        <v>18</v>
      </c>
      <c r="U14" s="197">
        <v>1</v>
      </c>
      <c r="V14" s="198">
        <v>1</v>
      </c>
      <c r="W14" s="198">
        <v>4.5509254027777786</v>
      </c>
      <c r="X14" s="185">
        <v>983</v>
      </c>
      <c r="Y14" s="185">
        <v>2829</v>
      </c>
      <c r="Z14" s="195">
        <v>2.9728392432564469E-4</v>
      </c>
      <c r="AA14" s="206"/>
    </row>
    <row r="15" spans="1:27" x14ac:dyDescent="0.35">
      <c r="A15" s="162" t="s">
        <v>248</v>
      </c>
      <c r="B15" s="110" t="s">
        <v>81</v>
      </c>
      <c r="C15" s="185">
        <v>45</v>
      </c>
      <c r="D15" s="185">
        <v>25</v>
      </c>
      <c r="E15" s="197">
        <v>0.55555555555555558</v>
      </c>
      <c r="F15" s="198">
        <v>1.7232380952380952</v>
      </c>
      <c r="G15" s="198">
        <v>3.9766666666666666</v>
      </c>
      <c r="H15" s="185">
        <v>1193</v>
      </c>
      <c r="I15" s="185">
        <v>6167.4691428571432</v>
      </c>
      <c r="J15" s="195">
        <v>6.9162406686946434E-4</v>
      </c>
      <c r="K15" s="185">
        <v>1</v>
      </c>
      <c r="L15" s="185">
        <v>1</v>
      </c>
      <c r="M15" s="197">
        <v>1</v>
      </c>
      <c r="N15" s="198">
        <v>1</v>
      </c>
      <c r="O15" s="198">
        <v>3.5833333333333335</v>
      </c>
      <c r="P15" s="185">
        <v>43</v>
      </c>
      <c r="Q15" s="185">
        <v>43</v>
      </c>
      <c r="R15" s="195">
        <v>7.1812296263776854E-5</v>
      </c>
      <c r="S15" s="185">
        <v>46</v>
      </c>
      <c r="T15" s="185">
        <v>26</v>
      </c>
      <c r="U15" s="197">
        <v>0.56521739130434778</v>
      </c>
      <c r="V15" s="198">
        <v>1.3616190476190475</v>
      </c>
      <c r="W15" s="198">
        <v>3.9615384615384617</v>
      </c>
      <c r="X15" s="185">
        <v>1236</v>
      </c>
      <c r="Y15" s="185">
        <v>6210.4691428571432</v>
      </c>
      <c r="Z15" s="195">
        <v>6.5262376765355061E-4</v>
      </c>
      <c r="AA15" s="206"/>
    </row>
    <row r="16" spans="1:27" x14ac:dyDescent="0.35">
      <c r="A16" s="162" t="s">
        <v>332</v>
      </c>
      <c r="B16" s="110" t="s">
        <v>15</v>
      </c>
      <c r="C16" s="185">
        <v>168</v>
      </c>
      <c r="D16" s="185">
        <v>119</v>
      </c>
      <c r="E16" s="197">
        <v>0.70833333333333337</v>
      </c>
      <c r="F16" s="198">
        <v>1.411764705882353</v>
      </c>
      <c r="G16" s="198">
        <v>4.0931368333333333</v>
      </c>
      <c r="H16" s="185">
        <v>5845</v>
      </c>
      <c r="I16" s="185">
        <v>24755.294117647059</v>
      </c>
      <c r="J16" s="195">
        <v>2.7760750475786153E-3</v>
      </c>
      <c r="K16" s="185">
        <v>27</v>
      </c>
      <c r="L16" s="185">
        <v>11</v>
      </c>
      <c r="M16" s="197">
        <v>0.40740740740740738</v>
      </c>
      <c r="N16" s="198">
        <v>2.0254603174603174</v>
      </c>
      <c r="O16" s="198">
        <v>4.1893935833333336</v>
      </c>
      <c r="P16" s="185">
        <v>553</v>
      </c>
      <c r="Q16" s="185">
        <v>1120.0795555555555</v>
      </c>
      <c r="R16" s="195">
        <v>1.8705926716873272E-3</v>
      </c>
      <c r="S16" s="185">
        <v>195</v>
      </c>
      <c r="T16" s="185">
        <v>130</v>
      </c>
      <c r="U16" s="197">
        <v>0.66666666666666663</v>
      </c>
      <c r="V16" s="198">
        <v>1.7186125116713353</v>
      </c>
      <c r="W16" s="198">
        <v>4.1012816352564103</v>
      </c>
      <c r="X16" s="185">
        <v>6398</v>
      </c>
      <c r="Y16" s="185">
        <v>25875.373673202615</v>
      </c>
      <c r="Z16" s="195">
        <v>2.719099550711257E-3</v>
      </c>
      <c r="AA16" s="206"/>
    </row>
    <row r="17" spans="1:27" x14ac:dyDescent="0.35">
      <c r="A17" s="162" t="s">
        <v>214</v>
      </c>
      <c r="B17" s="110" t="s">
        <v>110</v>
      </c>
      <c r="C17" s="185">
        <v>1244</v>
      </c>
      <c r="D17" s="185">
        <v>619</v>
      </c>
      <c r="E17" s="197">
        <v>0.49758842443729906</v>
      </c>
      <c r="F17" s="198">
        <v>1.8414910427193385</v>
      </c>
      <c r="G17" s="198">
        <v>4.2733490833333336</v>
      </c>
      <c r="H17" s="185">
        <v>31845</v>
      </c>
      <c r="I17" s="185">
        <v>175926.846766192</v>
      </c>
      <c r="J17" s="195">
        <v>1.972855289805106E-2</v>
      </c>
      <c r="K17" s="185">
        <v>855</v>
      </c>
      <c r="L17" s="185">
        <v>231</v>
      </c>
      <c r="M17" s="197">
        <v>0.27017543859649124</v>
      </c>
      <c r="N17" s="198">
        <v>2.3054135338345865</v>
      </c>
      <c r="O17" s="198">
        <v>4.0746749999999992</v>
      </c>
      <c r="P17" s="185">
        <v>11295</v>
      </c>
      <c r="Q17" s="185">
        <v>26039.645864661656</v>
      </c>
      <c r="R17" s="195">
        <v>4.3487599149695695E-2</v>
      </c>
      <c r="S17" s="185">
        <v>2099</v>
      </c>
      <c r="T17" s="185">
        <v>850</v>
      </c>
      <c r="U17" s="197">
        <v>0.40495474035254886</v>
      </c>
      <c r="V17" s="198">
        <v>2.0734522882769624</v>
      </c>
      <c r="W17" s="198">
        <v>4.2193564795098037</v>
      </c>
      <c r="X17" s="185">
        <v>43140</v>
      </c>
      <c r="Y17" s="185">
        <v>201966.49263085367</v>
      </c>
      <c r="Z17" s="195">
        <v>2.122353888709317E-2</v>
      </c>
      <c r="AA17" s="206"/>
    </row>
    <row r="18" spans="1:27" x14ac:dyDescent="0.35">
      <c r="A18" s="162" t="s">
        <v>190</v>
      </c>
      <c r="B18" s="110" t="s">
        <v>126</v>
      </c>
      <c r="C18" s="185">
        <v>99</v>
      </c>
      <c r="D18" s="185">
        <v>73</v>
      </c>
      <c r="E18" s="197">
        <v>0.73737373737373735</v>
      </c>
      <c r="F18" s="198">
        <v>1.3561643835616439</v>
      </c>
      <c r="G18" s="198">
        <v>4.3040536666666673</v>
      </c>
      <c r="H18" s="185">
        <v>3822</v>
      </c>
      <c r="I18" s="185">
        <v>15549.78082191781</v>
      </c>
      <c r="J18" s="195">
        <v>1.7437627010163553E-3</v>
      </c>
      <c r="K18" s="201"/>
      <c r="L18" s="201"/>
      <c r="M18" s="201"/>
      <c r="N18" s="201"/>
      <c r="O18" s="201"/>
      <c r="P18" s="201"/>
      <c r="Q18" s="201"/>
      <c r="R18" s="201"/>
      <c r="S18" s="185">
        <v>99</v>
      </c>
      <c r="T18" s="185">
        <v>73</v>
      </c>
      <c r="U18" s="197">
        <v>0.73737373737373735</v>
      </c>
      <c r="V18" s="198">
        <v>1.3561643835616439</v>
      </c>
      <c r="W18" s="198">
        <v>4.3040536666666673</v>
      </c>
      <c r="X18" s="185">
        <v>3822</v>
      </c>
      <c r="Y18" s="185">
        <v>15549.78082191781</v>
      </c>
      <c r="Z18" s="195">
        <v>1.6340402492553466E-3</v>
      </c>
      <c r="AA18" s="206"/>
    </row>
    <row r="19" spans="1:27" ht="23" x14ac:dyDescent="0.35">
      <c r="A19" s="162" t="s">
        <v>197</v>
      </c>
      <c r="B19" s="110" t="s">
        <v>123</v>
      </c>
      <c r="C19" s="185">
        <v>12</v>
      </c>
      <c r="D19" s="185">
        <v>12</v>
      </c>
      <c r="E19" s="197">
        <v>1</v>
      </c>
      <c r="F19" s="198">
        <v>1</v>
      </c>
      <c r="G19" s="198">
        <v>4.5277774166666678</v>
      </c>
      <c r="H19" s="185">
        <v>652</v>
      </c>
      <c r="I19" s="185">
        <v>1956</v>
      </c>
      <c r="J19" s="195">
        <v>2.1934713307215122E-4</v>
      </c>
      <c r="K19" s="201"/>
      <c r="L19" s="201"/>
      <c r="M19" s="201"/>
      <c r="N19" s="201"/>
      <c r="O19" s="201"/>
      <c r="P19" s="201"/>
      <c r="Q19" s="201"/>
      <c r="R19" s="201"/>
      <c r="S19" s="185">
        <v>12</v>
      </c>
      <c r="T19" s="185">
        <v>12</v>
      </c>
      <c r="U19" s="197">
        <v>1</v>
      </c>
      <c r="V19" s="198">
        <v>1</v>
      </c>
      <c r="W19" s="198">
        <v>4.5277774166666678</v>
      </c>
      <c r="X19" s="185">
        <v>652</v>
      </c>
      <c r="Y19" s="185">
        <v>1956</v>
      </c>
      <c r="Z19" s="195">
        <v>2.0554519476173949E-4</v>
      </c>
      <c r="AA19" s="206"/>
    </row>
    <row r="20" spans="1:27" ht="15" customHeight="1" x14ac:dyDescent="0.35">
      <c r="A20" s="162" t="s">
        <v>211</v>
      </c>
      <c r="B20" s="110" t="s">
        <v>113</v>
      </c>
      <c r="C20" s="185">
        <v>38</v>
      </c>
      <c r="D20" s="185">
        <v>23</v>
      </c>
      <c r="E20" s="197">
        <v>0.60526315789473684</v>
      </c>
      <c r="F20" s="198">
        <v>1.6218345864661654</v>
      </c>
      <c r="G20" s="198">
        <v>4.518115333333335</v>
      </c>
      <c r="H20" s="185">
        <v>1247</v>
      </c>
      <c r="I20" s="185">
        <v>6067.2831879699252</v>
      </c>
      <c r="J20" s="195">
        <v>6.8038914765749744E-4</v>
      </c>
      <c r="K20" s="185">
        <v>21</v>
      </c>
      <c r="L20" s="185">
        <v>8</v>
      </c>
      <c r="M20" s="197">
        <v>0.38095238095238093</v>
      </c>
      <c r="N20" s="198">
        <v>2.0794285714285716</v>
      </c>
      <c r="O20" s="198">
        <v>4.333333333333333</v>
      </c>
      <c r="P20" s="185">
        <v>416</v>
      </c>
      <c r="Q20" s="185">
        <v>865.04228571428575</v>
      </c>
      <c r="R20" s="195">
        <v>1.4446668116839302E-3</v>
      </c>
      <c r="S20" s="185">
        <v>59</v>
      </c>
      <c r="T20" s="185">
        <v>31</v>
      </c>
      <c r="U20" s="197">
        <v>0.52542372881355937</v>
      </c>
      <c r="V20" s="198">
        <v>1.8506315789473686</v>
      </c>
      <c r="W20" s="198">
        <v>4.4704296559139785</v>
      </c>
      <c r="X20" s="185">
        <v>1663</v>
      </c>
      <c r="Y20" s="185">
        <v>6932.3254736842109</v>
      </c>
      <c r="Z20" s="195">
        <v>7.2847964705531143E-4</v>
      </c>
      <c r="AA20" s="206"/>
    </row>
    <row r="21" spans="1:27" ht="24" customHeight="1" x14ac:dyDescent="0.35">
      <c r="A21" s="162" t="s">
        <v>303</v>
      </c>
      <c r="B21" s="110" t="s">
        <v>37</v>
      </c>
      <c r="C21" s="185">
        <v>84</v>
      </c>
      <c r="D21" s="185">
        <v>40</v>
      </c>
      <c r="E21" s="197">
        <v>0.47619047619047616</v>
      </c>
      <c r="F21" s="198">
        <v>1.8851428571428572</v>
      </c>
      <c r="G21" s="198">
        <v>4.2354166666666666</v>
      </c>
      <c r="H21" s="185">
        <v>2033</v>
      </c>
      <c r="I21" s="185">
        <v>11497.486285714287</v>
      </c>
      <c r="J21" s="195">
        <v>1.2893357128363014E-3</v>
      </c>
      <c r="K21" s="185">
        <v>3</v>
      </c>
      <c r="L21" s="185">
        <v>2</v>
      </c>
      <c r="M21" s="197">
        <v>0.66666666666666663</v>
      </c>
      <c r="N21" s="198">
        <v>1.4965714285714287</v>
      </c>
      <c r="O21" s="198">
        <v>4.291666666666667</v>
      </c>
      <c r="P21" s="185">
        <v>103</v>
      </c>
      <c r="Q21" s="185">
        <v>154.14685714285716</v>
      </c>
      <c r="R21" s="195">
        <v>2.5743348309937084E-4</v>
      </c>
      <c r="S21" s="185">
        <v>87</v>
      </c>
      <c r="T21" s="185">
        <v>42</v>
      </c>
      <c r="U21" s="197">
        <v>0.48275862068965519</v>
      </c>
      <c r="V21" s="198">
        <v>1.6908571428571428</v>
      </c>
      <c r="W21" s="198">
        <v>4.2380952380952381</v>
      </c>
      <c r="X21" s="185">
        <v>2136</v>
      </c>
      <c r="Y21" s="185">
        <v>11651.633142857145</v>
      </c>
      <c r="Z21" s="195">
        <v>1.2244055233337991E-3</v>
      </c>
      <c r="AA21" s="206"/>
    </row>
    <row r="22" spans="1:27" ht="15" customHeight="1" x14ac:dyDescent="0.35">
      <c r="A22" s="162" t="s">
        <v>206</v>
      </c>
      <c r="B22" s="110" t="s">
        <v>114</v>
      </c>
      <c r="C22" s="185">
        <v>56</v>
      </c>
      <c r="D22" s="185">
        <v>43</v>
      </c>
      <c r="E22" s="197">
        <v>0.7678571428571429</v>
      </c>
      <c r="F22" s="198">
        <v>1.3023255813953489</v>
      </c>
      <c r="G22" s="198">
        <v>4.3197670000000006</v>
      </c>
      <c r="H22" s="185">
        <v>2229</v>
      </c>
      <c r="I22" s="185">
        <v>8708.6511627906984</v>
      </c>
      <c r="J22" s="195">
        <v>9.7659389850899571E-4</v>
      </c>
      <c r="K22" s="201"/>
      <c r="L22" s="201"/>
      <c r="M22" s="201"/>
      <c r="N22" s="201"/>
      <c r="O22" s="201"/>
      <c r="P22" s="201"/>
      <c r="Q22" s="201"/>
      <c r="R22" s="201"/>
      <c r="S22" s="185">
        <v>56</v>
      </c>
      <c r="T22" s="185">
        <v>43</v>
      </c>
      <c r="U22" s="197">
        <v>0.7678571428571429</v>
      </c>
      <c r="V22" s="198">
        <v>1.3023255813953489</v>
      </c>
      <c r="W22" s="198">
        <v>4.3197670000000006</v>
      </c>
      <c r="X22" s="185">
        <v>2229</v>
      </c>
      <c r="Y22" s="185">
        <v>8708.6511627906984</v>
      </c>
      <c r="Z22" s="195">
        <v>9.1514386470749657E-4</v>
      </c>
      <c r="AA22" s="206"/>
    </row>
    <row r="23" spans="1:27" ht="15" customHeight="1" x14ac:dyDescent="0.35">
      <c r="A23" s="162" t="s">
        <v>271</v>
      </c>
      <c r="B23" s="110" t="s">
        <v>66</v>
      </c>
      <c r="C23" s="185">
        <v>91</v>
      </c>
      <c r="D23" s="185">
        <v>56</v>
      </c>
      <c r="E23" s="197">
        <v>0.61538461538461542</v>
      </c>
      <c r="F23" s="198">
        <v>1.6011868131868132</v>
      </c>
      <c r="G23" s="198">
        <v>4.0877970833333341</v>
      </c>
      <c r="H23" s="185">
        <v>2747</v>
      </c>
      <c r="I23" s="185">
        <v>13195.380527472527</v>
      </c>
      <c r="J23" s="195">
        <v>1.4797386955507103E-3</v>
      </c>
      <c r="K23" s="201"/>
      <c r="L23" s="201"/>
      <c r="M23" s="201"/>
      <c r="N23" s="201"/>
      <c r="O23" s="201"/>
      <c r="P23" s="201"/>
      <c r="Q23" s="201"/>
      <c r="R23" s="201"/>
      <c r="S23" s="185">
        <v>91</v>
      </c>
      <c r="T23" s="185">
        <v>56</v>
      </c>
      <c r="U23" s="197">
        <v>0.61538461538461542</v>
      </c>
      <c r="V23" s="198">
        <v>1.6011868131868132</v>
      </c>
      <c r="W23" s="198">
        <v>4.0877970833333341</v>
      </c>
      <c r="X23" s="185">
        <v>2747</v>
      </c>
      <c r="Y23" s="185">
        <v>13195.380527472527</v>
      </c>
      <c r="Z23" s="195">
        <v>1.3866293765207596E-3</v>
      </c>
      <c r="AA23" s="206"/>
    </row>
    <row r="24" spans="1:27" ht="24" customHeight="1" x14ac:dyDescent="0.35">
      <c r="A24" s="162" t="s">
        <v>254</v>
      </c>
      <c r="B24" s="110" t="s">
        <v>78</v>
      </c>
      <c r="C24" s="185">
        <v>12</v>
      </c>
      <c r="D24" s="185">
        <v>9</v>
      </c>
      <c r="E24" s="197">
        <v>0.75</v>
      </c>
      <c r="F24" s="198">
        <v>1.3333333333333333</v>
      </c>
      <c r="G24" s="198">
        <v>4.1851847500000003</v>
      </c>
      <c r="H24" s="185">
        <v>452</v>
      </c>
      <c r="I24" s="185">
        <v>1808</v>
      </c>
      <c r="J24" s="195">
        <v>2.0275031523233611E-4</v>
      </c>
      <c r="K24" s="201"/>
      <c r="L24" s="201"/>
      <c r="M24" s="201"/>
      <c r="N24" s="201"/>
      <c r="O24" s="201"/>
      <c r="P24" s="201"/>
      <c r="Q24" s="201"/>
      <c r="R24" s="201"/>
      <c r="S24" s="185">
        <v>12</v>
      </c>
      <c r="T24" s="185">
        <v>9</v>
      </c>
      <c r="U24" s="197">
        <v>0.75</v>
      </c>
      <c r="V24" s="198">
        <v>1.3333333333333333</v>
      </c>
      <c r="W24" s="198">
        <v>4.1851847500000003</v>
      </c>
      <c r="X24" s="185">
        <v>452</v>
      </c>
      <c r="Y24" s="185">
        <v>1808</v>
      </c>
      <c r="Z24" s="195">
        <v>1.8999269536258947E-4</v>
      </c>
      <c r="AA24" s="206"/>
    </row>
    <row r="25" spans="1:27" x14ac:dyDescent="0.35">
      <c r="A25" s="162" t="s">
        <v>258</v>
      </c>
      <c r="B25" s="110" t="s">
        <v>76</v>
      </c>
      <c r="C25" s="185">
        <v>82</v>
      </c>
      <c r="D25" s="185">
        <v>45</v>
      </c>
      <c r="E25" s="197">
        <v>0.54878048780487809</v>
      </c>
      <c r="F25" s="198">
        <v>1.7370592334494774</v>
      </c>
      <c r="G25" s="198">
        <v>4.63703675</v>
      </c>
      <c r="H25" s="185">
        <v>2504</v>
      </c>
      <c r="I25" s="185">
        <v>13048.788961672475</v>
      </c>
      <c r="J25" s="195">
        <v>1.4632998204531648E-3</v>
      </c>
      <c r="K25" s="185">
        <v>32</v>
      </c>
      <c r="L25" s="185">
        <v>11</v>
      </c>
      <c r="M25" s="197">
        <v>0.34375</v>
      </c>
      <c r="N25" s="198">
        <v>2.1553214285714284</v>
      </c>
      <c r="O25" s="198">
        <v>4.0833329999999997</v>
      </c>
      <c r="P25" s="185">
        <v>539</v>
      </c>
      <c r="Q25" s="185">
        <v>1161.7182499999999</v>
      </c>
      <c r="R25" s="195">
        <v>1.9401315149775904E-3</v>
      </c>
      <c r="S25" s="185">
        <v>114</v>
      </c>
      <c r="T25" s="185">
        <v>56</v>
      </c>
      <c r="U25" s="197">
        <v>0.49122807017543857</v>
      </c>
      <c r="V25" s="198">
        <v>1.9461903310104529</v>
      </c>
      <c r="W25" s="198">
        <v>4.5282735133928576</v>
      </c>
      <c r="X25" s="185">
        <v>3043</v>
      </c>
      <c r="Y25" s="185">
        <v>14210.507211672475</v>
      </c>
      <c r="Z25" s="195">
        <v>1.493303411291576E-3</v>
      </c>
      <c r="AA25" s="206"/>
    </row>
    <row r="26" spans="1:27" ht="15" customHeight="1" x14ac:dyDescent="0.35">
      <c r="A26" s="162" t="s">
        <v>238</v>
      </c>
      <c r="B26" s="110" t="s">
        <v>91</v>
      </c>
      <c r="C26" s="185">
        <v>77</v>
      </c>
      <c r="D26" s="185">
        <v>40</v>
      </c>
      <c r="E26" s="197">
        <v>0.51948051948051943</v>
      </c>
      <c r="F26" s="198">
        <v>1.7968311688311689</v>
      </c>
      <c r="G26" s="198">
        <v>4.6333333333333337</v>
      </c>
      <c r="H26" s="185">
        <v>2224</v>
      </c>
      <c r="I26" s="185">
        <v>11988.45755844156</v>
      </c>
      <c r="J26" s="195">
        <v>1.3443935559311442E-3</v>
      </c>
      <c r="K26" s="185">
        <v>3</v>
      </c>
      <c r="L26" s="185">
        <v>1</v>
      </c>
      <c r="M26" s="197">
        <v>0.33333333333333331</v>
      </c>
      <c r="N26" s="198">
        <v>2.1765714285714286</v>
      </c>
      <c r="O26" s="198">
        <v>3.5833333333333335</v>
      </c>
      <c r="P26" s="185">
        <v>43</v>
      </c>
      <c r="Q26" s="185">
        <v>93.592571428571432</v>
      </c>
      <c r="R26" s="195">
        <v>1.5630459226784348E-4</v>
      </c>
      <c r="S26" s="185">
        <v>80</v>
      </c>
      <c r="T26" s="185">
        <v>41</v>
      </c>
      <c r="U26" s="197">
        <v>0.51249999999999996</v>
      </c>
      <c r="V26" s="198">
        <v>1.9867012987012989</v>
      </c>
      <c r="W26" s="198">
        <v>4.6077235772357721</v>
      </c>
      <c r="X26" s="185">
        <v>2267</v>
      </c>
      <c r="Y26" s="185">
        <v>12082.050129870131</v>
      </c>
      <c r="Z26" s="195">
        <v>1.2696356580088222E-3</v>
      </c>
      <c r="AA26" s="206"/>
    </row>
    <row r="27" spans="1:27" x14ac:dyDescent="0.35">
      <c r="A27" s="162" t="s">
        <v>245</v>
      </c>
      <c r="B27" s="110" t="s">
        <v>84</v>
      </c>
      <c r="C27" s="185">
        <v>25</v>
      </c>
      <c r="D27" s="185">
        <v>7</v>
      </c>
      <c r="E27" s="197">
        <v>0.28000000000000003</v>
      </c>
      <c r="F27" s="198">
        <v>2.2853714285714286</v>
      </c>
      <c r="G27" s="198">
        <v>4.0952377499999999</v>
      </c>
      <c r="H27" s="185">
        <v>344</v>
      </c>
      <c r="I27" s="185">
        <v>2358.5033142857142</v>
      </c>
      <c r="J27" s="195">
        <v>2.6448412082297456E-4</v>
      </c>
      <c r="K27" s="201"/>
      <c r="L27" s="201"/>
      <c r="M27" s="201"/>
      <c r="N27" s="201"/>
      <c r="O27" s="201"/>
      <c r="P27" s="201"/>
      <c r="Q27" s="201"/>
      <c r="R27" s="201"/>
      <c r="S27" s="185">
        <v>25</v>
      </c>
      <c r="T27" s="185">
        <v>7</v>
      </c>
      <c r="U27" s="197">
        <v>0.28000000000000003</v>
      </c>
      <c r="V27" s="198">
        <v>2.2853714285714286</v>
      </c>
      <c r="W27" s="198">
        <v>4.0952377499999999</v>
      </c>
      <c r="X27" s="185">
        <v>344</v>
      </c>
      <c r="Y27" s="185">
        <v>2358.5033142857142</v>
      </c>
      <c r="Z27" s="195">
        <v>2.4784203634001288E-4</v>
      </c>
      <c r="AA27" s="206"/>
    </row>
    <row r="28" spans="1:27" ht="24" customHeight="1" x14ac:dyDescent="0.35">
      <c r="A28" s="162" t="s">
        <v>235</v>
      </c>
      <c r="B28" s="110" t="s">
        <v>94</v>
      </c>
      <c r="C28" s="185">
        <v>21</v>
      </c>
      <c r="D28" s="185">
        <v>15</v>
      </c>
      <c r="E28" s="197">
        <v>0.7142857142857143</v>
      </c>
      <c r="F28" s="198">
        <v>1.4000000000000001</v>
      </c>
      <c r="G28" s="198">
        <v>4.3888886666666673</v>
      </c>
      <c r="H28" s="185">
        <v>790</v>
      </c>
      <c r="I28" s="185">
        <v>3318.0000000000005</v>
      </c>
      <c r="J28" s="195">
        <v>3.7208271346288234E-4</v>
      </c>
      <c r="K28" s="201"/>
      <c r="L28" s="201"/>
      <c r="M28" s="201"/>
      <c r="N28" s="201"/>
      <c r="O28" s="201"/>
      <c r="P28" s="201"/>
      <c r="Q28" s="201"/>
      <c r="R28" s="201"/>
      <c r="S28" s="185">
        <v>21</v>
      </c>
      <c r="T28" s="185">
        <v>15</v>
      </c>
      <c r="U28" s="197">
        <v>0.7142857142857143</v>
      </c>
      <c r="V28" s="198">
        <v>1.4000000000000001</v>
      </c>
      <c r="W28" s="198">
        <v>4.3888886666666673</v>
      </c>
      <c r="X28" s="185">
        <v>790</v>
      </c>
      <c r="Y28" s="185">
        <v>3318.0000000000005</v>
      </c>
      <c r="Z28" s="195">
        <v>3.4867022301607965E-4</v>
      </c>
      <c r="AA28" s="206"/>
    </row>
    <row r="29" spans="1:27" x14ac:dyDescent="0.35">
      <c r="A29" s="162" t="s">
        <v>309</v>
      </c>
      <c r="B29" s="110" t="s">
        <v>67</v>
      </c>
      <c r="C29" s="185">
        <v>23</v>
      </c>
      <c r="D29" s="185">
        <v>15</v>
      </c>
      <c r="E29" s="197">
        <v>0.65217391304347827</v>
      </c>
      <c r="F29" s="198">
        <v>1.526136645962733</v>
      </c>
      <c r="G29" s="198">
        <v>4.2944441666666675</v>
      </c>
      <c r="H29" s="185">
        <v>773</v>
      </c>
      <c r="I29" s="185">
        <v>3539.1108819875781</v>
      </c>
      <c r="J29" s="195">
        <v>3.9687823394091398E-4</v>
      </c>
      <c r="K29" s="201"/>
      <c r="L29" s="201"/>
      <c r="M29" s="201"/>
      <c r="N29" s="201"/>
      <c r="O29" s="201"/>
      <c r="P29" s="201"/>
      <c r="Q29" s="201"/>
      <c r="R29" s="201"/>
      <c r="S29" s="185">
        <v>23</v>
      </c>
      <c r="T29" s="185">
        <v>15</v>
      </c>
      <c r="U29" s="197">
        <v>0.65217391304347827</v>
      </c>
      <c r="V29" s="198">
        <v>1.526136645962733</v>
      </c>
      <c r="W29" s="198">
        <v>4.2944441666666675</v>
      </c>
      <c r="X29" s="185">
        <v>773</v>
      </c>
      <c r="Y29" s="185">
        <v>3539.1108819875781</v>
      </c>
      <c r="Z29" s="195">
        <v>3.7190553963268322E-4</v>
      </c>
      <c r="AA29" s="206"/>
    </row>
    <row r="30" spans="1:27" ht="15" customHeight="1" x14ac:dyDescent="0.35">
      <c r="A30" s="162" t="s">
        <v>310</v>
      </c>
      <c r="B30" s="110" t="s">
        <v>29</v>
      </c>
      <c r="C30" s="185">
        <v>32</v>
      </c>
      <c r="D30" s="185">
        <v>20</v>
      </c>
      <c r="E30" s="197">
        <v>0.625</v>
      </c>
      <c r="F30" s="198">
        <v>1.5815714285714284</v>
      </c>
      <c r="G30" s="198">
        <v>4.3624999999999998</v>
      </c>
      <c r="H30" s="185">
        <v>1047</v>
      </c>
      <c r="I30" s="185">
        <v>4967.7158571428563</v>
      </c>
      <c r="J30" s="195">
        <v>5.5708294027676376E-4</v>
      </c>
      <c r="K30" s="185">
        <v>9</v>
      </c>
      <c r="L30" s="185">
        <v>3</v>
      </c>
      <c r="M30" s="197">
        <v>0.33333333333333331</v>
      </c>
      <c r="N30" s="198">
        <v>2.1765714285714286</v>
      </c>
      <c r="O30" s="198">
        <v>4.8333331666666668</v>
      </c>
      <c r="P30" s="185">
        <v>174</v>
      </c>
      <c r="Q30" s="185">
        <v>378.7234285714286</v>
      </c>
      <c r="R30" s="195">
        <v>6.3248835010708759E-4</v>
      </c>
      <c r="S30" s="185">
        <v>41</v>
      </c>
      <c r="T30" s="185">
        <v>23</v>
      </c>
      <c r="U30" s="197">
        <v>0.56097560975609762</v>
      </c>
      <c r="V30" s="198">
        <v>1.8790714285714285</v>
      </c>
      <c r="W30" s="198">
        <v>4.4239130217391303</v>
      </c>
      <c r="X30" s="185">
        <v>1221</v>
      </c>
      <c r="Y30" s="185">
        <v>5346.4392857142848</v>
      </c>
      <c r="Z30" s="195">
        <v>5.6182766066664529E-4</v>
      </c>
      <c r="AA30" s="206"/>
    </row>
    <row r="31" spans="1:27" ht="15" customHeight="1" x14ac:dyDescent="0.35">
      <c r="A31" s="162" t="s">
        <v>314</v>
      </c>
      <c r="B31" s="110" t="s">
        <v>28</v>
      </c>
      <c r="C31" s="185">
        <v>2688</v>
      </c>
      <c r="D31" s="185">
        <v>861</v>
      </c>
      <c r="E31" s="197">
        <v>0.3203125</v>
      </c>
      <c r="F31" s="198">
        <v>2.2031339285714284</v>
      </c>
      <c r="G31" s="198">
        <v>4.2045185833333329</v>
      </c>
      <c r="H31" s="185">
        <v>43542</v>
      </c>
      <c r="I31" s="185">
        <v>287786.57255357143</v>
      </c>
      <c r="J31" s="195">
        <v>3.2272576496056513E-2</v>
      </c>
      <c r="K31" s="185">
        <v>545</v>
      </c>
      <c r="L31" s="185">
        <v>95</v>
      </c>
      <c r="M31" s="197">
        <v>0.1743119266055046</v>
      </c>
      <c r="N31" s="198">
        <v>2.4485709999999998</v>
      </c>
      <c r="O31" s="198">
        <v>4.1692977500000001</v>
      </c>
      <c r="P31" s="185">
        <v>4753</v>
      </c>
      <c r="Q31" s="185">
        <v>11638.057962999999</v>
      </c>
      <c r="R31" s="195">
        <v>1.943617828776659E-2</v>
      </c>
      <c r="S31" s="185">
        <v>3233</v>
      </c>
      <c r="T31" s="185">
        <v>956</v>
      </c>
      <c r="U31" s="197">
        <v>0.29570058768945251</v>
      </c>
      <c r="V31" s="198">
        <v>2.3258524642857141</v>
      </c>
      <c r="W31" s="198">
        <v>4.2010186051255225</v>
      </c>
      <c r="X31" s="185">
        <v>48295</v>
      </c>
      <c r="Y31" s="185">
        <v>299424.63051657146</v>
      </c>
      <c r="Z31" s="195">
        <v>3.1464874231079021E-2</v>
      </c>
      <c r="AA31" s="206"/>
    </row>
    <row r="32" spans="1:27" x14ac:dyDescent="0.35">
      <c r="A32" s="162" t="s">
        <v>306</v>
      </c>
      <c r="B32" s="110" t="s">
        <v>489</v>
      </c>
      <c r="C32" s="185">
        <v>213</v>
      </c>
      <c r="D32" s="185">
        <v>136</v>
      </c>
      <c r="E32" s="197">
        <v>0.63849765258215962</v>
      </c>
      <c r="F32" s="198">
        <v>1.5540362173038229</v>
      </c>
      <c r="G32" s="198">
        <v>4.3970583333333337</v>
      </c>
      <c r="H32" s="185">
        <v>7176</v>
      </c>
      <c r="I32" s="185">
        <v>33455.291686116703</v>
      </c>
      <c r="J32" s="195">
        <v>3.7516985262997316E-3</v>
      </c>
      <c r="K32" s="185">
        <v>48</v>
      </c>
      <c r="L32" s="185">
        <v>19</v>
      </c>
      <c r="M32" s="197">
        <v>0.39583333333333331</v>
      </c>
      <c r="N32" s="198">
        <v>2.0490714285714287</v>
      </c>
      <c r="O32" s="198">
        <v>4.3421047500000007</v>
      </c>
      <c r="P32" s="185">
        <v>990</v>
      </c>
      <c r="Q32" s="185">
        <v>2028.5807142857143</v>
      </c>
      <c r="R32" s="195">
        <v>3.3878381220760418E-3</v>
      </c>
      <c r="S32" s="185">
        <v>261</v>
      </c>
      <c r="T32" s="185">
        <v>155</v>
      </c>
      <c r="U32" s="197">
        <v>0.5938697318007663</v>
      </c>
      <c r="V32" s="198">
        <v>1.8015538229376258</v>
      </c>
      <c r="W32" s="198">
        <v>4.3903220876344102</v>
      </c>
      <c r="X32" s="185">
        <v>8166</v>
      </c>
      <c r="Y32" s="185">
        <v>35483.872400402419</v>
      </c>
      <c r="Z32" s="195">
        <v>3.728803406667397E-3</v>
      </c>
      <c r="AA32" s="206"/>
    </row>
    <row r="33" spans="1:27" x14ac:dyDescent="0.35">
      <c r="A33" s="162" t="s">
        <v>259</v>
      </c>
      <c r="B33" s="110" t="s">
        <v>456</v>
      </c>
      <c r="C33" s="185">
        <v>1426</v>
      </c>
      <c r="D33" s="185">
        <v>903</v>
      </c>
      <c r="E33" s="197">
        <v>0.63323983169705467</v>
      </c>
      <c r="F33" s="198">
        <v>1.5647621719094371</v>
      </c>
      <c r="G33" s="198">
        <v>4.4020574999999997</v>
      </c>
      <c r="H33" s="185">
        <v>47912</v>
      </c>
      <c r="I33" s="185">
        <v>224912.65554157484</v>
      </c>
      <c r="J33" s="195">
        <v>2.5221853877652724E-2</v>
      </c>
      <c r="K33" s="185">
        <v>15</v>
      </c>
      <c r="L33" s="185">
        <v>10</v>
      </c>
      <c r="M33" s="197">
        <v>0.66666666666666663</v>
      </c>
      <c r="N33" s="198">
        <v>1.4965714285714287</v>
      </c>
      <c r="O33" s="198">
        <v>4.2833333333333332</v>
      </c>
      <c r="P33" s="185">
        <v>514</v>
      </c>
      <c r="Q33" s="185">
        <v>769.23771428571433</v>
      </c>
      <c r="R33" s="195">
        <v>1.2846680612920059E-3</v>
      </c>
      <c r="S33" s="185">
        <v>1441</v>
      </c>
      <c r="T33" s="185">
        <v>913</v>
      </c>
      <c r="U33" s="197">
        <v>0.63358778625954193</v>
      </c>
      <c r="V33" s="198">
        <v>1.5306668002404329</v>
      </c>
      <c r="W33" s="198">
        <v>4.4007571257758302</v>
      </c>
      <c r="X33" s="185">
        <v>48426</v>
      </c>
      <c r="Y33" s="185">
        <v>225681.89325586054</v>
      </c>
      <c r="Z33" s="195">
        <v>2.3715658846356829E-2</v>
      </c>
      <c r="AA33" s="206"/>
    </row>
    <row r="34" spans="1:27" x14ac:dyDescent="0.35">
      <c r="A34" s="162" t="s">
        <v>200</v>
      </c>
      <c r="B34" s="110" t="s">
        <v>120</v>
      </c>
      <c r="C34" s="185">
        <v>501</v>
      </c>
      <c r="D34" s="185">
        <v>275</v>
      </c>
      <c r="E34" s="197">
        <v>0.5489021956087824</v>
      </c>
      <c r="F34" s="198">
        <v>1.7368109495295123</v>
      </c>
      <c r="G34" s="198">
        <v>4.2387875000000008</v>
      </c>
      <c r="H34" s="185">
        <v>13988</v>
      </c>
      <c r="I34" s="185">
        <v>72883.53468605646</v>
      </c>
      <c r="J34" s="195">
        <v>8.1732077615292303E-3</v>
      </c>
      <c r="K34" s="185">
        <v>540</v>
      </c>
      <c r="L34" s="185">
        <v>229</v>
      </c>
      <c r="M34" s="197">
        <v>0.42407407407407405</v>
      </c>
      <c r="N34" s="198">
        <v>1.9914603174603176</v>
      </c>
      <c r="O34" s="198">
        <v>4.2052396666666665</v>
      </c>
      <c r="P34" s="185">
        <v>11556</v>
      </c>
      <c r="Q34" s="185">
        <v>23013.31542857143</v>
      </c>
      <c r="R34" s="195">
        <v>3.8433465710891124E-2</v>
      </c>
      <c r="S34" s="185">
        <v>1041</v>
      </c>
      <c r="T34" s="185">
        <v>504</v>
      </c>
      <c r="U34" s="197">
        <v>0.48414985590778098</v>
      </c>
      <c r="V34" s="198">
        <v>1.8641356334949148</v>
      </c>
      <c r="W34" s="198">
        <v>4.2235445360449733</v>
      </c>
      <c r="X34" s="185">
        <v>25544</v>
      </c>
      <c r="Y34" s="185">
        <v>95896.850114627887</v>
      </c>
      <c r="Z34" s="195">
        <v>1.0077268268838717E-2</v>
      </c>
      <c r="AA34" s="206"/>
    </row>
    <row r="35" spans="1:27" x14ac:dyDescent="0.35">
      <c r="A35" s="162" t="s">
        <v>220</v>
      </c>
      <c r="B35" s="110" t="s">
        <v>105</v>
      </c>
      <c r="C35" s="185">
        <v>130</v>
      </c>
      <c r="D35" s="185">
        <v>50</v>
      </c>
      <c r="E35" s="197">
        <v>0.38461538461538464</v>
      </c>
      <c r="F35" s="198">
        <v>2.0719560439560438</v>
      </c>
      <c r="G35" s="198">
        <v>4.09</v>
      </c>
      <c r="H35" s="185">
        <v>2454</v>
      </c>
      <c r="I35" s="185">
        <v>15253.740395604395</v>
      </c>
      <c r="J35" s="195">
        <v>1.7105645319032137E-3</v>
      </c>
      <c r="K35" s="185">
        <v>61</v>
      </c>
      <c r="L35" s="185">
        <v>30</v>
      </c>
      <c r="M35" s="197">
        <v>0.49180327868852458</v>
      </c>
      <c r="N35" s="198">
        <v>1.8532927400468384</v>
      </c>
      <c r="O35" s="198">
        <v>4.524999666666667</v>
      </c>
      <c r="P35" s="185">
        <v>1629</v>
      </c>
      <c r="Q35" s="185">
        <v>3019.0138735362998</v>
      </c>
      <c r="R35" s="195">
        <v>5.0419143886242168E-3</v>
      </c>
      <c r="S35" s="185">
        <v>191</v>
      </c>
      <c r="T35" s="185">
        <v>80</v>
      </c>
      <c r="U35" s="197">
        <v>0.41884816753926701</v>
      </c>
      <c r="V35" s="198">
        <v>1.962624392001441</v>
      </c>
      <c r="W35" s="198">
        <v>4.2531248750000001</v>
      </c>
      <c r="X35" s="185">
        <v>4083</v>
      </c>
      <c r="Y35" s="185">
        <v>18272.754269140692</v>
      </c>
      <c r="Z35" s="195">
        <v>1.9201824310245044E-3</v>
      </c>
      <c r="AA35" s="206"/>
    </row>
    <row r="36" spans="1:27" ht="24" customHeight="1" x14ac:dyDescent="0.35">
      <c r="A36" s="162" t="s">
        <v>263</v>
      </c>
      <c r="B36" s="110" t="s">
        <v>72</v>
      </c>
      <c r="C36" s="185">
        <v>876</v>
      </c>
      <c r="D36" s="185">
        <v>373</v>
      </c>
      <c r="E36" s="197">
        <v>0.42579908675799089</v>
      </c>
      <c r="F36" s="198">
        <v>1.9879412915851273</v>
      </c>
      <c r="G36" s="198">
        <v>4.1798475833333333</v>
      </c>
      <c r="H36" s="185">
        <v>18709</v>
      </c>
      <c r="I36" s="185">
        <v>111577.18087279845</v>
      </c>
      <c r="J36" s="195">
        <v>1.2512338824499595E-2</v>
      </c>
      <c r="K36" s="185">
        <v>84</v>
      </c>
      <c r="L36" s="185">
        <v>30</v>
      </c>
      <c r="M36" s="197">
        <v>0.35714285714285715</v>
      </c>
      <c r="N36" s="198">
        <v>2.1280000000000001</v>
      </c>
      <c r="O36" s="198">
        <v>4.1416663333333341</v>
      </c>
      <c r="P36" s="185">
        <v>1491</v>
      </c>
      <c r="Q36" s="185">
        <v>3172.848</v>
      </c>
      <c r="R36" s="195">
        <v>5.298825594789113E-3</v>
      </c>
      <c r="S36" s="185">
        <v>960</v>
      </c>
      <c r="T36" s="185">
        <v>403</v>
      </c>
      <c r="U36" s="197">
        <v>0.41979166666666667</v>
      </c>
      <c r="V36" s="198">
        <v>2.0579706457925635</v>
      </c>
      <c r="W36" s="198">
        <v>4.1770053066583959</v>
      </c>
      <c r="X36" s="185">
        <v>20200</v>
      </c>
      <c r="Y36" s="185">
        <v>114750.02887279844</v>
      </c>
      <c r="Z36" s="195">
        <v>1.2058444291193552E-2</v>
      </c>
      <c r="AA36" s="206"/>
    </row>
    <row r="37" spans="1:27" ht="24" customHeight="1" x14ac:dyDescent="0.35">
      <c r="A37" s="162" t="s">
        <v>321</v>
      </c>
      <c r="B37" s="110" t="s">
        <v>24</v>
      </c>
      <c r="C37" s="185">
        <v>14</v>
      </c>
      <c r="D37" s="185">
        <v>13</v>
      </c>
      <c r="E37" s="197">
        <v>0.9285714285714286</v>
      </c>
      <c r="F37" s="198">
        <v>1.0769230769230771</v>
      </c>
      <c r="G37" s="198">
        <v>4.4935890833333341</v>
      </c>
      <c r="H37" s="185">
        <v>701</v>
      </c>
      <c r="I37" s="185">
        <v>2264.7692307692309</v>
      </c>
      <c r="J37" s="195">
        <v>2.5397271873172397E-4</v>
      </c>
      <c r="K37" s="201"/>
      <c r="L37" s="201"/>
      <c r="M37" s="201"/>
      <c r="N37" s="201"/>
      <c r="O37" s="201"/>
      <c r="P37" s="201"/>
      <c r="Q37" s="201"/>
      <c r="R37" s="201"/>
      <c r="S37" s="185">
        <v>14</v>
      </c>
      <c r="T37" s="185">
        <v>13</v>
      </c>
      <c r="U37" s="197">
        <v>0.9285714285714286</v>
      </c>
      <c r="V37" s="198">
        <v>1.0769230769230771</v>
      </c>
      <c r="W37" s="198">
        <v>4.4935890833333341</v>
      </c>
      <c r="X37" s="185">
        <v>701</v>
      </c>
      <c r="Y37" s="185">
        <v>2264.7692307692309</v>
      </c>
      <c r="Z37" s="195">
        <v>2.379920412212968E-4</v>
      </c>
      <c r="AA37" s="206"/>
    </row>
    <row r="38" spans="1:27" ht="15" customHeight="1" x14ac:dyDescent="0.35">
      <c r="A38" s="162" t="s">
        <v>229</v>
      </c>
      <c r="B38" s="110" t="s">
        <v>99</v>
      </c>
      <c r="C38" s="185">
        <v>1064</v>
      </c>
      <c r="D38" s="185">
        <v>563</v>
      </c>
      <c r="E38" s="197">
        <v>0.52913533834586468</v>
      </c>
      <c r="F38" s="198">
        <v>1.7771353383458648</v>
      </c>
      <c r="G38" s="198">
        <v>4.2569563333333331</v>
      </c>
      <c r="H38" s="185">
        <v>28760</v>
      </c>
      <c r="I38" s="185">
        <v>153331.23699248122</v>
      </c>
      <c r="J38" s="195">
        <v>1.7194666280525222E-2</v>
      </c>
      <c r="K38" s="185">
        <v>381</v>
      </c>
      <c r="L38" s="185">
        <v>69</v>
      </c>
      <c r="M38" s="197">
        <v>0.18110236220472442</v>
      </c>
      <c r="N38" s="198">
        <v>2.4485709999999998</v>
      </c>
      <c r="O38" s="198">
        <v>4.254761583333333</v>
      </c>
      <c r="P38" s="185">
        <v>3574</v>
      </c>
      <c r="Q38" s="185">
        <v>8751.1927539999997</v>
      </c>
      <c r="R38" s="195">
        <v>1.4614959225852681E-2</v>
      </c>
      <c r="S38" s="185">
        <v>1445</v>
      </c>
      <c r="T38" s="185">
        <v>632</v>
      </c>
      <c r="U38" s="197">
        <v>0.43737024221453286</v>
      </c>
      <c r="V38" s="198">
        <v>2.1128531691729324</v>
      </c>
      <c r="W38" s="198">
        <v>4.2567167166402964</v>
      </c>
      <c r="X38" s="185">
        <v>32334</v>
      </c>
      <c r="Y38" s="185">
        <v>162082.42974648121</v>
      </c>
      <c r="Z38" s="195">
        <v>1.7032343859763006E-2</v>
      </c>
      <c r="AA38" s="206"/>
    </row>
    <row r="39" spans="1:27" ht="15" customHeight="1" x14ac:dyDescent="0.35">
      <c r="A39" s="162" t="s">
        <v>264</v>
      </c>
      <c r="B39" s="110" t="s">
        <v>71</v>
      </c>
      <c r="C39" s="185">
        <v>968</v>
      </c>
      <c r="D39" s="185">
        <v>537</v>
      </c>
      <c r="E39" s="197">
        <v>0.55475206611570249</v>
      </c>
      <c r="F39" s="198">
        <v>1.7248772136953956</v>
      </c>
      <c r="G39" s="198">
        <v>4.223512583333334</v>
      </c>
      <c r="H39" s="185">
        <v>27267</v>
      </c>
      <c r="I39" s="185">
        <v>141096.68095749707</v>
      </c>
      <c r="J39" s="195">
        <v>1.5822675078743853E-2</v>
      </c>
      <c r="K39" s="185">
        <v>73</v>
      </c>
      <c r="L39" s="185">
        <v>27</v>
      </c>
      <c r="M39" s="197">
        <v>0.36986301369863012</v>
      </c>
      <c r="N39" s="198">
        <v>2.1020508806262233</v>
      </c>
      <c r="O39" s="198">
        <v>4.0493823333333339</v>
      </c>
      <c r="P39" s="185">
        <v>1312</v>
      </c>
      <c r="Q39" s="185">
        <v>2757.8907553816048</v>
      </c>
      <c r="R39" s="195">
        <v>4.6058248369440736E-3</v>
      </c>
      <c r="S39" s="185">
        <v>1041</v>
      </c>
      <c r="T39" s="185">
        <v>564</v>
      </c>
      <c r="U39" s="197">
        <v>0.5417867435158501</v>
      </c>
      <c r="V39" s="198">
        <v>1.9134640471608093</v>
      </c>
      <c r="W39" s="198">
        <v>4.2151765607269498</v>
      </c>
      <c r="X39" s="185">
        <v>28579</v>
      </c>
      <c r="Y39" s="185">
        <v>143854.57171287868</v>
      </c>
      <c r="Z39" s="195">
        <v>1.5116879325199525E-2</v>
      </c>
      <c r="AA39" s="206"/>
    </row>
    <row r="40" spans="1:27" ht="15" customHeight="1" x14ac:dyDescent="0.35">
      <c r="A40" s="162" t="s">
        <v>237</v>
      </c>
      <c r="B40" s="110" t="s">
        <v>92</v>
      </c>
      <c r="C40" s="185">
        <v>742</v>
      </c>
      <c r="D40" s="185">
        <v>408</v>
      </c>
      <c r="E40" s="197">
        <v>0.54986522911051217</v>
      </c>
      <c r="F40" s="198">
        <v>1.7348463611859839</v>
      </c>
      <c r="G40" s="198">
        <v>4.2595756666666666</v>
      </c>
      <c r="H40" s="185">
        <v>20906</v>
      </c>
      <c r="I40" s="185">
        <v>108806.09408086253</v>
      </c>
      <c r="J40" s="195">
        <v>1.2201587319742311E-2</v>
      </c>
      <c r="K40" s="185">
        <v>220</v>
      </c>
      <c r="L40" s="185">
        <v>90</v>
      </c>
      <c r="M40" s="197">
        <v>0.40909090909090912</v>
      </c>
      <c r="N40" s="198">
        <v>2.0220259740259743</v>
      </c>
      <c r="O40" s="198">
        <v>4.1879625000000003</v>
      </c>
      <c r="P40" s="185">
        <v>4523</v>
      </c>
      <c r="Q40" s="185">
        <v>9145.6234805194817</v>
      </c>
      <c r="R40" s="195">
        <v>1.5273679602326026E-2</v>
      </c>
      <c r="S40" s="185">
        <v>962</v>
      </c>
      <c r="T40" s="185">
        <v>498</v>
      </c>
      <c r="U40" s="197">
        <v>0.51767151767151764</v>
      </c>
      <c r="V40" s="198">
        <v>1.8784361676059791</v>
      </c>
      <c r="W40" s="198">
        <v>4.2466335281124499</v>
      </c>
      <c r="X40" s="185">
        <v>25429</v>
      </c>
      <c r="Y40" s="185">
        <v>117951.71756138201</v>
      </c>
      <c r="Z40" s="195">
        <v>1.2394892003392615E-2</v>
      </c>
      <c r="AA40" s="206"/>
    </row>
    <row r="41" spans="1:27" ht="15" customHeight="1" x14ac:dyDescent="0.35">
      <c r="A41" s="162" t="s">
        <v>202</v>
      </c>
      <c r="B41" s="110" t="s">
        <v>118</v>
      </c>
      <c r="C41" s="185">
        <v>1319</v>
      </c>
      <c r="D41" s="185">
        <v>197</v>
      </c>
      <c r="E41" s="197">
        <v>0.14935557240333586</v>
      </c>
      <c r="F41" s="198">
        <v>2.4485709999999998</v>
      </c>
      <c r="G41" s="198">
        <v>4.0148048333333328</v>
      </c>
      <c r="H41" s="185">
        <v>9491</v>
      </c>
      <c r="I41" s="185">
        <v>69718.162082999988</v>
      </c>
      <c r="J41" s="195">
        <v>7.818240785258489E-3</v>
      </c>
      <c r="K41" s="185">
        <v>252</v>
      </c>
      <c r="L41" s="185">
        <v>33</v>
      </c>
      <c r="M41" s="197">
        <v>0.13095238095238096</v>
      </c>
      <c r="N41" s="198">
        <v>2.4485709999999998</v>
      </c>
      <c r="O41" s="198">
        <v>4.224747083333332</v>
      </c>
      <c r="P41" s="185">
        <v>1673</v>
      </c>
      <c r="Q41" s="185">
        <v>4096.4592830000001</v>
      </c>
      <c r="R41" s="195">
        <v>6.8413057596115106E-3</v>
      </c>
      <c r="S41" s="185">
        <v>1571</v>
      </c>
      <c r="T41" s="185">
        <v>230</v>
      </c>
      <c r="U41" s="197">
        <v>0.1464035646085296</v>
      </c>
      <c r="V41" s="198">
        <v>2.4485709999999998</v>
      </c>
      <c r="W41" s="198">
        <v>4.044926982246376</v>
      </c>
      <c r="X41" s="185">
        <v>11164</v>
      </c>
      <c r="Y41" s="185">
        <v>73814.621365999992</v>
      </c>
      <c r="Z41" s="195">
        <v>7.7567692867783877E-3</v>
      </c>
      <c r="AA41" s="206"/>
    </row>
    <row r="42" spans="1:27" ht="15" customHeight="1" x14ac:dyDescent="0.35">
      <c r="A42" s="162" t="s">
        <v>230</v>
      </c>
      <c r="B42" s="110" t="s">
        <v>98</v>
      </c>
      <c r="C42" s="185">
        <v>1601</v>
      </c>
      <c r="D42" s="185">
        <v>420</v>
      </c>
      <c r="E42" s="197">
        <v>0.26233603997501559</v>
      </c>
      <c r="F42" s="198">
        <v>2.3214059070223967</v>
      </c>
      <c r="G42" s="198">
        <v>4.1526123333333329</v>
      </c>
      <c r="H42" s="185">
        <v>20979</v>
      </c>
      <c r="I42" s="185">
        <v>146102.32357026858</v>
      </c>
      <c r="J42" s="195">
        <v>1.6384011150469426E-2</v>
      </c>
      <c r="K42" s="185">
        <v>291</v>
      </c>
      <c r="L42" s="185">
        <v>44</v>
      </c>
      <c r="M42" s="197">
        <v>0.15120274914089346</v>
      </c>
      <c r="N42" s="198">
        <v>2.4485709999999998</v>
      </c>
      <c r="O42" s="198">
        <v>3.9870364999999999</v>
      </c>
      <c r="P42" s="185">
        <v>2153</v>
      </c>
      <c r="Q42" s="185">
        <v>5271.7733629999993</v>
      </c>
      <c r="R42" s="195">
        <v>8.8041430367265857E-3</v>
      </c>
      <c r="S42" s="185">
        <v>1892</v>
      </c>
      <c r="T42" s="185">
        <v>464</v>
      </c>
      <c r="U42" s="197">
        <v>0.2452431289640592</v>
      </c>
      <c r="V42" s="198">
        <v>2.3849884535111983</v>
      </c>
      <c r="W42" s="198">
        <v>4.136911176724138</v>
      </c>
      <c r="X42" s="185">
        <v>23132</v>
      </c>
      <c r="Y42" s="185">
        <v>151374.09693326856</v>
      </c>
      <c r="Z42" s="195">
        <v>1.5907064537848223E-2</v>
      </c>
      <c r="AA42" s="206"/>
    </row>
    <row r="43" spans="1:27" x14ac:dyDescent="0.35">
      <c r="A43" s="162" t="s">
        <v>278</v>
      </c>
      <c r="B43" s="110" t="s">
        <v>62</v>
      </c>
      <c r="C43" s="185">
        <v>855</v>
      </c>
      <c r="D43" s="185">
        <v>508</v>
      </c>
      <c r="E43" s="197">
        <v>0.59415204678362576</v>
      </c>
      <c r="F43" s="198">
        <v>1.644501253132832</v>
      </c>
      <c r="G43" s="198">
        <v>4.20048975</v>
      </c>
      <c r="H43" s="185">
        <v>25707</v>
      </c>
      <c r="I43" s="185">
        <v>126825.58114285713</v>
      </c>
      <c r="J43" s="195">
        <v>1.4222304511193863E-2</v>
      </c>
      <c r="K43" s="185">
        <v>135</v>
      </c>
      <c r="L43" s="185">
        <v>46</v>
      </c>
      <c r="M43" s="197">
        <v>0.34074074074074073</v>
      </c>
      <c r="N43" s="198">
        <v>2.1614603174603175</v>
      </c>
      <c r="O43" s="198">
        <v>4.1086951666666671</v>
      </c>
      <c r="P43" s="185">
        <v>2268</v>
      </c>
      <c r="Q43" s="185">
        <v>4902.192</v>
      </c>
      <c r="R43" s="195">
        <v>8.1869224243236467E-3</v>
      </c>
      <c r="S43" s="185">
        <v>990</v>
      </c>
      <c r="T43" s="185">
        <v>554</v>
      </c>
      <c r="U43" s="197">
        <v>0.55959595959595965</v>
      </c>
      <c r="V43" s="198">
        <v>1.9029807852965748</v>
      </c>
      <c r="W43" s="198">
        <v>4.1928678170878459</v>
      </c>
      <c r="X43" s="185">
        <v>27975</v>
      </c>
      <c r="Y43" s="185">
        <v>131727.77314285713</v>
      </c>
      <c r="Z43" s="195">
        <v>1.3842541301727407E-2</v>
      </c>
      <c r="AA43" s="206"/>
    </row>
    <row r="44" spans="1:27" x14ac:dyDescent="0.35">
      <c r="A44" s="162" t="s">
        <v>212</v>
      </c>
      <c r="B44" s="110" t="s">
        <v>112</v>
      </c>
      <c r="C44" s="185">
        <v>29</v>
      </c>
      <c r="D44" s="185">
        <v>11</v>
      </c>
      <c r="E44" s="197">
        <v>0.37931034482758619</v>
      </c>
      <c r="F44" s="198">
        <v>2.0827783251231526</v>
      </c>
      <c r="G44" s="198">
        <v>3.5530298333333339</v>
      </c>
      <c r="H44" s="185">
        <v>469</v>
      </c>
      <c r="I44" s="185">
        <v>2930.4691034482757</v>
      </c>
      <c r="J44" s="195">
        <v>3.2862474253471196E-4</v>
      </c>
      <c r="K44" s="201"/>
      <c r="L44" s="201"/>
      <c r="M44" s="201"/>
      <c r="N44" s="201"/>
      <c r="O44" s="201"/>
      <c r="P44" s="201"/>
      <c r="Q44" s="201"/>
      <c r="R44" s="201"/>
      <c r="S44" s="185">
        <v>29</v>
      </c>
      <c r="T44" s="185">
        <v>11</v>
      </c>
      <c r="U44" s="197">
        <v>0.37931034482758619</v>
      </c>
      <c r="V44" s="198">
        <v>2.0827783251231526</v>
      </c>
      <c r="W44" s="198">
        <v>3.5530298333333339</v>
      </c>
      <c r="X44" s="185">
        <v>469</v>
      </c>
      <c r="Y44" s="185">
        <v>2930.4691034482757</v>
      </c>
      <c r="Z44" s="195">
        <v>3.0794674980139878E-4</v>
      </c>
      <c r="AA44" s="206"/>
    </row>
    <row r="45" spans="1:27" x14ac:dyDescent="0.35">
      <c r="A45" s="162" t="s">
        <v>198</v>
      </c>
      <c r="B45" s="110" t="s">
        <v>122</v>
      </c>
      <c r="C45" s="185">
        <v>379</v>
      </c>
      <c r="D45" s="185">
        <v>226</v>
      </c>
      <c r="E45" s="197">
        <v>0.59630606860158308</v>
      </c>
      <c r="F45" s="198">
        <v>1.6401070486241989</v>
      </c>
      <c r="G45" s="198">
        <v>4.214022916666667</v>
      </c>
      <c r="H45" s="185">
        <v>11479</v>
      </c>
      <c r="I45" s="185">
        <v>56480.366433471536</v>
      </c>
      <c r="J45" s="195">
        <v>6.3337456298806459E-3</v>
      </c>
      <c r="K45" s="185">
        <v>53</v>
      </c>
      <c r="L45" s="185">
        <v>23</v>
      </c>
      <c r="M45" s="197">
        <v>0.43396226415094341</v>
      </c>
      <c r="N45" s="198">
        <v>1.9712884097035042</v>
      </c>
      <c r="O45" s="198">
        <v>4.0507240833333347</v>
      </c>
      <c r="P45" s="185">
        <v>1118</v>
      </c>
      <c r="Q45" s="185">
        <v>2203.9004420485176</v>
      </c>
      <c r="R45" s="195">
        <v>3.6806314297734167E-3</v>
      </c>
      <c r="S45" s="185">
        <v>432</v>
      </c>
      <c r="T45" s="185">
        <v>249</v>
      </c>
      <c r="U45" s="197">
        <v>0.57638888888888884</v>
      </c>
      <c r="V45" s="198">
        <v>1.8056977291638514</v>
      </c>
      <c r="W45" s="198">
        <v>4.1989390886880846</v>
      </c>
      <c r="X45" s="185">
        <v>12597</v>
      </c>
      <c r="Y45" s="185">
        <v>58684.26687552005</v>
      </c>
      <c r="Z45" s="195">
        <v>6.1668042251424677E-3</v>
      </c>
      <c r="AA45" s="206"/>
    </row>
    <row r="46" spans="1:27" ht="24" customHeight="1" x14ac:dyDescent="0.35">
      <c r="A46" s="162" t="s">
        <v>221</v>
      </c>
      <c r="B46" s="110" t="s">
        <v>104</v>
      </c>
      <c r="C46" s="185">
        <v>26</v>
      </c>
      <c r="D46" s="185">
        <v>10</v>
      </c>
      <c r="E46" s="197">
        <v>0.38461538461538464</v>
      </c>
      <c r="F46" s="198">
        <v>2.0719560439560438</v>
      </c>
      <c r="G46" s="198">
        <v>4.5083333333333337</v>
      </c>
      <c r="H46" s="185">
        <v>541</v>
      </c>
      <c r="I46" s="185">
        <v>3362.7846593406593</v>
      </c>
      <c r="J46" s="195">
        <v>3.7710489476757889E-4</v>
      </c>
      <c r="K46" s="185">
        <v>1</v>
      </c>
      <c r="L46" s="185">
        <v>1</v>
      </c>
      <c r="M46" s="197">
        <v>1</v>
      </c>
      <c r="N46" s="198">
        <v>1</v>
      </c>
      <c r="O46" s="198">
        <v>4.833333333333333</v>
      </c>
      <c r="P46" s="185">
        <v>58</v>
      </c>
      <c r="Q46" s="185">
        <v>58</v>
      </c>
      <c r="R46" s="195">
        <v>9.6863097286024598E-5</v>
      </c>
      <c r="S46" s="185">
        <v>27</v>
      </c>
      <c r="T46" s="185">
        <v>11</v>
      </c>
      <c r="U46" s="197">
        <v>0.40740740740740738</v>
      </c>
      <c r="V46" s="198">
        <v>1.5359780219780219</v>
      </c>
      <c r="W46" s="198">
        <v>4.5378787878787881</v>
      </c>
      <c r="X46" s="185">
        <v>599</v>
      </c>
      <c r="Y46" s="185">
        <v>3420.7846593406593</v>
      </c>
      <c r="Z46" s="195">
        <v>3.594712929663326E-4</v>
      </c>
      <c r="AA46" s="206"/>
    </row>
    <row r="47" spans="1:27" ht="24" customHeight="1" x14ac:dyDescent="0.35">
      <c r="A47" s="162" t="s">
        <v>305</v>
      </c>
      <c r="B47" s="110" t="s">
        <v>35</v>
      </c>
      <c r="C47" s="185">
        <v>27</v>
      </c>
      <c r="D47" s="185">
        <v>9</v>
      </c>
      <c r="E47" s="197">
        <v>0.33333333333333331</v>
      </c>
      <c r="F47" s="198">
        <v>2.1765714285714286</v>
      </c>
      <c r="G47" s="198">
        <v>4.749999250000001</v>
      </c>
      <c r="H47" s="185">
        <v>513</v>
      </c>
      <c r="I47" s="185">
        <v>3349.7434285714285</v>
      </c>
      <c r="J47" s="195">
        <v>3.7564244252782269E-4</v>
      </c>
      <c r="K47" s="201"/>
      <c r="L47" s="201"/>
      <c r="M47" s="201"/>
      <c r="N47" s="201"/>
      <c r="O47" s="201"/>
      <c r="P47" s="201"/>
      <c r="Q47" s="201"/>
      <c r="R47" s="201"/>
      <c r="S47" s="185">
        <v>27</v>
      </c>
      <c r="T47" s="185">
        <v>9</v>
      </c>
      <c r="U47" s="197">
        <v>0.33333333333333331</v>
      </c>
      <c r="V47" s="198">
        <v>2.1765714285714286</v>
      </c>
      <c r="W47" s="198">
        <v>4.749999250000001</v>
      </c>
      <c r="X47" s="185">
        <v>513</v>
      </c>
      <c r="Y47" s="185">
        <v>3349.7434285714285</v>
      </c>
      <c r="Z47" s="195">
        <v>3.5200596392002622E-4</v>
      </c>
      <c r="AA47" s="206"/>
    </row>
    <row r="48" spans="1:27" x14ac:dyDescent="0.35">
      <c r="A48" s="162" t="s">
        <v>304</v>
      </c>
      <c r="B48" s="110" t="s">
        <v>36</v>
      </c>
      <c r="C48" s="185">
        <v>707</v>
      </c>
      <c r="D48" s="185">
        <v>539</v>
      </c>
      <c r="E48" s="197">
        <v>0.76237623762376239</v>
      </c>
      <c r="F48" s="198">
        <v>1.3116883116883118</v>
      </c>
      <c r="G48" s="198">
        <v>4.1756166666666665</v>
      </c>
      <c r="H48" s="185">
        <v>27058</v>
      </c>
      <c r="I48" s="185">
        <v>106474.98701298703</v>
      </c>
      <c r="J48" s="195">
        <v>1.1940175432102882E-2</v>
      </c>
      <c r="K48" s="185">
        <v>163</v>
      </c>
      <c r="L48" s="185">
        <v>109</v>
      </c>
      <c r="M48" s="197">
        <v>0.66871165644171782</v>
      </c>
      <c r="N48" s="198">
        <v>1.4923996494303244</v>
      </c>
      <c r="O48" s="198">
        <v>4.1735469166666661</v>
      </c>
      <c r="P48" s="185">
        <v>5459</v>
      </c>
      <c r="Q48" s="185">
        <v>8147.0096862401415</v>
      </c>
      <c r="R48" s="195">
        <v>1.3605941238421786E-2</v>
      </c>
      <c r="S48" s="185">
        <v>870</v>
      </c>
      <c r="T48" s="185">
        <v>648</v>
      </c>
      <c r="U48" s="197">
        <v>0.7448275862068966</v>
      </c>
      <c r="V48" s="198">
        <v>1.4020439805593181</v>
      </c>
      <c r="W48" s="198">
        <v>4.1752685142746913</v>
      </c>
      <c r="X48" s="185">
        <v>32517</v>
      </c>
      <c r="Y48" s="185">
        <v>114621.99669922717</v>
      </c>
      <c r="Z48" s="195">
        <v>1.2044990099960179E-2</v>
      </c>
      <c r="AA48" s="206"/>
    </row>
    <row r="49" spans="1:27" ht="23" x14ac:dyDescent="0.35">
      <c r="A49" s="162" t="s">
        <v>283</v>
      </c>
      <c r="B49" s="110" t="s">
        <v>58</v>
      </c>
      <c r="C49" s="185">
        <v>9</v>
      </c>
      <c r="D49" s="185">
        <v>5</v>
      </c>
      <c r="E49" s="197">
        <v>0.55555555555555558</v>
      </c>
      <c r="F49" s="198">
        <v>1.7232380952380952</v>
      </c>
      <c r="G49" s="198">
        <v>4.8</v>
      </c>
      <c r="H49" s="185">
        <v>288</v>
      </c>
      <c r="I49" s="185">
        <v>1488.8777142857143</v>
      </c>
      <c r="J49" s="195">
        <v>1.669637311470291E-4</v>
      </c>
      <c r="K49" s="201"/>
      <c r="L49" s="201"/>
      <c r="M49" s="201"/>
      <c r="N49" s="201"/>
      <c r="O49" s="201"/>
      <c r="P49" s="201"/>
      <c r="Q49" s="201"/>
      <c r="R49" s="201"/>
      <c r="S49" s="185">
        <v>9</v>
      </c>
      <c r="T49" s="185">
        <v>5</v>
      </c>
      <c r="U49" s="197">
        <v>0.55555555555555558</v>
      </c>
      <c r="V49" s="198">
        <v>1.7232380952380952</v>
      </c>
      <c r="W49" s="198">
        <v>4.8</v>
      </c>
      <c r="X49" s="185">
        <v>288</v>
      </c>
      <c r="Y49" s="185">
        <v>1488.8777142857143</v>
      </c>
      <c r="Z49" s="195">
        <v>1.5645790376240832E-4</v>
      </c>
      <c r="AA49" s="206"/>
    </row>
    <row r="50" spans="1:27" x14ac:dyDescent="0.35">
      <c r="A50" s="162" t="s">
        <v>273</v>
      </c>
      <c r="B50" s="110" t="s">
        <v>64</v>
      </c>
      <c r="C50" s="185">
        <v>26</v>
      </c>
      <c r="D50" s="185">
        <v>10</v>
      </c>
      <c r="E50" s="197">
        <v>0.38461538461538464</v>
      </c>
      <c r="F50" s="198">
        <v>2.0719560439560438</v>
      </c>
      <c r="G50" s="198">
        <v>4.0083333333333337</v>
      </c>
      <c r="H50" s="185">
        <v>481</v>
      </c>
      <c r="I50" s="185">
        <v>2989.8325714285711</v>
      </c>
      <c r="J50" s="195">
        <v>3.3528180107801376E-4</v>
      </c>
      <c r="K50" s="201"/>
      <c r="L50" s="201"/>
      <c r="M50" s="201"/>
      <c r="N50" s="201"/>
      <c r="O50" s="201"/>
      <c r="P50" s="201"/>
      <c r="Q50" s="201"/>
      <c r="R50" s="201"/>
      <c r="S50" s="185">
        <v>26</v>
      </c>
      <c r="T50" s="185">
        <v>10</v>
      </c>
      <c r="U50" s="197">
        <v>0.38461538461538464</v>
      </c>
      <c r="V50" s="198">
        <v>2.0719560439560438</v>
      </c>
      <c r="W50" s="198">
        <v>4.0083333333333337</v>
      </c>
      <c r="X50" s="185">
        <v>481</v>
      </c>
      <c r="Y50" s="185">
        <v>2989.8325714285711</v>
      </c>
      <c r="Z50" s="195">
        <v>3.1418492750474338E-4</v>
      </c>
      <c r="AA50" s="206"/>
    </row>
    <row r="51" spans="1:27" ht="24" customHeight="1" x14ac:dyDescent="0.35">
      <c r="A51" s="162" t="s">
        <v>272</v>
      </c>
      <c r="B51" s="110" t="s">
        <v>65</v>
      </c>
      <c r="C51" s="185">
        <v>43</v>
      </c>
      <c r="D51" s="185">
        <v>21</v>
      </c>
      <c r="E51" s="197">
        <v>0.48837209302325579</v>
      </c>
      <c r="F51" s="198">
        <v>1.8602923588039866</v>
      </c>
      <c r="G51" s="198">
        <v>4.8015865</v>
      </c>
      <c r="H51" s="185">
        <v>1210</v>
      </c>
      <c r="I51" s="185">
        <v>6752.8612624584712</v>
      </c>
      <c r="J51" s="195">
        <v>7.5727032615248132E-4</v>
      </c>
      <c r="K51" s="185">
        <v>1</v>
      </c>
      <c r="L51" s="185">
        <v>1</v>
      </c>
      <c r="M51" s="197">
        <v>1</v>
      </c>
      <c r="N51" s="198">
        <v>1</v>
      </c>
      <c r="O51" s="198">
        <v>3.8333333333333335</v>
      </c>
      <c r="P51" s="185">
        <v>46</v>
      </c>
      <c r="Q51" s="185">
        <v>46</v>
      </c>
      <c r="R51" s="195">
        <v>7.6822456468226408E-5</v>
      </c>
      <c r="S51" s="185">
        <v>44</v>
      </c>
      <c r="T51" s="185">
        <v>22</v>
      </c>
      <c r="U51" s="197">
        <v>0.5</v>
      </c>
      <c r="V51" s="198">
        <v>1.4301461794019934</v>
      </c>
      <c r="W51" s="198">
        <v>4.7575749924242423</v>
      </c>
      <c r="X51" s="185">
        <v>1256</v>
      </c>
      <c r="Y51" s="185">
        <v>6798.8612624584712</v>
      </c>
      <c r="Z51" s="195">
        <v>7.1445463310330904E-4</v>
      </c>
      <c r="AA51" s="206"/>
    </row>
    <row r="52" spans="1:27" ht="24" customHeight="1" x14ac:dyDescent="0.35">
      <c r="A52" s="162" t="s">
        <v>243</v>
      </c>
      <c r="B52" s="110" t="s">
        <v>90</v>
      </c>
      <c r="C52" s="185">
        <v>26</v>
      </c>
      <c r="D52" s="185">
        <v>10</v>
      </c>
      <c r="E52" s="197">
        <v>0.38461538461538464</v>
      </c>
      <c r="F52" s="198">
        <v>2.0719560439560438</v>
      </c>
      <c r="G52" s="198">
        <v>4.416666666666667</v>
      </c>
      <c r="H52" s="185">
        <v>530</v>
      </c>
      <c r="I52" s="185">
        <v>3294.4101098901097</v>
      </c>
      <c r="J52" s="195">
        <v>3.6943732759115859E-4</v>
      </c>
      <c r="K52" s="201"/>
      <c r="L52" s="201"/>
      <c r="M52" s="201"/>
      <c r="N52" s="201"/>
      <c r="O52" s="201"/>
      <c r="P52" s="201"/>
      <c r="Q52" s="201"/>
      <c r="R52" s="201"/>
      <c r="S52" s="185">
        <v>26</v>
      </c>
      <c r="T52" s="185">
        <v>10</v>
      </c>
      <c r="U52" s="197">
        <v>0.38461538461538464</v>
      </c>
      <c r="V52" s="198">
        <v>2.0719560439560438</v>
      </c>
      <c r="W52" s="198">
        <v>4.416666666666667</v>
      </c>
      <c r="X52" s="185">
        <v>530</v>
      </c>
      <c r="Y52" s="185">
        <v>3294.4101098901097</v>
      </c>
      <c r="Z52" s="195">
        <v>3.4619129226094389E-4</v>
      </c>
      <c r="AA52" s="206"/>
    </row>
    <row r="53" spans="1:27" ht="24" customHeight="1" x14ac:dyDescent="0.35">
      <c r="A53" s="162" t="s">
        <v>297</v>
      </c>
      <c r="B53" s="110" t="s">
        <v>460</v>
      </c>
      <c r="C53" s="185">
        <v>2522</v>
      </c>
      <c r="D53" s="185">
        <v>1025</v>
      </c>
      <c r="E53" s="197">
        <v>0.40642347343378271</v>
      </c>
      <c r="F53" s="198">
        <v>2.0274675427665119</v>
      </c>
      <c r="G53" s="198">
        <v>4.2111376666666667</v>
      </c>
      <c r="H53" s="185">
        <v>51797</v>
      </c>
      <c r="I53" s="185">
        <v>315050.20893803105</v>
      </c>
      <c r="J53" s="195">
        <v>3.532993870364997E-2</v>
      </c>
      <c r="K53" s="185">
        <v>447</v>
      </c>
      <c r="L53" s="185">
        <v>151</v>
      </c>
      <c r="M53" s="197">
        <v>0.3378076062639821</v>
      </c>
      <c r="N53" s="198">
        <v>2.1674439117929052</v>
      </c>
      <c r="O53" s="198">
        <v>4.086092166666667</v>
      </c>
      <c r="P53" s="185">
        <v>7404</v>
      </c>
      <c r="Q53" s="185">
        <v>16047.754722914669</v>
      </c>
      <c r="R53" s="195">
        <v>2.6800607361171454E-2</v>
      </c>
      <c r="S53" s="185">
        <v>2969</v>
      </c>
      <c r="T53" s="185">
        <v>1176</v>
      </c>
      <c r="U53" s="197">
        <v>0.3960929605927922</v>
      </c>
      <c r="V53" s="198">
        <v>2.0974557272797085</v>
      </c>
      <c r="W53" s="198">
        <v>4.195081654336736</v>
      </c>
      <c r="X53" s="185">
        <v>59201</v>
      </c>
      <c r="Y53" s="185">
        <v>331097.96366094571</v>
      </c>
      <c r="Z53" s="195">
        <v>3.4793249195247664E-2</v>
      </c>
      <c r="AA53" s="206"/>
    </row>
    <row r="54" spans="1:27" ht="15" customHeight="1" x14ac:dyDescent="0.35">
      <c r="A54" s="162" t="s">
        <v>291</v>
      </c>
      <c r="B54" s="110" t="s">
        <v>48</v>
      </c>
      <c r="C54" s="185">
        <v>5</v>
      </c>
      <c r="D54" s="185">
        <v>5</v>
      </c>
      <c r="E54" s="197">
        <v>1</v>
      </c>
      <c r="F54" s="198">
        <v>1</v>
      </c>
      <c r="G54" s="198">
        <v>4.75</v>
      </c>
      <c r="H54" s="185">
        <v>285</v>
      </c>
      <c r="I54" s="185">
        <v>855</v>
      </c>
      <c r="J54" s="195">
        <v>9.5880265223256291E-5</v>
      </c>
      <c r="K54" s="201"/>
      <c r="L54" s="201"/>
      <c r="M54" s="201"/>
      <c r="N54" s="201"/>
      <c r="O54" s="201"/>
      <c r="P54" s="201"/>
      <c r="Q54" s="201"/>
      <c r="R54" s="201"/>
      <c r="S54" s="185">
        <v>5</v>
      </c>
      <c r="T54" s="185">
        <v>5</v>
      </c>
      <c r="U54" s="197">
        <v>1</v>
      </c>
      <c r="V54" s="198">
        <v>1</v>
      </c>
      <c r="W54" s="198">
        <v>4.75</v>
      </c>
      <c r="X54" s="185">
        <v>285</v>
      </c>
      <c r="Y54" s="185">
        <v>855</v>
      </c>
      <c r="Z54" s="195">
        <v>8.9847209366711287E-5</v>
      </c>
      <c r="AA54" s="206"/>
    </row>
    <row r="55" spans="1:27" ht="23" x14ac:dyDescent="0.35">
      <c r="A55" s="162" t="s">
        <v>183</v>
      </c>
      <c r="B55" s="110" t="s">
        <v>128</v>
      </c>
      <c r="C55" s="185">
        <v>615</v>
      </c>
      <c r="D55" s="185">
        <v>396</v>
      </c>
      <c r="E55" s="197">
        <v>0.64390243902439026</v>
      </c>
      <c r="F55" s="198">
        <v>1.5430104529616724</v>
      </c>
      <c r="G55" s="198">
        <v>4.2257990833333334</v>
      </c>
      <c r="H55" s="185">
        <v>20081</v>
      </c>
      <c r="I55" s="185">
        <v>92955.578717770026</v>
      </c>
      <c r="J55" s="195">
        <v>1.0424100048469085E-2</v>
      </c>
      <c r="K55" s="185">
        <v>201</v>
      </c>
      <c r="L55" s="185">
        <v>100</v>
      </c>
      <c r="M55" s="197">
        <v>0.49751243781094528</v>
      </c>
      <c r="N55" s="198">
        <v>1.8416460554371004</v>
      </c>
      <c r="O55" s="198">
        <v>4.2233333333333336</v>
      </c>
      <c r="P55" s="185">
        <v>5068</v>
      </c>
      <c r="Q55" s="185">
        <v>9333.4622089552249</v>
      </c>
      <c r="R55" s="195">
        <v>1.5587380309680415E-2</v>
      </c>
      <c r="S55" s="185">
        <v>816</v>
      </c>
      <c r="T55" s="185">
        <v>496</v>
      </c>
      <c r="U55" s="197">
        <v>0.60784313725490191</v>
      </c>
      <c r="V55" s="198">
        <v>1.6923282541993863</v>
      </c>
      <c r="W55" s="198">
        <v>4.2253019563172041</v>
      </c>
      <c r="X55" s="185">
        <v>25149</v>
      </c>
      <c r="Y55" s="185">
        <v>102289.04092672525</v>
      </c>
      <c r="Z55" s="195">
        <v>1.0748988159138695E-2</v>
      </c>
      <c r="AA55" s="206"/>
    </row>
    <row r="56" spans="1:27" ht="15" customHeight="1" x14ac:dyDescent="0.35">
      <c r="A56" s="162" t="s">
        <v>218</v>
      </c>
      <c r="B56" s="110" t="s">
        <v>453</v>
      </c>
      <c r="C56" s="185">
        <v>531</v>
      </c>
      <c r="D56" s="185">
        <v>294</v>
      </c>
      <c r="E56" s="197">
        <v>0.5536723163841808</v>
      </c>
      <c r="F56" s="198">
        <v>1.7270799031476998</v>
      </c>
      <c r="G56" s="198">
        <v>4.4209179999999995</v>
      </c>
      <c r="H56" s="185">
        <v>15597</v>
      </c>
      <c r="I56" s="185">
        <v>80811.795748184013</v>
      </c>
      <c r="J56" s="195">
        <v>9.0622881982497048E-3</v>
      </c>
      <c r="K56" s="185">
        <v>217</v>
      </c>
      <c r="L56" s="185">
        <v>130</v>
      </c>
      <c r="M56" s="197">
        <v>0.59907834101382484</v>
      </c>
      <c r="N56" s="198">
        <v>1.6344516129032258</v>
      </c>
      <c r="O56" s="198">
        <v>4.2724354166666663</v>
      </c>
      <c r="P56" s="185">
        <v>6665</v>
      </c>
      <c r="Q56" s="185">
        <v>10893.62</v>
      </c>
      <c r="R56" s="195">
        <v>1.819292713546523E-2</v>
      </c>
      <c r="S56" s="185">
        <v>748</v>
      </c>
      <c r="T56" s="185">
        <v>424</v>
      </c>
      <c r="U56" s="197">
        <v>0.5668449197860963</v>
      </c>
      <c r="V56" s="198">
        <v>1.6807657580254629</v>
      </c>
      <c r="W56" s="198">
        <v>4.3753926796383649</v>
      </c>
      <c r="X56" s="185">
        <v>22262</v>
      </c>
      <c r="Y56" s="185">
        <v>91705.415748184008</v>
      </c>
      <c r="Z56" s="195">
        <v>9.6368136710975327E-3</v>
      </c>
      <c r="AA56" s="206"/>
    </row>
    <row r="57" spans="1:27" ht="24" customHeight="1" x14ac:dyDescent="0.35">
      <c r="A57" s="162" t="s">
        <v>276</v>
      </c>
      <c r="B57" s="110" t="s">
        <v>52</v>
      </c>
      <c r="C57" s="185">
        <v>1082</v>
      </c>
      <c r="D57" s="185">
        <v>533</v>
      </c>
      <c r="E57" s="197">
        <v>0.49260628465804068</v>
      </c>
      <c r="F57" s="198">
        <v>1.8516546078690257</v>
      </c>
      <c r="G57" s="198">
        <v>4.1654177499999996</v>
      </c>
      <c r="H57" s="185">
        <v>26692</v>
      </c>
      <c r="I57" s="185">
        <v>148273.0943797201</v>
      </c>
      <c r="J57" s="195">
        <v>1.6627442824094122E-2</v>
      </c>
      <c r="K57" s="185">
        <v>180</v>
      </c>
      <c r="L57" s="185">
        <v>63</v>
      </c>
      <c r="M57" s="197">
        <v>0.35</v>
      </c>
      <c r="N57" s="198">
        <v>2.1425714285714283</v>
      </c>
      <c r="O57" s="198">
        <v>4.1166661666666666</v>
      </c>
      <c r="P57" s="185">
        <v>3211</v>
      </c>
      <c r="Q57" s="185">
        <v>6879.7968571428564</v>
      </c>
      <c r="R57" s="195">
        <v>1.1489628142784737E-2</v>
      </c>
      <c r="S57" s="185">
        <v>1262</v>
      </c>
      <c r="T57" s="185">
        <v>596</v>
      </c>
      <c r="U57" s="197">
        <v>0.47226624405705231</v>
      </c>
      <c r="V57" s="198">
        <v>1.997113018220227</v>
      </c>
      <c r="W57" s="198">
        <v>4.1602644786073828</v>
      </c>
      <c r="X57" s="185">
        <v>29903</v>
      </c>
      <c r="Y57" s="185">
        <v>155152.89123686295</v>
      </c>
      <c r="Z57" s="195">
        <v>1.6304157079308785E-2</v>
      </c>
      <c r="AA57" s="206"/>
    </row>
    <row r="58" spans="1:27" ht="24" customHeight="1" x14ac:dyDescent="0.35">
      <c r="A58" s="162" t="s">
        <v>269</v>
      </c>
      <c r="B58" s="110" t="s">
        <v>148</v>
      </c>
      <c r="C58" s="185">
        <v>34</v>
      </c>
      <c r="D58" s="185">
        <v>25</v>
      </c>
      <c r="E58" s="197">
        <v>0.73529411764705888</v>
      </c>
      <c r="F58" s="198">
        <v>1.36</v>
      </c>
      <c r="G58" s="198">
        <v>4.2633333333333336</v>
      </c>
      <c r="H58" s="185">
        <v>1279</v>
      </c>
      <c r="I58" s="185">
        <v>5218.3200000000006</v>
      </c>
      <c r="J58" s="195">
        <v>5.8518585452610851E-4</v>
      </c>
      <c r="K58" s="201"/>
      <c r="L58" s="201"/>
      <c r="M58" s="201"/>
      <c r="N58" s="201"/>
      <c r="O58" s="201"/>
      <c r="P58" s="201"/>
      <c r="Q58" s="201"/>
      <c r="R58" s="201"/>
      <c r="S58" s="185">
        <v>34</v>
      </c>
      <c r="T58" s="185">
        <v>25</v>
      </c>
      <c r="U58" s="197">
        <v>0.73529411764705888</v>
      </c>
      <c r="V58" s="198">
        <v>1.36</v>
      </c>
      <c r="W58" s="198">
        <v>4.2633333333333336</v>
      </c>
      <c r="X58" s="185">
        <v>1279</v>
      </c>
      <c r="Y58" s="185">
        <v>5218.3200000000006</v>
      </c>
      <c r="Z58" s="195">
        <v>5.4836431530116601E-4</v>
      </c>
      <c r="AA58" s="206"/>
    </row>
    <row r="59" spans="1:27" ht="15" customHeight="1" x14ac:dyDescent="0.35">
      <c r="A59" s="162" t="s">
        <v>319</v>
      </c>
      <c r="B59" s="110" t="s">
        <v>396</v>
      </c>
      <c r="C59" s="185">
        <v>3</v>
      </c>
      <c r="D59" s="185">
        <v>3</v>
      </c>
      <c r="E59" s="197">
        <v>1</v>
      </c>
      <c r="F59" s="198">
        <v>1</v>
      </c>
      <c r="G59" s="198">
        <v>2.944444166666667</v>
      </c>
      <c r="H59" s="185">
        <v>106</v>
      </c>
      <c r="I59" s="185">
        <v>318</v>
      </c>
      <c r="J59" s="195">
        <v>3.5660730223386547E-5</v>
      </c>
      <c r="K59" s="201"/>
      <c r="L59" s="201"/>
      <c r="M59" s="201"/>
      <c r="N59" s="201"/>
      <c r="O59" s="201"/>
      <c r="P59" s="201"/>
      <c r="Q59" s="201"/>
      <c r="R59" s="201"/>
      <c r="S59" s="185">
        <v>3</v>
      </c>
      <c r="T59" s="185">
        <v>3</v>
      </c>
      <c r="U59" s="197">
        <v>1</v>
      </c>
      <c r="V59" s="198">
        <v>1</v>
      </c>
      <c r="W59" s="198">
        <v>2.944444166666667</v>
      </c>
      <c r="X59" s="185">
        <v>106</v>
      </c>
      <c r="Y59" s="185">
        <v>318</v>
      </c>
      <c r="Z59" s="195">
        <v>3.3416856817092618E-5</v>
      </c>
      <c r="AA59" s="206"/>
    </row>
    <row r="60" spans="1:27" ht="15" customHeight="1" x14ac:dyDescent="0.35">
      <c r="A60" s="162" t="s">
        <v>199</v>
      </c>
      <c r="B60" s="110" t="s">
        <v>121</v>
      </c>
      <c r="C60" s="185">
        <v>877</v>
      </c>
      <c r="D60" s="185">
        <v>283</v>
      </c>
      <c r="E60" s="197">
        <v>0.32269099201824403</v>
      </c>
      <c r="F60" s="198">
        <v>2.1982818048542105</v>
      </c>
      <c r="G60" s="198">
        <v>4.0518252500000003</v>
      </c>
      <c r="H60" s="185">
        <v>13760</v>
      </c>
      <c r="I60" s="185">
        <v>90745.072904381814</v>
      </c>
      <c r="J60" s="195">
        <v>1.0176212465234919E-2</v>
      </c>
      <c r="K60" s="185">
        <v>163</v>
      </c>
      <c r="L60" s="185">
        <v>46</v>
      </c>
      <c r="M60" s="197">
        <v>0.2822085889570552</v>
      </c>
      <c r="N60" s="198">
        <v>2.2808659070990358</v>
      </c>
      <c r="O60" s="198">
        <v>4.0760865833333337</v>
      </c>
      <c r="P60" s="185">
        <v>2250</v>
      </c>
      <c r="Q60" s="185">
        <v>5131.9482909728304</v>
      </c>
      <c r="R60" s="195">
        <v>8.5706276995749821E-3</v>
      </c>
      <c r="S60" s="185">
        <v>1040</v>
      </c>
      <c r="T60" s="185">
        <v>329</v>
      </c>
      <c r="U60" s="197">
        <v>0.31634615384615383</v>
      </c>
      <c r="V60" s="198">
        <v>2.239573855976623</v>
      </c>
      <c r="W60" s="198">
        <v>4.0552174121073952</v>
      </c>
      <c r="X60" s="185">
        <v>16010</v>
      </c>
      <c r="Y60" s="185">
        <v>95877.021195354639</v>
      </c>
      <c r="Z60" s="195">
        <v>1.0075184557655723E-2</v>
      </c>
      <c r="AA60" s="206"/>
    </row>
    <row r="61" spans="1:27" x14ac:dyDescent="0.35">
      <c r="A61" s="162" t="s">
        <v>317</v>
      </c>
      <c r="B61" s="110" t="s">
        <v>26</v>
      </c>
      <c r="C61" s="185">
        <v>54</v>
      </c>
      <c r="D61" s="185">
        <v>25</v>
      </c>
      <c r="E61" s="197">
        <v>0.46296296296296297</v>
      </c>
      <c r="F61" s="198">
        <v>1.9121269841269841</v>
      </c>
      <c r="G61" s="198">
        <v>4.5466666666666669</v>
      </c>
      <c r="H61" s="185">
        <v>1364</v>
      </c>
      <c r="I61" s="185">
        <v>7824.4236190476195</v>
      </c>
      <c r="J61" s="195">
        <v>8.7743603720865098E-4</v>
      </c>
      <c r="K61" s="185">
        <v>33</v>
      </c>
      <c r="L61" s="185">
        <v>9</v>
      </c>
      <c r="M61" s="197">
        <v>0.27272727272727271</v>
      </c>
      <c r="N61" s="198">
        <v>2.3002077922077921</v>
      </c>
      <c r="O61" s="198">
        <v>4.3240735833333339</v>
      </c>
      <c r="P61" s="185">
        <v>467</v>
      </c>
      <c r="Q61" s="185">
        <v>1074.197038961039</v>
      </c>
      <c r="R61" s="195">
        <v>1.7939664187800462E-3</v>
      </c>
      <c r="S61" s="185">
        <v>87</v>
      </c>
      <c r="T61" s="185">
        <v>34</v>
      </c>
      <c r="U61" s="197">
        <v>0.39080459770114945</v>
      </c>
      <c r="V61" s="198">
        <v>2.1061673881673881</v>
      </c>
      <c r="W61" s="198">
        <v>4.487744968137255</v>
      </c>
      <c r="X61" s="185">
        <v>1831</v>
      </c>
      <c r="Y61" s="185">
        <v>8898.6206580086582</v>
      </c>
      <c r="Z61" s="195">
        <v>9.3510670565502465E-4</v>
      </c>
      <c r="AA61" s="206"/>
    </row>
    <row r="62" spans="1:27" x14ac:dyDescent="0.35">
      <c r="A62" s="162" t="s">
        <v>294</v>
      </c>
      <c r="B62" s="110" t="s">
        <v>155</v>
      </c>
      <c r="C62" s="185">
        <v>52</v>
      </c>
      <c r="D62" s="185">
        <v>35</v>
      </c>
      <c r="E62" s="197">
        <v>0.67307692307692313</v>
      </c>
      <c r="F62" s="198">
        <v>1.4834945054945057</v>
      </c>
      <c r="G62" s="198">
        <v>4.4547614166666669</v>
      </c>
      <c r="H62" s="185">
        <v>1871</v>
      </c>
      <c r="I62" s="185">
        <v>8326.8546593406609</v>
      </c>
      <c r="J62" s="195">
        <v>9.3377898621414032E-4</v>
      </c>
      <c r="K62" s="185">
        <v>14</v>
      </c>
      <c r="L62" s="185">
        <v>12</v>
      </c>
      <c r="M62" s="197">
        <v>0.8571428571428571</v>
      </c>
      <c r="N62" s="198">
        <v>1.1666666666666667</v>
      </c>
      <c r="O62" s="198">
        <v>4.5902776666666671</v>
      </c>
      <c r="P62" s="185">
        <v>661</v>
      </c>
      <c r="Q62" s="185">
        <v>771.16666666666674</v>
      </c>
      <c r="R62" s="195">
        <v>1.2878895147771146E-3</v>
      </c>
      <c r="S62" s="185">
        <v>66</v>
      </c>
      <c r="T62" s="185">
        <v>47</v>
      </c>
      <c r="U62" s="197">
        <v>0.71212121212121215</v>
      </c>
      <c r="V62" s="198">
        <v>1.3250805860805861</v>
      </c>
      <c r="W62" s="198">
        <v>4.4893613102836882</v>
      </c>
      <c r="X62" s="185">
        <v>2532</v>
      </c>
      <c r="Y62" s="185">
        <v>9098.0213260073269</v>
      </c>
      <c r="Z62" s="195">
        <v>9.5606061625799364E-4</v>
      </c>
      <c r="AA62" s="206"/>
    </row>
    <row r="63" spans="1:27" ht="15" customHeight="1" x14ac:dyDescent="0.35">
      <c r="A63" s="162" t="s">
        <v>299</v>
      </c>
      <c r="B63" s="110" t="s">
        <v>39</v>
      </c>
      <c r="C63" s="185">
        <v>963</v>
      </c>
      <c r="D63" s="185">
        <v>445</v>
      </c>
      <c r="E63" s="197">
        <v>0.46209761163032192</v>
      </c>
      <c r="F63" s="198">
        <v>1.9138923008455717</v>
      </c>
      <c r="G63" s="198">
        <v>4.2597154999999995</v>
      </c>
      <c r="H63" s="185">
        <v>22798</v>
      </c>
      <c r="I63" s="185">
        <v>130898.75002403204</v>
      </c>
      <c r="J63" s="195">
        <v>1.4679072362218616E-2</v>
      </c>
      <c r="K63" s="185">
        <v>295</v>
      </c>
      <c r="L63" s="185">
        <v>93</v>
      </c>
      <c r="M63" s="197">
        <v>0.31525423728813562</v>
      </c>
      <c r="N63" s="198">
        <v>2.213452784503632</v>
      </c>
      <c r="O63" s="198">
        <v>4.1774187500000002</v>
      </c>
      <c r="P63" s="185">
        <v>4662</v>
      </c>
      <c r="Q63" s="185">
        <v>10319.116881355932</v>
      </c>
      <c r="R63" s="195">
        <v>1.7233476248011009E-2</v>
      </c>
      <c r="S63" s="185">
        <v>1258</v>
      </c>
      <c r="T63" s="185">
        <v>538</v>
      </c>
      <c r="U63" s="197">
        <v>0.42766295707472179</v>
      </c>
      <c r="V63" s="198">
        <v>2.0636725426746017</v>
      </c>
      <c r="W63" s="198">
        <v>4.245489481877323</v>
      </c>
      <c r="X63" s="185">
        <v>27460</v>
      </c>
      <c r="Y63" s="185">
        <v>141217.86690538796</v>
      </c>
      <c r="Z63" s="195">
        <v>1.483980263645469E-2</v>
      </c>
      <c r="AA63" s="206"/>
    </row>
    <row r="64" spans="1:27" x14ac:dyDescent="0.35">
      <c r="A64" s="162" t="s">
        <v>239</v>
      </c>
      <c r="B64" s="110" t="s">
        <v>490</v>
      </c>
      <c r="C64" s="185">
        <v>317</v>
      </c>
      <c r="D64" s="185">
        <v>186</v>
      </c>
      <c r="E64" s="197">
        <v>0.58675078864353314</v>
      </c>
      <c r="F64" s="198">
        <v>1.659599819738621</v>
      </c>
      <c r="G64" s="198">
        <v>4.1711465833333339</v>
      </c>
      <c r="H64" s="185">
        <v>9310</v>
      </c>
      <c r="I64" s="185">
        <v>46352.622965299684</v>
      </c>
      <c r="J64" s="195">
        <v>5.1980137821129053E-3</v>
      </c>
      <c r="K64" s="185">
        <v>38</v>
      </c>
      <c r="L64" s="185">
        <v>18</v>
      </c>
      <c r="M64" s="197">
        <v>0.47368421052631576</v>
      </c>
      <c r="N64" s="198">
        <v>1.8902556390977445</v>
      </c>
      <c r="O64" s="198">
        <v>4.175925583333334</v>
      </c>
      <c r="P64" s="185">
        <v>902</v>
      </c>
      <c r="Q64" s="185">
        <v>1705.0105864661655</v>
      </c>
      <c r="R64" s="195">
        <v>2.8474587294926561E-3</v>
      </c>
      <c r="S64" s="185">
        <v>355</v>
      </c>
      <c r="T64" s="185">
        <v>204</v>
      </c>
      <c r="U64" s="197">
        <v>0.57464788732394367</v>
      </c>
      <c r="V64" s="198">
        <v>1.7749277294181827</v>
      </c>
      <c r="W64" s="198">
        <v>4.1715682598039221</v>
      </c>
      <c r="X64" s="185">
        <v>10212</v>
      </c>
      <c r="Y64" s="185">
        <v>48057.633551765852</v>
      </c>
      <c r="Z64" s="195">
        <v>5.0501102495838545E-3</v>
      </c>
      <c r="AA64" s="206"/>
    </row>
    <row r="65" spans="1:27" x14ac:dyDescent="0.35">
      <c r="A65" s="162" t="s">
        <v>234</v>
      </c>
      <c r="B65" s="110" t="s">
        <v>95</v>
      </c>
      <c r="C65" s="185">
        <v>31</v>
      </c>
      <c r="D65" s="185">
        <v>14</v>
      </c>
      <c r="E65" s="197">
        <v>0.45161290322580644</v>
      </c>
      <c r="F65" s="198">
        <v>1.9352811059907835</v>
      </c>
      <c r="G65" s="198">
        <v>4.1726185833333336</v>
      </c>
      <c r="H65" s="185">
        <v>701</v>
      </c>
      <c r="I65" s="185">
        <v>4069.8961658986177</v>
      </c>
      <c r="J65" s="195">
        <v>4.5640084657014426E-4</v>
      </c>
      <c r="K65" s="185">
        <v>1</v>
      </c>
      <c r="L65" s="185">
        <v>1</v>
      </c>
      <c r="M65" s="197">
        <v>1</v>
      </c>
      <c r="N65" s="198">
        <v>1</v>
      </c>
      <c r="O65" s="198">
        <v>4.833333333333333</v>
      </c>
      <c r="P65" s="185">
        <v>58</v>
      </c>
      <c r="Q65" s="185">
        <v>58</v>
      </c>
      <c r="R65" s="195">
        <v>9.6863097286024598E-5</v>
      </c>
      <c r="S65" s="185">
        <v>32</v>
      </c>
      <c r="T65" s="185">
        <v>15</v>
      </c>
      <c r="U65" s="197">
        <v>0.46875</v>
      </c>
      <c r="V65" s="198">
        <v>1.4676405529953918</v>
      </c>
      <c r="W65" s="198">
        <v>4.216666233333334</v>
      </c>
      <c r="X65" s="185">
        <v>759</v>
      </c>
      <c r="Y65" s="185">
        <v>4127.8961658986173</v>
      </c>
      <c r="Z65" s="195">
        <v>4.3377772053981037E-4</v>
      </c>
      <c r="AA65" s="206"/>
    </row>
    <row r="66" spans="1:27" ht="15" customHeight="1" x14ac:dyDescent="0.35">
      <c r="A66" s="162" t="s">
        <v>328</v>
      </c>
      <c r="B66" s="110" t="s">
        <v>153</v>
      </c>
      <c r="C66" s="185">
        <v>151</v>
      </c>
      <c r="D66" s="185">
        <v>98</v>
      </c>
      <c r="E66" s="197">
        <v>0.64900662251655628</v>
      </c>
      <c r="F66" s="198">
        <v>1.5325979186376539</v>
      </c>
      <c r="G66" s="198">
        <v>4.3818023333333329</v>
      </c>
      <c r="H66" s="185">
        <v>5153</v>
      </c>
      <c r="I66" s="185">
        <v>23692.431224219494</v>
      </c>
      <c r="J66" s="195">
        <v>2.6568849000724254E-3</v>
      </c>
      <c r="K66" s="185">
        <v>28</v>
      </c>
      <c r="L66" s="185">
        <v>5</v>
      </c>
      <c r="M66" s="197">
        <v>0.17857142857142858</v>
      </c>
      <c r="N66" s="198">
        <v>2.4485709999999998</v>
      </c>
      <c r="O66" s="198">
        <v>4.2166666666666668</v>
      </c>
      <c r="P66" s="185">
        <v>253</v>
      </c>
      <c r="Q66" s="185">
        <v>619.48846299999991</v>
      </c>
      <c r="R66" s="195">
        <v>1.0345788148127387E-3</v>
      </c>
      <c r="S66" s="185">
        <v>179</v>
      </c>
      <c r="T66" s="185">
        <v>103</v>
      </c>
      <c r="U66" s="197">
        <v>0.57541899441340782</v>
      </c>
      <c r="V66" s="198">
        <v>1.9905844593188269</v>
      </c>
      <c r="W66" s="198">
        <v>4.3737860388349512</v>
      </c>
      <c r="X66" s="185">
        <v>5406</v>
      </c>
      <c r="Y66" s="185">
        <v>24311.919687219495</v>
      </c>
      <c r="Z66" s="195">
        <v>2.5548048400517893E-3</v>
      </c>
      <c r="AA66" s="206"/>
    </row>
    <row r="67" spans="1:27" ht="24" customHeight="1" x14ac:dyDescent="0.35">
      <c r="A67" s="162" t="s">
        <v>213</v>
      </c>
      <c r="B67" s="110" t="s">
        <v>111</v>
      </c>
      <c r="C67" s="185">
        <v>2829</v>
      </c>
      <c r="D67" s="185">
        <v>1238</v>
      </c>
      <c r="E67" s="197">
        <v>0.43761046306115237</v>
      </c>
      <c r="F67" s="198">
        <v>1.9638460839266778</v>
      </c>
      <c r="G67" s="198">
        <v>4.1104598333333335</v>
      </c>
      <c r="H67" s="185">
        <v>61065</v>
      </c>
      <c r="I67" s="185">
        <v>359766.78334494773</v>
      </c>
      <c r="J67" s="195">
        <v>4.03444849188671E-2</v>
      </c>
      <c r="K67" s="185">
        <v>712</v>
      </c>
      <c r="L67" s="185">
        <v>225</v>
      </c>
      <c r="M67" s="197">
        <v>0.3160112359550562</v>
      </c>
      <c r="N67" s="198">
        <v>2.2119085072231139</v>
      </c>
      <c r="O67" s="198">
        <v>4.1485179999999993</v>
      </c>
      <c r="P67" s="185">
        <v>11201</v>
      </c>
      <c r="Q67" s="185">
        <v>24775.587189406098</v>
      </c>
      <c r="R67" s="195">
        <v>4.1376553659410821E-2</v>
      </c>
      <c r="S67" s="185">
        <v>3541</v>
      </c>
      <c r="T67" s="185">
        <v>1463</v>
      </c>
      <c r="U67" s="197">
        <v>0.41316012425868398</v>
      </c>
      <c r="V67" s="198">
        <v>2.0878772955748959</v>
      </c>
      <c r="W67" s="198">
        <v>4.1163129348370928</v>
      </c>
      <c r="X67" s="185">
        <v>72266</v>
      </c>
      <c r="Y67" s="185">
        <v>384542.37053435383</v>
      </c>
      <c r="Z67" s="195">
        <v>4.0409425585697725E-2</v>
      </c>
      <c r="AA67" s="206"/>
    </row>
    <row r="68" spans="1:27" x14ac:dyDescent="0.35">
      <c r="A68" s="162" t="s">
        <v>252</v>
      </c>
      <c r="B68" s="110" t="s">
        <v>85</v>
      </c>
      <c r="C68" s="185">
        <v>1747</v>
      </c>
      <c r="D68" s="185">
        <v>1517</v>
      </c>
      <c r="E68" s="197">
        <v>0.8683457355466514</v>
      </c>
      <c r="F68" s="198">
        <v>1.1516150296638101</v>
      </c>
      <c r="G68" s="198">
        <v>4.2866157500000002</v>
      </c>
      <c r="H68" s="185">
        <v>78085</v>
      </c>
      <c r="I68" s="185">
        <v>269771.57877389586</v>
      </c>
      <c r="J68" s="195">
        <v>3.0252363184254633E-2</v>
      </c>
      <c r="K68" s="185">
        <v>639</v>
      </c>
      <c r="L68" s="185">
        <v>427</v>
      </c>
      <c r="M68" s="197">
        <v>0.66823161189358371</v>
      </c>
      <c r="N68" s="198">
        <v>1.4933789403085178</v>
      </c>
      <c r="O68" s="198">
        <v>4.1879385833333336</v>
      </c>
      <c r="P68" s="185">
        <v>21459</v>
      </c>
      <c r="Q68" s="185">
        <v>32046.418680080486</v>
      </c>
      <c r="R68" s="195">
        <v>5.3519230522022621E-2</v>
      </c>
      <c r="S68" s="185">
        <v>2386</v>
      </c>
      <c r="T68" s="185">
        <v>1944</v>
      </c>
      <c r="U68" s="197">
        <v>0.81475272422464373</v>
      </c>
      <c r="V68" s="198">
        <v>1.3224969849861639</v>
      </c>
      <c r="W68" s="198">
        <v>4.2649412900377222</v>
      </c>
      <c r="X68" s="185">
        <v>99544</v>
      </c>
      <c r="Y68" s="185">
        <v>301817.99745397636</v>
      </c>
      <c r="Z68" s="195">
        <v>3.1716379892267776E-2</v>
      </c>
      <c r="AA68" s="206"/>
    </row>
    <row r="69" spans="1:27" x14ac:dyDescent="0.35">
      <c r="A69" s="162" t="s">
        <v>292</v>
      </c>
      <c r="B69" s="110" t="s">
        <v>47</v>
      </c>
      <c r="C69" s="185">
        <v>12</v>
      </c>
      <c r="D69" s="185">
        <v>6</v>
      </c>
      <c r="E69" s="197">
        <v>0.5</v>
      </c>
      <c r="F69" s="198">
        <v>1.8365714285714285</v>
      </c>
      <c r="G69" s="198">
        <v>4.3333329999999997</v>
      </c>
      <c r="H69" s="185">
        <v>312</v>
      </c>
      <c r="I69" s="185">
        <v>1719.030857142857</v>
      </c>
      <c r="J69" s="195">
        <v>1.9277325673663009E-4</v>
      </c>
      <c r="K69" s="185">
        <v>4</v>
      </c>
      <c r="L69" s="185">
        <v>3</v>
      </c>
      <c r="M69" s="197">
        <v>0.75</v>
      </c>
      <c r="N69" s="198">
        <v>1.3333333333333333</v>
      </c>
      <c r="O69" s="198">
        <v>3.8055551666666676</v>
      </c>
      <c r="P69" s="185">
        <v>137</v>
      </c>
      <c r="Q69" s="185">
        <v>182.66666666666666</v>
      </c>
      <c r="R69" s="195">
        <v>3.0506308800426138E-4</v>
      </c>
      <c r="S69" s="185">
        <v>16</v>
      </c>
      <c r="T69" s="185">
        <v>9</v>
      </c>
      <c r="U69" s="197">
        <v>0.5625</v>
      </c>
      <c r="V69" s="198">
        <v>1.5849523809523809</v>
      </c>
      <c r="W69" s="198">
        <v>4.1574070555555558</v>
      </c>
      <c r="X69" s="185">
        <v>449</v>
      </c>
      <c r="Y69" s="185">
        <v>1901.6975238095238</v>
      </c>
      <c r="Z69" s="195">
        <v>1.9983884862441017E-4</v>
      </c>
      <c r="AA69" s="206"/>
    </row>
    <row r="70" spans="1:27" x14ac:dyDescent="0.35">
      <c r="A70" s="162" t="s">
        <v>270</v>
      </c>
      <c r="B70" s="110" t="s">
        <v>53</v>
      </c>
      <c r="C70" s="185">
        <v>2210</v>
      </c>
      <c r="D70" s="185">
        <v>1163</v>
      </c>
      <c r="E70" s="197">
        <v>0.52624434389140273</v>
      </c>
      <c r="F70" s="198">
        <v>1.783032967032967</v>
      </c>
      <c r="G70" s="198">
        <v>4.2193580000000006</v>
      </c>
      <c r="H70" s="185">
        <v>58936</v>
      </c>
      <c r="I70" s="185">
        <v>315254.49283516483</v>
      </c>
      <c r="J70" s="195">
        <v>3.5352847234922519E-2</v>
      </c>
      <c r="K70" s="185">
        <v>784</v>
      </c>
      <c r="L70" s="185">
        <v>239</v>
      </c>
      <c r="M70" s="197">
        <v>0.30484693877551022</v>
      </c>
      <c r="N70" s="198">
        <v>2.2346836734693878</v>
      </c>
      <c r="O70" s="198">
        <v>4.2951385833333342</v>
      </c>
      <c r="P70" s="185">
        <v>12370</v>
      </c>
      <c r="Q70" s="185">
        <v>27643.037040816325</v>
      </c>
      <c r="R70" s="195">
        <v>4.6165348037340917E-2</v>
      </c>
      <c r="S70" s="185">
        <v>2994</v>
      </c>
      <c r="T70" s="185">
        <v>1402</v>
      </c>
      <c r="U70" s="197">
        <v>0.4682698730794923</v>
      </c>
      <c r="V70" s="198">
        <v>2.0088583202511776</v>
      </c>
      <c r="W70" s="198">
        <v>4.2322763733357114</v>
      </c>
      <c r="X70" s="185">
        <v>71306</v>
      </c>
      <c r="Y70" s="185">
        <v>342897.52987598116</v>
      </c>
      <c r="Z70" s="195">
        <v>3.6033200184906918E-2</v>
      </c>
      <c r="AA70" s="206"/>
    </row>
    <row r="71" spans="1:27" x14ac:dyDescent="0.35">
      <c r="A71" s="162" t="s">
        <v>293</v>
      </c>
      <c r="B71" s="110" t="s">
        <v>46</v>
      </c>
      <c r="C71" s="185">
        <v>37</v>
      </c>
      <c r="D71" s="185">
        <v>22</v>
      </c>
      <c r="E71" s="197">
        <v>0.59459459459459463</v>
      </c>
      <c r="F71" s="198">
        <v>1.6435984555984557</v>
      </c>
      <c r="G71" s="198">
        <v>4.0946965000000004</v>
      </c>
      <c r="H71" s="185">
        <v>1081</v>
      </c>
      <c r="I71" s="185">
        <v>5330.1897915057916</v>
      </c>
      <c r="J71" s="195">
        <v>5.9773100690043096E-4</v>
      </c>
      <c r="K71" s="185">
        <v>3</v>
      </c>
      <c r="L71" s="185">
        <v>2</v>
      </c>
      <c r="M71" s="197">
        <v>0.66666666666666663</v>
      </c>
      <c r="N71" s="198">
        <v>1.4965714285714287</v>
      </c>
      <c r="O71" s="198">
        <v>4.541666666666667</v>
      </c>
      <c r="P71" s="185">
        <v>109</v>
      </c>
      <c r="Q71" s="185">
        <v>163.12628571428573</v>
      </c>
      <c r="R71" s="195">
        <v>2.7242960832846039E-4</v>
      </c>
      <c r="S71" s="185">
        <v>40</v>
      </c>
      <c r="T71" s="185">
        <v>24</v>
      </c>
      <c r="U71" s="197">
        <v>0.6</v>
      </c>
      <c r="V71" s="198">
        <v>1.5700849420849421</v>
      </c>
      <c r="W71" s="198">
        <v>4.131944013888889</v>
      </c>
      <c r="X71" s="185">
        <v>1190</v>
      </c>
      <c r="Y71" s="185">
        <v>5493.3160772200772</v>
      </c>
      <c r="Z71" s="195">
        <v>5.772621283128812E-4</v>
      </c>
      <c r="AA71" s="206"/>
    </row>
    <row r="72" spans="1:27" ht="15" customHeight="1" x14ac:dyDescent="0.35">
      <c r="A72" s="162" t="s">
        <v>185</v>
      </c>
      <c r="B72" s="110" t="s">
        <v>127</v>
      </c>
      <c r="C72" s="185">
        <v>626</v>
      </c>
      <c r="D72" s="185">
        <v>534</v>
      </c>
      <c r="E72" s="197">
        <v>0.85303514376996803</v>
      </c>
      <c r="F72" s="198">
        <v>1.1722846441947565</v>
      </c>
      <c r="G72" s="198">
        <v>4.2809964166666665</v>
      </c>
      <c r="H72" s="185">
        <v>27484</v>
      </c>
      <c r="I72" s="185">
        <v>96657.213483146072</v>
      </c>
      <c r="J72" s="195">
        <v>1.0839203818134443E-2</v>
      </c>
      <c r="K72" s="185">
        <v>242</v>
      </c>
      <c r="L72" s="185">
        <v>147</v>
      </c>
      <c r="M72" s="197">
        <v>0.6074380165289256</v>
      </c>
      <c r="N72" s="198">
        <v>1.6173978748524203</v>
      </c>
      <c r="O72" s="198">
        <v>4.0478597500000006</v>
      </c>
      <c r="P72" s="185">
        <v>7189</v>
      </c>
      <c r="Q72" s="185">
        <v>11627.473322314048</v>
      </c>
      <c r="R72" s="195">
        <v>1.941850137258554E-2</v>
      </c>
      <c r="S72" s="185">
        <v>868</v>
      </c>
      <c r="T72" s="185">
        <v>681</v>
      </c>
      <c r="U72" s="197">
        <v>0.78456221198156684</v>
      </c>
      <c r="V72" s="198">
        <v>1.3948412595235884</v>
      </c>
      <c r="W72" s="198">
        <v>4.2306717617474296</v>
      </c>
      <c r="X72" s="185">
        <v>34673</v>
      </c>
      <c r="Y72" s="185">
        <v>108284.68680546012</v>
      </c>
      <c r="Z72" s="195">
        <v>1.1379037341074778E-2</v>
      </c>
      <c r="AA72" s="206"/>
    </row>
    <row r="73" spans="1:27" x14ac:dyDescent="0.35">
      <c r="A73" s="162" t="s">
        <v>241</v>
      </c>
      <c r="B73" s="110" t="s">
        <v>87</v>
      </c>
      <c r="C73" s="185">
        <v>16</v>
      </c>
      <c r="D73" s="185">
        <v>12</v>
      </c>
      <c r="E73" s="197">
        <v>0.75</v>
      </c>
      <c r="F73" s="198">
        <v>1.3333333333333333</v>
      </c>
      <c r="G73" s="198">
        <v>4.3194440833333339</v>
      </c>
      <c r="H73" s="185">
        <v>622</v>
      </c>
      <c r="I73" s="185">
        <v>2488</v>
      </c>
      <c r="J73" s="195">
        <v>2.7900596476662182E-4</v>
      </c>
      <c r="K73" s="185">
        <v>13</v>
      </c>
      <c r="L73" s="185">
        <v>12</v>
      </c>
      <c r="M73" s="197">
        <v>0.92307692307692313</v>
      </c>
      <c r="N73" s="198">
        <v>1.0833333333333335</v>
      </c>
      <c r="O73" s="198">
        <v>4.6736106666666668</v>
      </c>
      <c r="P73" s="185">
        <v>673</v>
      </c>
      <c r="Q73" s="185">
        <v>729.08333333333348</v>
      </c>
      <c r="R73" s="195">
        <v>1.2176081007980307E-3</v>
      </c>
      <c r="S73" s="185">
        <v>29</v>
      </c>
      <c r="T73" s="185">
        <v>24</v>
      </c>
      <c r="U73" s="197">
        <v>0.82758620689655171</v>
      </c>
      <c r="V73" s="198">
        <v>1.2083333333333335</v>
      </c>
      <c r="W73" s="198">
        <v>4.4965273750000003</v>
      </c>
      <c r="X73" s="185">
        <v>1295</v>
      </c>
      <c r="Y73" s="185">
        <v>3217.0833333333335</v>
      </c>
      <c r="Z73" s="195">
        <v>3.380654500586637E-4</v>
      </c>
      <c r="AA73" s="206"/>
    </row>
    <row r="74" spans="1:27" x14ac:dyDescent="0.35">
      <c r="A74" s="162" t="s">
        <v>295</v>
      </c>
      <c r="B74" s="110" t="s">
        <v>44</v>
      </c>
      <c r="C74" s="185">
        <v>1185</v>
      </c>
      <c r="D74" s="185">
        <v>562</v>
      </c>
      <c r="E74" s="197">
        <v>0.47426160337552742</v>
      </c>
      <c r="F74" s="198">
        <v>1.8890777576853526</v>
      </c>
      <c r="G74" s="198">
        <v>4.2999699166666669</v>
      </c>
      <c r="H74" s="185">
        <v>28999</v>
      </c>
      <c r="I74" s="185">
        <v>164344.09768535261</v>
      </c>
      <c r="J74" s="195">
        <v>1.8429655759003915E-2</v>
      </c>
      <c r="K74" s="185">
        <v>128</v>
      </c>
      <c r="L74" s="185">
        <v>45</v>
      </c>
      <c r="M74" s="197">
        <v>0.3515625</v>
      </c>
      <c r="N74" s="198">
        <v>2.1393839285714287</v>
      </c>
      <c r="O74" s="198">
        <v>4.4166662499999996</v>
      </c>
      <c r="P74" s="185">
        <v>2385</v>
      </c>
      <c r="Q74" s="185">
        <v>5102.4306696428575</v>
      </c>
      <c r="R74" s="195">
        <v>8.5213316956691681E-3</v>
      </c>
      <c r="S74" s="185">
        <v>1313</v>
      </c>
      <c r="T74" s="185">
        <v>607</v>
      </c>
      <c r="U74" s="197">
        <v>0.46230007616146229</v>
      </c>
      <c r="V74" s="198">
        <v>2.0142308431283906</v>
      </c>
      <c r="W74" s="198">
        <v>4.3086212099121353</v>
      </c>
      <c r="X74" s="185">
        <v>31384</v>
      </c>
      <c r="Y74" s="185">
        <v>169446.52835499548</v>
      </c>
      <c r="Z74" s="195">
        <v>1.7806196151548138E-2</v>
      </c>
      <c r="AA74" s="206"/>
    </row>
    <row r="75" spans="1:27" ht="24" customHeight="1" x14ac:dyDescent="0.35">
      <c r="A75" s="162" t="s">
        <v>285</v>
      </c>
      <c r="B75" s="110" t="s">
        <v>56</v>
      </c>
      <c r="C75" s="185">
        <v>737</v>
      </c>
      <c r="D75" s="185">
        <v>349</v>
      </c>
      <c r="E75" s="197">
        <v>0.47354138398914519</v>
      </c>
      <c r="F75" s="198">
        <v>1.8905470052335724</v>
      </c>
      <c r="G75" s="198">
        <v>4.3433329999999994</v>
      </c>
      <c r="H75" s="185">
        <v>18242</v>
      </c>
      <c r="I75" s="185">
        <v>103462.07540841248</v>
      </c>
      <c r="J75" s="195">
        <v>1.1602305532990796E-2</v>
      </c>
      <c r="K75" s="185">
        <v>190</v>
      </c>
      <c r="L75" s="185">
        <v>62</v>
      </c>
      <c r="M75" s="197">
        <v>0.32631578947368423</v>
      </c>
      <c r="N75" s="198">
        <v>2.1908872180451127</v>
      </c>
      <c r="O75" s="198">
        <v>4.2096769166666661</v>
      </c>
      <c r="P75" s="185">
        <v>3132</v>
      </c>
      <c r="Q75" s="185">
        <v>6861.858766917293</v>
      </c>
      <c r="R75" s="195">
        <v>1.1459670574187423E-2</v>
      </c>
      <c r="S75" s="185">
        <v>927</v>
      </c>
      <c r="T75" s="185">
        <v>411</v>
      </c>
      <c r="U75" s="197">
        <v>0.44336569579288027</v>
      </c>
      <c r="V75" s="198">
        <v>2.0407171116393426</v>
      </c>
      <c r="W75" s="198">
        <v>4.3231707684509324</v>
      </c>
      <c r="X75" s="185">
        <v>21374</v>
      </c>
      <c r="Y75" s="185">
        <v>110323.93417532978</v>
      </c>
      <c r="Z75" s="195">
        <v>1.1593330540362724E-2</v>
      </c>
      <c r="AA75" s="206"/>
    </row>
    <row r="76" spans="1:27" ht="15" customHeight="1" x14ac:dyDescent="0.35">
      <c r="A76" s="162" t="s">
        <v>236</v>
      </c>
      <c r="B76" s="110" t="s">
        <v>93</v>
      </c>
      <c r="C76" s="185">
        <v>58</v>
      </c>
      <c r="D76" s="185">
        <v>27</v>
      </c>
      <c r="E76" s="197">
        <v>0.46551724137931033</v>
      </c>
      <c r="F76" s="198">
        <v>1.9069162561576354</v>
      </c>
      <c r="G76" s="198">
        <v>4.2407404166666671</v>
      </c>
      <c r="H76" s="185">
        <v>1374</v>
      </c>
      <c r="I76" s="185">
        <v>7860.3088078817727</v>
      </c>
      <c r="J76" s="195">
        <v>8.814602260074875E-4</v>
      </c>
      <c r="K76" s="201"/>
      <c r="L76" s="201"/>
      <c r="M76" s="201"/>
      <c r="N76" s="201"/>
      <c r="O76" s="201"/>
      <c r="P76" s="201"/>
      <c r="Q76" s="201"/>
      <c r="R76" s="201"/>
      <c r="S76" s="185">
        <v>58</v>
      </c>
      <c r="T76" s="185">
        <v>27</v>
      </c>
      <c r="U76" s="197">
        <v>0.46551724137931033</v>
      </c>
      <c r="V76" s="198">
        <v>1.9069162561576354</v>
      </c>
      <c r="W76" s="198">
        <v>4.2407404166666671</v>
      </c>
      <c r="X76" s="185">
        <v>1374</v>
      </c>
      <c r="Y76" s="185">
        <v>7860.3088078817727</v>
      </c>
      <c r="Z76" s="195">
        <v>8.259962703494251E-4</v>
      </c>
      <c r="AA76" s="206"/>
    </row>
    <row r="77" spans="1:27" ht="24" customHeight="1" x14ac:dyDescent="0.35">
      <c r="A77" s="162" t="s">
        <v>260</v>
      </c>
      <c r="B77" s="110" t="s">
        <v>74</v>
      </c>
      <c r="C77" s="185">
        <v>129</v>
      </c>
      <c r="D77" s="185">
        <v>43</v>
      </c>
      <c r="E77" s="197">
        <v>0.33333333333333331</v>
      </c>
      <c r="F77" s="198">
        <v>2.1765714285714286</v>
      </c>
      <c r="G77" s="198">
        <v>4.4689917499999998</v>
      </c>
      <c r="H77" s="185">
        <v>2306</v>
      </c>
      <c r="I77" s="185">
        <v>15057.521142857144</v>
      </c>
      <c r="J77" s="195">
        <v>1.6885603751835463E-3</v>
      </c>
      <c r="K77" s="201"/>
      <c r="L77" s="201"/>
      <c r="M77" s="201"/>
      <c r="N77" s="201"/>
      <c r="O77" s="201"/>
      <c r="P77" s="201"/>
      <c r="Q77" s="201"/>
      <c r="R77" s="201"/>
      <c r="S77" s="185">
        <v>129</v>
      </c>
      <c r="T77" s="185">
        <v>43</v>
      </c>
      <c r="U77" s="197">
        <v>0.33333333333333331</v>
      </c>
      <c r="V77" s="198">
        <v>2.1765714285714286</v>
      </c>
      <c r="W77" s="198">
        <v>4.4689917499999998</v>
      </c>
      <c r="X77" s="185">
        <v>2306</v>
      </c>
      <c r="Y77" s="185">
        <v>15057.521142857144</v>
      </c>
      <c r="Z77" s="195">
        <v>1.5823114089660441E-3</v>
      </c>
      <c r="AA77" s="206"/>
    </row>
    <row r="78" spans="1:27" x14ac:dyDescent="0.35">
      <c r="A78" s="162" t="s">
        <v>222</v>
      </c>
      <c r="B78" s="110" t="s">
        <v>133</v>
      </c>
      <c r="C78" s="185">
        <v>23</v>
      </c>
      <c r="D78" s="185">
        <v>18</v>
      </c>
      <c r="E78" s="197">
        <v>0.78260869565217395</v>
      </c>
      <c r="F78" s="198">
        <v>1.2777777777777779</v>
      </c>
      <c r="G78" s="198">
        <v>4.1296291666666676</v>
      </c>
      <c r="H78" s="185">
        <v>892</v>
      </c>
      <c r="I78" s="185">
        <v>3419.3333333333335</v>
      </c>
      <c r="J78" s="195">
        <v>3.834463004523053E-4</v>
      </c>
      <c r="K78" s="201"/>
      <c r="L78" s="201"/>
      <c r="M78" s="201"/>
      <c r="N78" s="201"/>
      <c r="O78" s="201"/>
      <c r="P78" s="201"/>
      <c r="Q78" s="201"/>
      <c r="R78" s="201"/>
      <c r="S78" s="185">
        <v>23</v>
      </c>
      <c r="T78" s="185">
        <v>18</v>
      </c>
      <c r="U78" s="197">
        <v>0.78260869565217395</v>
      </c>
      <c r="V78" s="198">
        <v>1.2777777777777779</v>
      </c>
      <c r="W78" s="198">
        <v>4.1296291666666676</v>
      </c>
      <c r="X78" s="185">
        <v>892</v>
      </c>
      <c r="Y78" s="185">
        <v>3419.3333333333335</v>
      </c>
      <c r="Z78" s="195">
        <v>3.5931878116324538E-4</v>
      </c>
      <c r="AA78" s="206"/>
    </row>
    <row r="79" spans="1:27" x14ac:dyDescent="0.35">
      <c r="A79" s="162" t="s">
        <v>300</v>
      </c>
      <c r="B79" s="110" t="s">
        <v>38</v>
      </c>
      <c r="C79" s="185">
        <v>11</v>
      </c>
      <c r="D79" s="185">
        <v>5</v>
      </c>
      <c r="E79" s="197">
        <v>0.45454545454545453</v>
      </c>
      <c r="F79" s="198">
        <v>1.9292987012987013</v>
      </c>
      <c r="G79" s="198">
        <v>4.3166666666666664</v>
      </c>
      <c r="H79" s="185">
        <v>259</v>
      </c>
      <c r="I79" s="185">
        <v>1499.0650909090909</v>
      </c>
      <c r="J79" s="195">
        <v>1.6810615029624377E-4</v>
      </c>
      <c r="K79" s="201"/>
      <c r="L79" s="201"/>
      <c r="M79" s="201"/>
      <c r="N79" s="201"/>
      <c r="O79" s="201"/>
      <c r="P79" s="201"/>
      <c r="Q79" s="201"/>
      <c r="R79" s="201"/>
      <c r="S79" s="185">
        <v>11</v>
      </c>
      <c r="T79" s="185">
        <v>5</v>
      </c>
      <c r="U79" s="197">
        <v>0.45454545454545453</v>
      </c>
      <c r="V79" s="198">
        <v>1.9292987012987013</v>
      </c>
      <c r="W79" s="198">
        <v>4.3166666666666664</v>
      </c>
      <c r="X79" s="185">
        <v>259</v>
      </c>
      <c r="Y79" s="185">
        <v>1499.0650909090909</v>
      </c>
      <c r="Z79" s="195">
        <v>1.5752843868682711E-4</v>
      </c>
      <c r="AA79" s="206"/>
    </row>
    <row r="80" spans="1:27" ht="24" customHeight="1" x14ac:dyDescent="0.35">
      <c r="A80" s="162" t="s">
        <v>203</v>
      </c>
      <c r="B80" s="110" t="s">
        <v>117</v>
      </c>
      <c r="C80" s="185">
        <v>68</v>
      </c>
      <c r="D80" s="185">
        <v>23</v>
      </c>
      <c r="E80" s="197">
        <v>0.33823529411764708</v>
      </c>
      <c r="F80" s="198">
        <v>2.1665714285714288</v>
      </c>
      <c r="G80" s="198">
        <v>4.2934778333333323</v>
      </c>
      <c r="H80" s="185">
        <v>1185</v>
      </c>
      <c r="I80" s="185">
        <v>7702.1614285714295</v>
      </c>
      <c r="J80" s="195">
        <v>8.6372547434358272E-4</v>
      </c>
      <c r="K80" s="185">
        <v>72</v>
      </c>
      <c r="L80" s="185">
        <v>10</v>
      </c>
      <c r="M80" s="197">
        <v>0.1388888888888889</v>
      </c>
      <c r="N80" s="198">
        <v>2.4485709999999998</v>
      </c>
      <c r="O80" s="198">
        <v>3.9</v>
      </c>
      <c r="P80" s="185">
        <v>468</v>
      </c>
      <c r="Q80" s="185">
        <v>1145.9312279999999</v>
      </c>
      <c r="R80" s="195">
        <v>1.9137663451872006E-3</v>
      </c>
      <c r="S80" s="185">
        <v>140</v>
      </c>
      <c r="T80" s="185">
        <v>33</v>
      </c>
      <c r="U80" s="197">
        <v>0.23571428571428571</v>
      </c>
      <c r="V80" s="198">
        <v>2.3075712142857143</v>
      </c>
      <c r="W80" s="198">
        <v>4.1742421262626257</v>
      </c>
      <c r="X80" s="185">
        <v>1653</v>
      </c>
      <c r="Y80" s="185">
        <v>8848.092656571429</v>
      </c>
      <c r="Z80" s="195">
        <v>9.2979699814156006E-4</v>
      </c>
      <c r="AA80" s="206"/>
    </row>
    <row r="81" spans="1:27" ht="15" customHeight="1" x14ac:dyDescent="0.35">
      <c r="A81" s="162" t="s">
        <v>242</v>
      </c>
      <c r="B81" s="110" t="s">
        <v>86</v>
      </c>
      <c r="C81" s="185">
        <v>70</v>
      </c>
      <c r="D81" s="185">
        <v>42</v>
      </c>
      <c r="E81" s="197">
        <v>0.6</v>
      </c>
      <c r="F81" s="198">
        <v>1.6325714285714286</v>
      </c>
      <c r="G81" s="198">
        <v>4.3670629999999999</v>
      </c>
      <c r="H81" s="185">
        <v>2201</v>
      </c>
      <c r="I81" s="185">
        <v>10779.869142857142</v>
      </c>
      <c r="J81" s="195">
        <v>1.2088616520340809E-3</v>
      </c>
      <c r="K81" s="185">
        <v>12</v>
      </c>
      <c r="L81" s="185">
        <v>4</v>
      </c>
      <c r="M81" s="197">
        <v>0.33333333333333331</v>
      </c>
      <c r="N81" s="198">
        <v>2.1765714285714286</v>
      </c>
      <c r="O81" s="198">
        <v>4.104166666666667</v>
      </c>
      <c r="P81" s="185">
        <v>197</v>
      </c>
      <c r="Q81" s="185">
        <v>428.78457142857144</v>
      </c>
      <c r="R81" s="195">
        <v>7.1609313201779449E-4</v>
      </c>
      <c r="S81" s="185">
        <v>82</v>
      </c>
      <c r="T81" s="185">
        <v>46</v>
      </c>
      <c r="U81" s="197">
        <v>0.56097560975609762</v>
      </c>
      <c r="V81" s="198">
        <v>1.9045714285714286</v>
      </c>
      <c r="W81" s="198">
        <v>4.3442024492753628</v>
      </c>
      <c r="X81" s="185">
        <v>2398</v>
      </c>
      <c r="Y81" s="185">
        <v>11208.653714285714</v>
      </c>
      <c r="Z81" s="195">
        <v>1.1778552713291165E-3</v>
      </c>
      <c r="AA81" s="206"/>
    </row>
    <row r="82" spans="1:27" ht="15" customHeight="1" x14ac:dyDescent="0.35">
      <c r="A82" s="162" t="s">
        <v>250</v>
      </c>
      <c r="B82" s="110" t="s">
        <v>79</v>
      </c>
      <c r="C82" s="185">
        <v>11</v>
      </c>
      <c r="D82" s="185">
        <v>8</v>
      </c>
      <c r="E82" s="197">
        <v>0.72727272727272729</v>
      </c>
      <c r="F82" s="198">
        <v>1.3750000000000002</v>
      </c>
      <c r="G82" s="198">
        <v>4.447916666666667</v>
      </c>
      <c r="H82" s="185">
        <v>427</v>
      </c>
      <c r="I82" s="185">
        <v>1761.3750000000002</v>
      </c>
      <c r="J82" s="195">
        <v>1.9752175690948895E-4</v>
      </c>
      <c r="K82" s="201"/>
      <c r="L82" s="201"/>
      <c r="M82" s="201"/>
      <c r="N82" s="201"/>
      <c r="O82" s="201"/>
      <c r="P82" s="201"/>
      <c r="Q82" s="201"/>
      <c r="R82" s="201"/>
      <c r="S82" s="185">
        <v>11</v>
      </c>
      <c r="T82" s="185">
        <v>8</v>
      </c>
      <c r="U82" s="197">
        <v>0.72727272727272729</v>
      </c>
      <c r="V82" s="198">
        <v>1.3750000000000002</v>
      </c>
      <c r="W82" s="198">
        <v>4.447916666666667</v>
      </c>
      <c r="X82" s="185">
        <v>427</v>
      </c>
      <c r="Y82" s="185">
        <v>1761.3750000000002</v>
      </c>
      <c r="Z82" s="195">
        <v>1.8509313262958025E-4</v>
      </c>
      <c r="AA82" s="206"/>
    </row>
    <row r="83" spans="1:27" x14ac:dyDescent="0.35">
      <c r="A83" s="162" t="s">
        <v>325</v>
      </c>
      <c r="B83" s="110" t="s">
        <v>21</v>
      </c>
      <c r="C83" s="185">
        <v>2497</v>
      </c>
      <c r="D83" s="185">
        <v>921</v>
      </c>
      <c r="E83" s="197">
        <v>0.36884261113336003</v>
      </c>
      <c r="F83" s="198">
        <v>2.1041325018593739</v>
      </c>
      <c r="G83" s="198">
        <v>4.1837485000000001</v>
      </c>
      <c r="H83" s="185">
        <v>46289</v>
      </c>
      <c r="I83" s="185">
        <v>292194.56813570566</v>
      </c>
      <c r="J83" s="195">
        <v>3.2766892034674019E-2</v>
      </c>
      <c r="K83" s="185">
        <v>297</v>
      </c>
      <c r="L83" s="185">
        <v>60</v>
      </c>
      <c r="M83" s="197">
        <v>0.20202020202020202</v>
      </c>
      <c r="N83" s="198">
        <v>2.4444502164502162</v>
      </c>
      <c r="O83" s="198">
        <v>4.2847219166666672</v>
      </c>
      <c r="P83" s="185">
        <v>3085</v>
      </c>
      <c r="Q83" s="185">
        <v>7541.128917748917</v>
      </c>
      <c r="R83" s="195">
        <v>1.2594088000109771E-2</v>
      </c>
      <c r="S83" s="185">
        <v>2794</v>
      </c>
      <c r="T83" s="185">
        <v>981</v>
      </c>
      <c r="U83" s="197">
        <v>0.35110952040085897</v>
      </c>
      <c r="V83" s="198">
        <v>2.2742913591547951</v>
      </c>
      <c r="W83" s="198">
        <v>4.1899242441386342</v>
      </c>
      <c r="X83" s="185">
        <v>49374</v>
      </c>
      <c r="Y83" s="185">
        <v>299735.69705345458</v>
      </c>
      <c r="Z83" s="195">
        <v>3.1497562488700448E-2</v>
      </c>
      <c r="AA83" s="206"/>
    </row>
    <row r="84" spans="1:27" x14ac:dyDescent="0.35">
      <c r="A84" s="162" t="s">
        <v>290</v>
      </c>
      <c r="B84" s="110" t="s">
        <v>461</v>
      </c>
      <c r="C84" s="185">
        <v>392</v>
      </c>
      <c r="D84" s="185">
        <v>163</v>
      </c>
      <c r="E84" s="197">
        <v>0.41581632653061223</v>
      </c>
      <c r="F84" s="198">
        <v>2.0083061224489795</v>
      </c>
      <c r="G84" s="198">
        <v>4.4560322499999998</v>
      </c>
      <c r="H84" s="185">
        <v>8716</v>
      </c>
      <c r="I84" s="185">
        <v>52513.188489795917</v>
      </c>
      <c r="J84" s="195">
        <v>5.888863672655534E-3</v>
      </c>
      <c r="K84" s="185">
        <v>18</v>
      </c>
      <c r="L84" s="185">
        <v>6</v>
      </c>
      <c r="M84" s="197">
        <v>0.33333333333333331</v>
      </c>
      <c r="N84" s="198">
        <v>2.1765714285714286</v>
      </c>
      <c r="O84" s="198">
        <v>4.5972220000000004</v>
      </c>
      <c r="P84" s="185">
        <v>331</v>
      </c>
      <c r="Q84" s="185">
        <v>720.44514285714286</v>
      </c>
      <c r="R84" s="195">
        <v>1.2031818614106089E-3</v>
      </c>
      <c r="S84" s="185">
        <v>410</v>
      </c>
      <c r="T84" s="185">
        <v>169</v>
      </c>
      <c r="U84" s="197">
        <v>0.41219512195121949</v>
      </c>
      <c r="V84" s="198">
        <v>2.0924387755102041</v>
      </c>
      <c r="W84" s="198">
        <v>4.4610449038461537</v>
      </c>
      <c r="X84" s="185">
        <v>9047</v>
      </c>
      <c r="Y84" s="185">
        <v>53233.633632653058</v>
      </c>
      <c r="Z84" s="195">
        <v>5.5940273992324948E-3</v>
      </c>
      <c r="AA84" s="206"/>
    </row>
    <row r="85" spans="1:27" ht="24" customHeight="1" x14ac:dyDescent="0.35">
      <c r="A85" s="162" t="s">
        <v>281</v>
      </c>
      <c r="B85" s="110" t="s">
        <v>59</v>
      </c>
      <c r="C85" s="185">
        <v>39</v>
      </c>
      <c r="D85" s="185">
        <v>28</v>
      </c>
      <c r="E85" s="197">
        <v>0.71794871794871795</v>
      </c>
      <c r="F85" s="198">
        <v>1.392857142857143</v>
      </c>
      <c r="G85" s="198">
        <v>4.3482139166666673</v>
      </c>
      <c r="H85" s="185">
        <v>1461</v>
      </c>
      <c r="I85" s="185">
        <v>6104.8928571428578</v>
      </c>
      <c r="J85" s="195">
        <v>6.8460672082154388E-4</v>
      </c>
      <c r="K85" s="201"/>
      <c r="L85" s="201"/>
      <c r="M85" s="201"/>
      <c r="N85" s="201"/>
      <c r="O85" s="201"/>
      <c r="P85" s="201"/>
      <c r="Q85" s="201"/>
      <c r="R85" s="201"/>
      <c r="S85" s="185">
        <v>39</v>
      </c>
      <c r="T85" s="185">
        <v>28</v>
      </c>
      <c r="U85" s="197">
        <v>0.71794871794871795</v>
      </c>
      <c r="V85" s="198">
        <v>1.392857142857143</v>
      </c>
      <c r="W85" s="198">
        <v>4.3482139166666673</v>
      </c>
      <c r="X85" s="185">
        <v>1461</v>
      </c>
      <c r="Y85" s="185">
        <v>6104.8928571428578</v>
      </c>
      <c r="Z85" s="195">
        <v>6.4152934116614574E-4</v>
      </c>
      <c r="AA85" s="206"/>
    </row>
    <row r="86" spans="1:27" ht="15" customHeight="1" x14ac:dyDescent="0.35">
      <c r="A86" s="162" t="s">
        <v>266</v>
      </c>
      <c r="B86" s="110" t="s">
        <v>70</v>
      </c>
      <c r="C86" s="185">
        <v>444</v>
      </c>
      <c r="D86" s="185">
        <v>226</v>
      </c>
      <c r="E86" s="197">
        <v>0.50900900900900903</v>
      </c>
      <c r="F86" s="198">
        <v>1.8181930501930501</v>
      </c>
      <c r="G86" s="198">
        <v>4.2422561666666665</v>
      </c>
      <c r="H86" s="185">
        <v>11505</v>
      </c>
      <c r="I86" s="185">
        <v>62754.933127413125</v>
      </c>
      <c r="J86" s="195">
        <v>7.0373796869287516E-3</v>
      </c>
      <c r="K86" s="185">
        <v>221</v>
      </c>
      <c r="L86" s="185">
        <v>69</v>
      </c>
      <c r="M86" s="197">
        <v>0.31221719457013575</v>
      </c>
      <c r="N86" s="198">
        <v>2.2196483516483516</v>
      </c>
      <c r="O86" s="198">
        <v>4.0905793333333333</v>
      </c>
      <c r="P86" s="185">
        <v>3387</v>
      </c>
      <c r="Q86" s="185">
        <v>7517.9489670329667</v>
      </c>
      <c r="R86" s="195">
        <v>1.2555376244570387E-2</v>
      </c>
      <c r="S86" s="185">
        <v>665</v>
      </c>
      <c r="T86" s="185">
        <v>295</v>
      </c>
      <c r="U86" s="197">
        <v>0.44360902255639095</v>
      </c>
      <c r="V86" s="198">
        <v>2.0189207009207006</v>
      </c>
      <c r="W86" s="198">
        <v>4.2067792124293781</v>
      </c>
      <c r="X86" s="185">
        <v>14892</v>
      </c>
      <c r="Y86" s="185">
        <v>70272.882094446089</v>
      </c>
      <c r="Z86" s="195">
        <v>7.3845875442595486E-3</v>
      </c>
      <c r="AA86" s="206"/>
    </row>
    <row r="87" spans="1:27" ht="15" customHeight="1" x14ac:dyDescent="0.35">
      <c r="A87" s="162" t="s">
        <v>219</v>
      </c>
      <c r="B87" s="110" t="s">
        <v>106</v>
      </c>
      <c r="C87" s="185">
        <v>174</v>
      </c>
      <c r="D87" s="185">
        <v>127</v>
      </c>
      <c r="E87" s="197">
        <v>0.72988505747126442</v>
      </c>
      <c r="F87" s="198">
        <v>1.3700787401574805</v>
      </c>
      <c r="G87" s="198">
        <v>4.2682288333333336</v>
      </c>
      <c r="H87" s="185">
        <v>6556</v>
      </c>
      <c r="I87" s="185">
        <v>26946.708661417328</v>
      </c>
      <c r="J87" s="195">
        <v>3.0218217232169716E-3</v>
      </c>
      <c r="K87" s="185">
        <v>15</v>
      </c>
      <c r="L87" s="185">
        <v>8</v>
      </c>
      <c r="M87" s="197">
        <v>0.53333333333333333</v>
      </c>
      <c r="N87" s="198">
        <v>1.7685714285714285</v>
      </c>
      <c r="O87" s="198">
        <v>4.197916666666667</v>
      </c>
      <c r="P87" s="185">
        <v>403</v>
      </c>
      <c r="Q87" s="185">
        <v>712.73428571428565</v>
      </c>
      <c r="R87" s="195">
        <v>1.1903043182108293E-3</v>
      </c>
      <c r="S87" s="185">
        <v>189</v>
      </c>
      <c r="T87" s="185">
        <v>135</v>
      </c>
      <c r="U87" s="197">
        <v>0.7142857142857143</v>
      </c>
      <c r="V87" s="198">
        <v>1.5693250843644546</v>
      </c>
      <c r="W87" s="198">
        <v>4.2640621864197534</v>
      </c>
      <c r="X87" s="185">
        <v>6959</v>
      </c>
      <c r="Y87" s="185">
        <v>27659.442947131614</v>
      </c>
      <c r="Z87" s="195">
        <v>2.9065774987573566E-3</v>
      </c>
      <c r="AA87" s="206"/>
    </row>
    <row r="88" spans="1:27" x14ac:dyDescent="0.35">
      <c r="A88" s="162" t="s">
        <v>318</v>
      </c>
      <c r="B88" s="110" t="s">
        <v>131</v>
      </c>
      <c r="C88" s="185">
        <v>92</v>
      </c>
      <c r="D88" s="185">
        <v>57</v>
      </c>
      <c r="E88" s="197">
        <v>0.61956521739130432</v>
      </c>
      <c r="F88" s="198">
        <v>1.5926583850931677</v>
      </c>
      <c r="G88" s="198">
        <v>4.1795973333333336</v>
      </c>
      <c r="H88" s="185">
        <v>2909</v>
      </c>
      <c r="I88" s="185">
        <v>13899.129726708075</v>
      </c>
      <c r="J88" s="195">
        <v>1.558657595987387E-3</v>
      </c>
      <c r="K88" s="201"/>
      <c r="L88" s="201"/>
      <c r="M88" s="201"/>
      <c r="N88" s="201"/>
      <c r="O88" s="201"/>
      <c r="P88" s="201"/>
      <c r="Q88" s="201"/>
      <c r="R88" s="201"/>
      <c r="S88" s="185">
        <v>92</v>
      </c>
      <c r="T88" s="185">
        <v>57</v>
      </c>
      <c r="U88" s="197">
        <v>0.61956521739130432</v>
      </c>
      <c r="V88" s="198">
        <v>1.5926583850931677</v>
      </c>
      <c r="W88" s="198">
        <v>4.1795973333333336</v>
      </c>
      <c r="X88" s="185">
        <v>2909</v>
      </c>
      <c r="Y88" s="185">
        <v>13899.129726708075</v>
      </c>
      <c r="Z88" s="195">
        <v>1.4605824778603756E-3</v>
      </c>
      <c r="AA88" s="206"/>
    </row>
    <row r="89" spans="1:27" ht="15" customHeight="1" x14ac:dyDescent="0.35">
      <c r="A89" s="162" t="s">
        <v>287</v>
      </c>
      <c r="B89" s="110" t="s">
        <v>54</v>
      </c>
      <c r="C89" s="185">
        <v>285</v>
      </c>
      <c r="D89" s="185">
        <v>76</v>
      </c>
      <c r="E89" s="197">
        <v>0.26666666666666666</v>
      </c>
      <c r="F89" s="198">
        <v>2.3125714285714287</v>
      </c>
      <c r="G89" s="198">
        <v>4.4934205833333341</v>
      </c>
      <c r="H89" s="185">
        <v>4098</v>
      </c>
      <c r="I89" s="185">
        <v>28430.753142857146</v>
      </c>
      <c r="J89" s="195">
        <v>3.1882434524375092E-3</v>
      </c>
      <c r="K89" s="185">
        <v>18</v>
      </c>
      <c r="L89" s="185">
        <v>8</v>
      </c>
      <c r="M89" s="197">
        <v>0.44444444444444442</v>
      </c>
      <c r="N89" s="198">
        <v>1.949904761904762</v>
      </c>
      <c r="O89" s="198">
        <v>4.520833333333333</v>
      </c>
      <c r="P89" s="185">
        <v>434</v>
      </c>
      <c r="Q89" s="185">
        <v>846.25866666666673</v>
      </c>
      <c r="R89" s="195">
        <v>1.4132971648012898E-3</v>
      </c>
      <c r="S89" s="185">
        <v>303</v>
      </c>
      <c r="T89" s="185">
        <v>84</v>
      </c>
      <c r="U89" s="197">
        <v>0.27722772277227725</v>
      </c>
      <c r="V89" s="198">
        <v>2.1312380952380954</v>
      </c>
      <c r="W89" s="198">
        <v>4.4960313214285721</v>
      </c>
      <c r="X89" s="185">
        <v>4532</v>
      </c>
      <c r="Y89" s="185">
        <v>29277.011809523814</v>
      </c>
      <c r="Z89" s="195">
        <v>3.0765588417332925E-3</v>
      </c>
      <c r="AA89" s="206"/>
    </row>
    <row r="90" spans="1:27" x14ac:dyDescent="0.35">
      <c r="A90" s="162" t="s">
        <v>255</v>
      </c>
      <c r="B90" s="110" t="s">
        <v>77</v>
      </c>
      <c r="C90" s="185">
        <v>394</v>
      </c>
      <c r="D90" s="185">
        <v>211</v>
      </c>
      <c r="E90" s="197">
        <v>0.53553299492385786</v>
      </c>
      <c r="F90" s="198">
        <v>1.7640841189267586</v>
      </c>
      <c r="G90" s="198">
        <v>4.1200628333333338</v>
      </c>
      <c r="H90" s="185">
        <v>10432</v>
      </c>
      <c r="I90" s="185">
        <v>55208.776585931839</v>
      </c>
      <c r="J90" s="195">
        <v>6.1911487037551423E-3</v>
      </c>
      <c r="K90" s="185">
        <v>88</v>
      </c>
      <c r="L90" s="185">
        <v>19</v>
      </c>
      <c r="M90" s="197">
        <v>0.21590909090909091</v>
      </c>
      <c r="N90" s="198">
        <v>2.4161168831168829</v>
      </c>
      <c r="O90" s="198">
        <v>3.7543854166666675</v>
      </c>
      <c r="P90" s="185">
        <v>856</v>
      </c>
      <c r="Q90" s="185">
        <v>2068.1960519480517</v>
      </c>
      <c r="R90" s="195">
        <v>3.4539978514899331E-3</v>
      </c>
      <c r="S90" s="185">
        <v>482</v>
      </c>
      <c r="T90" s="185">
        <v>230</v>
      </c>
      <c r="U90" s="197">
        <v>0.47717842323651455</v>
      </c>
      <c r="V90" s="198">
        <v>2.090100501021821</v>
      </c>
      <c r="W90" s="198">
        <v>4.0898546989130438</v>
      </c>
      <c r="X90" s="185">
        <v>11288</v>
      </c>
      <c r="Y90" s="185">
        <v>57276.972637879888</v>
      </c>
      <c r="Z90" s="195">
        <v>6.0189194765929684E-3</v>
      </c>
      <c r="AA90" s="206"/>
    </row>
    <row r="91" spans="1:27" x14ac:dyDescent="0.35">
      <c r="A91" s="162" t="s">
        <v>247</v>
      </c>
      <c r="B91" s="110" t="s">
        <v>82</v>
      </c>
      <c r="C91" s="185">
        <v>339</v>
      </c>
      <c r="D91" s="185">
        <v>163</v>
      </c>
      <c r="E91" s="197">
        <v>0.4808259587020649</v>
      </c>
      <c r="F91" s="198">
        <v>1.8756864728192164</v>
      </c>
      <c r="G91" s="198">
        <v>4.170756083333333</v>
      </c>
      <c r="H91" s="185">
        <v>8158</v>
      </c>
      <c r="I91" s="185">
        <v>45905.550735777506</v>
      </c>
      <c r="J91" s="195">
        <v>5.1478788067438538E-3</v>
      </c>
      <c r="K91" s="185">
        <v>106</v>
      </c>
      <c r="L91" s="185">
        <v>36</v>
      </c>
      <c r="M91" s="197">
        <v>0.33962264150943394</v>
      </c>
      <c r="N91" s="198">
        <v>2.1637412398921834</v>
      </c>
      <c r="O91" s="198">
        <v>4.3032401666666678</v>
      </c>
      <c r="P91" s="185">
        <v>1859</v>
      </c>
      <c r="Q91" s="185">
        <v>4022.3949649595688</v>
      </c>
      <c r="R91" s="195">
        <v>6.7176143933395556E-3</v>
      </c>
      <c r="S91" s="185">
        <v>445</v>
      </c>
      <c r="T91" s="185">
        <v>199</v>
      </c>
      <c r="U91" s="197">
        <v>0.44719101123595506</v>
      </c>
      <c r="V91" s="198">
        <v>2.0197138563557</v>
      </c>
      <c r="W91" s="198">
        <v>4.194723053182579</v>
      </c>
      <c r="X91" s="185">
        <v>10017</v>
      </c>
      <c r="Y91" s="185">
        <v>49927.945700737073</v>
      </c>
      <c r="Z91" s="195">
        <v>5.2466509831858672E-3</v>
      </c>
      <c r="AA91" s="206"/>
    </row>
    <row r="92" spans="1:27" ht="24" customHeight="1" x14ac:dyDescent="0.35">
      <c r="A92" s="162" t="s">
        <v>240</v>
      </c>
      <c r="B92" s="110" t="s">
        <v>88</v>
      </c>
      <c r="C92" s="185">
        <v>130</v>
      </c>
      <c r="D92" s="185">
        <v>79</v>
      </c>
      <c r="E92" s="197">
        <v>0.60769230769230764</v>
      </c>
      <c r="F92" s="198">
        <v>1.6168791208791209</v>
      </c>
      <c r="G92" s="198">
        <v>4.2151893333333339</v>
      </c>
      <c r="H92" s="185">
        <v>3996</v>
      </c>
      <c r="I92" s="185">
        <v>19383.146901098902</v>
      </c>
      <c r="J92" s="195">
        <v>2.1736389072967263E-3</v>
      </c>
      <c r="K92" s="185">
        <v>5</v>
      </c>
      <c r="L92" s="185">
        <v>2</v>
      </c>
      <c r="M92" s="197">
        <v>0.4</v>
      </c>
      <c r="N92" s="198">
        <v>2.0405714285714285</v>
      </c>
      <c r="O92" s="198">
        <v>4</v>
      </c>
      <c r="P92" s="185">
        <v>96</v>
      </c>
      <c r="Q92" s="185">
        <v>195.89485714285712</v>
      </c>
      <c r="R92" s="195">
        <v>3.2715487250449071E-4</v>
      </c>
      <c r="S92" s="185">
        <v>135</v>
      </c>
      <c r="T92" s="185">
        <v>81</v>
      </c>
      <c r="U92" s="197">
        <v>0.6</v>
      </c>
      <c r="V92" s="198">
        <v>1.8287252747252747</v>
      </c>
      <c r="W92" s="198">
        <v>4.2098760164609059</v>
      </c>
      <c r="X92" s="185">
        <v>4092</v>
      </c>
      <c r="Y92" s="185">
        <v>19579.041758241758</v>
      </c>
      <c r="Z92" s="195">
        <v>2.057452940412082E-3</v>
      </c>
      <c r="AA92" s="206"/>
    </row>
    <row r="93" spans="1:27" ht="24" customHeight="1" x14ac:dyDescent="0.35">
      <c r="A93" s="162" t="s">
        <v>274</v>
      </c>
      <c r="B93" s="110" t="s">
        <v>63</v>
      </c>
      <c r="C93" s="185">
        <v>46</v>
      </c>
      <c r="D93" s="185">
        <v>31</v>
      </c>
      <c r="E93" s="197">
        <v>0.67391304347826086</v>
      </c>
      <c r="F93" s="198">
        <v>1.4817888198757765</v>
      </c>
      <c r="G93" s="198">
        <v>4.3870962500000008</v>
      </c>
      <c r="H93" s="185">
        <v>1632</v>
      </c>
      <c r="I93" s="185">
        <v>7254.8380621118013</v>
      </c>
      <c r="J93" s="195">
        <v>8.1356233631234406E-4</v>
      </c>
      <c r="K93" s="185">
        <v>23</v>
      </c>
      <c r="L93" s="185">
        <v>14</v>
      </c>
      <c r="M93" s="197">
        <v>0.60869565217391308</v>
      </c>
      <c r="N93" s="198">
        <v>1.6148322981366461</v>
      </c>
      <c r="O93" s="198">
        <v>4.4166662500000005</v>
      </c>
      <c r="P93" s="185">
        <v>742</v>
      </c>
      <c r="Q93" s="185">
        <v>1198.2055652173915</v>
      </c>
      <c r="R93" s="195">
        <v>2.0010672798673841E-3</v>
      </c>
      <c r="S93" s="185">
        <v>69</v>
      </c>
      <c r="T93" s="185">
        <v>45</v>
      </c>
      <c r="U93" s="197">
        <v>0.65217391304347827</v>
      </c>
      <c r="V93" s="198">
        <v>1.5483105590062114</v>
      </c>
      <c r="W93" s="198">
        <v>4.396295805555555</v>
      </c>
      <c r="X93" s="185">
        <v>2374</v>
      </c>
      <c r="Y93" s="185">
        <v>8453.0436273291925</v>
      </c>
      <c r="Z93" s="195">
        <v>8.8828348604747432E-4</v>
      </c>
      <c r="AA93" s="206"/>
    </row>
    <row r="94" spans="1:27" ht="15" customHeight="1" x14ac:dyDescent="0.35">
      <c r="A94" s="162" t="s">
        <v>261</v>
      </c>
      <c r="B94" s="110" t="s">
        <v>134</v>
      </c>
      <c r="C94" s="185">
        <v>31</v>
      </c>
      <c r="D94" s="185">
        <v>17</v>
      </c>
      <c r="E94" s="197">
        <v>0.54838709677419351</v>
      </c>
      <c r="F94" s="198">
        <v>1.7378617511520738</v>
      </c>
      <c r="G94" s="198">
        <v>4.4313720833333337</v>
      </c>
      <c r="H94" s="185">
        <v>904</v>
      </c>
      <c r="I94" s="185">
        <v>4713.0810691244242</v>
      </c>
      <c r="J94" s="195">
        <v>5.2852802681445387E-4</v>
      </c>
      <c r="K94" s="201"/>
      <c r="L94" s="201"/>
      <c r="M94" s="201"/>
      <c r="N94" s="201"/>
      <c r="O94" s="201"/>
      <c r="P94" s="201"/>
      <c r="Q94" s="201"/>
      <c r="R94" s="201"/>
      <c r="S94" s="185">
        <v>31</v>
      </c>
      <c r="T94" s="185">
        <v>17</v>
      </c>
      <c r="U94" s="197">
        <v>0.54838709677419351</v>
      </c>
      <c r="V94" s="198">
        <v>1.7378617511520738</v>
      </c>
      <c r="W94" s="198">
        <v>4.4313720833333337</v>
      </c>
      <c r="X94" s="185">
        <v>904</v>
      </c>
      <c r="Y94" s="185">
        <v>4713.0810691244242</v>
      </c>
      <c r="Z94" s="195">
        <v>4.9527155740339832E-4</v>
      </c>
      <c r="AA94" s="206"/>
    </row>
    <row r="95" spans="1:27" x14ac:dyDescent="0.35">
      <c r="A95" s="162" t="s">
        <v>249</v>
      </c>
      <c r="B95" s="110" t="s">
        <v>80</v>
      </c>
      <c r="C95" s="185">
        <v>67</v>
      </c>
      <c r="D95" s="185">
        <v>57</v>
      </c>
      <c r="E95" s="197">
        <v>0.85074626865671643</v>
      </c>
      <c r="F95" s="198">
        <v>1.1754385964912282</v>
      </c>
      <c r="G95" s="198">
        <v>4.5380113333333343</v>
      </c>
      <c r="H95" s="185">
        <v>3104</v>
      </c>
      <c r="I95" s="185">
        <v>10945.684210526317</v>
      </c>
      <c r="J95" s="195">
        <v>1.2274562633394993E-3</v>
      </c>
      <c r="K95" s="185">
        <v>12</v>
      </c>
      <c r="L95" s="185">
        <v>10</v>
      </c>
      <c r="M95" s="197">
        <v>0.83333333333333337</v>
      </c>
      <c r="N95" s="198">
        <v>1.2</v>
      </c>
      <c r="O95" s="198">
        <v>4.4749999999999996</v>
      </c>
      <c r="P95" s="185">
        <v>537</v>
      </c>
      <c r="Q95" s="185">
        <v>644.4</v>
      </c>
      <c r="R95" s="195">
        <v>1.076182411915763E-3</v>
      </c>
      <c r="S95" s="185">
        <v>79</v>
      </c>
      <c r="T95" s="185">
        <v>67</v>
      </c>
      <c r="U95" s="197">
        <v>0.84810126582278478</v>
      </c>
      <c r="V95" s="198">
        <v>1.187719298245614</v>
      </c>
      <c r="W95" s="198">
        <v>4.5286066567164189</v>
      </c>
      <c r="X95" s="185">
        <v>3641</v>
      </c>
      <c r="Y95" s="185">
        <v>11590.084210526316</v>
      </c>
      <c r="Z95" s="195">
        <v>1.2179376872993831E-3</v>
      </c>
      <c r="AA95" s="206"/>
    </row>
    <row r="96" spans="1:27" x14ac:dyDescent="0.35">
      <c r="A96" s="162" t="s">
        <v>244</v>
      </c>
      <c r="B96" s="110" t="s">
        <v>89</v>
      </c>
      <c r="C96" s="185">
        <v>60</v>
      </c>
      <c r="D96" s="185">
        <v>18</v>
      </c>
      <c r="E96" s="197">
        <v>0.3</v>
      </c>
      <c r="F96" s="198">
        <v>2.2445714285714287</v>
      </c>
      <c r="G96" s="198">
        <v>4.2499995000000004</v>
      </c>
      <c r="H96" s="185">
        <v>918</v>
      </c>
      <c r="I96" s="185">
        <v>6181.5497142857148</v>
      </c>
      <c r="J96" s="195">
        <v>6.9320307145784613E-4</v>
      </c>
      <c r="K96" s="185">
        <v>16</v>
      </c>
      <c r="L96" s="185">
        <v>3</v>
      </c>
      <c r="M96" s="197">
        <v>0.1875</v>
      </c>
      <c r="N96" s="198">
        <v>2.4485709999999998</v>
      </c>
      <c r="O96" s="198">
        <v>4.3888886666666673</v>
      </c>
      <c r="P96" s="185">
        <v>158</v>
      </c>
      <c r="Q96" s="185">
        <v>386.87421799999998</v>
      </c>
      <c r="R96" s="195">
        <v>6.4610060371704634E-4</v>
      </c>
      <c r="S96" s="185">
        <v>76</v>
      </c>
      <c r="T96" s="185">
        <v>21</v>
      </c>
      <c r="U96" s="197">
        <v>0.27631578947368424</v>
      </c>
      <c r="V96" s="198">
        <v>2.3465712142857145</v>
      </c>
      <c r="W96" s="198">
        <v>4.2698408095238101</v>
      </c>
      <c r="X96" s="185">
        <v>1076</v>
      </c>
      <c r="Y96" s="185">
        <v>6568.4239322857147</v>
      </c>
      <c r="Z96" s="195">
        <v>6.9023925175835282E-4</v>
      </c>
      <c r="AA96" s="206"/>
    </row>
    <row r="97" spans="1:27" x14ac:dyDescent="0.35">
      <c r="A97" s="162" t="s">
        <v>201</v>
      </c>
      <c r="B97" s="110" t="s">
        <v>119</v>
      </c>
      <c r="C97" s="185">
        <v>90</v>
      </c>
      <c r="D97" s="185">
        <v>59</v>
      </c>
      <c r="E97" s="197">
        <v>0.65555555555555556</v>
      </c>
      <c r="F97" s="198">
        <v>1.5192380952380953</v>
      </c>
      <c r="G97" s="198">
        <v>4.27683575</v>
      </c>
      <c r="H97" s="185">
        <v>3028</v>
      </c>
      <c r="I97" s="185">
        <v>13800.758857142857</v>
      </c>
      <c r="J97" s="195">
        <v>1.5476262216433455E-3</v>
      </c>
      <c r="K97" s="185">
        <v>44</v>
      </c>
      <c r="L97" s="185">
        <v>11</v>
      </c>
      <c r="M97" s="197">
        <v>0.25</v>
      </c>
      <c r="N97" s="198">
        <v>2.3465714285714285</v>
      </c>
      <c r="O97" s="198">
        <v>4.1742420833333336</v>
      </c>
      <c r="P97" s="185">
        <v>551</v>
      </c>
      <c r="Q97" s="185">
        <v>1292.9608571428571</v>
      </c>
      <c r="R97" s="195">
        <v>2.15931367745604E-3</v>
      </c>
      <c r="S97" s="185">
        <v>134</v>
      </c>
      <c r="T97" s="185">
        <v>70</v>
      </c>
      <c r="U97" s="197">
        <v>0.52238805970149249</v>
      </c>
      <c r="V97" s="198">
        <v>1.9329047619047619</v>
      </c>
      <c r="W97" s="198">
        <v>4.2607138880952382</v>
      </c>
      <c r="X97" s="185">
        <v>3579</v>
      </c>
      <c r="Y97" s="185">
        <v>15093.719714285715</v>
      </c>
      <c r="Z97" s="195">
        <v>1.5861153161308612E-3</v>
      </c>
      <c r="AA97" s="206"/>
    </row>
    <row r="98" spans="1:27" ht="24" customHeight="1" x14ac:dyDescent="0.35">
      <c r="A98" s="162" t="s">
        <v>311</v>
      </c>
      <c r="B98" s="110" t="s">
        <v>32</v>
      </c>
      <c r="C98" s="185">
        <v>125</v>
      </c>
      <c r="D98" s="185">
        <v>62</v>
      </c>
      <c r="E98" s="197">
        <v>0.496</v>
      </c>
      <c r="F98" s="198">
        <v>1.8447314285714285</v>
      </c>
      <c r="G98" s="198">
        <v>3.9018811666666675</v>
      </c>
      <c r="H98" s="185">
        <v>2903</v>
      </c>
      <c r="I98" s="185">
        <v>16065.76601142857</v>
      </c>
      <c r="J98" s="195">
        <v>1.8016256212754942E-3</v>
      </c>
      <c r="K98" s="185">
        <v>20</v>
      </c>
      <c r="L98" s="185">
        <v>9</v>
      </c>
      <c r="M98" s="197">
        <v>0.45</v>
      </c>
      <c r="N98" s="198">
        <v>1.9385714285714284</v>
      </c>
      <c r="O98" s="198">
        <v>4.2870367500000004</v>
      </c>
      <c r="P98" s="185">
        <v>463</v>
      </c>
      <c r="Q98" s="185">
        <v>897.55857142857133</v>
      </c>
      <c r="R98" s="195">
        <v>1.4989707452446718E-3</v>
      </c>
      <c r="S98" s="185">
        <v>145</v>
      </c>
      <c r="T98" s="185">
        <v>71</v>
      </c>
      <c r="U98" s="197">
        <v>0.48965517241379308</v>
      </c>
      <c r="V98" s="198">
        <v>1.8916514285714285</v>
      </c>
      <c r="W98" s="198">
        <v>3.9507037053990617</v>
      </c>
      <c r="X98" s="185">
        <v>3366</v>
      </c>
      <c r="Y98" s="185">
        <v>16963.324582857142</v>
      </c>
      <c r="Z98" s="195">
        <v>1.7825817255572468E-3</v>
      </c>
      <c r="AA98" s="206"/>
    </row>
    <row r="99" spans="1:27" ht="15" customHeight="1" x14ac:dyDescent="0.35">
      <c r="A99" s="162" t="s">
        <v>301</v>
      </c>
      <c r="B99" s="110" t="s">
        <v>42</v>
      </c>
      <c r="C99" s="185">
        <v>39</v>
      </c>
      <c r="D99" s="185">
        <v>25</v>
      </c>
      <c r="E99" s="197">
        <v>0.64102564102564108</v>
      </c>
      <c r="F99" s="198">
        <v>1.5488791208791208</v>
      </c>
      <c r="G99" s="198">
        <v>4.8033333333333337</v>
      </c>
      <c r="H99" s="185">
        <v>1441</v>
      </c>
      <c r="I99" s="185">
        <v>6695.8044395604393</v>
      </c>
      <c r="J99" s="195">
        <v>7.508719363135811E-4</v>
      </c>
      <c r="K99" s="185">
        <v>11</v>
      </c>
      <c r="L99" s="185">
        <v>6</v>
      </c>
      <c r="M99" s="197">
        <v>0.54545454545454541</v>
      </c>
      <c r="N99" s="198">
        <v>1.743844155844156</v>
      </c>
      <c r="O99" s="198">
        <v>4.5277773333333347</v>
      </c>
      <c r="P99" s="185">
        <v>326</v>
      </c>
      <c r="Q99" s="185">
        <v>568.49319480519489</v>
      </c>
      <c r="R99" s="195">
        <v>9.4941399370445734E-4</v>
      </c>
      <c r="S99" s="185">
        <v>50</v>
      </c>
      <c r="T99" s="185">
        <v>31</v>
      </c>
      <c r="U99" s="197">
        <v>0.62</v>
      </c>
      <c r="V99" s="198">
        <v>1.6463616383616384</v>
      </c>
      <c r="W99" s="198">
        <v>4.7499999139784945</v>
      </c>
      <c r="X99" s="185">
        <v>1767</v>
      </c>
      <c r="Y99" s="185">
        <v>7264.2976343656337</v>
      </c>
      <c r="Z99" s="195">
        <v>7.63364760768368E-4</v>
      </c>
      <c r="AA99" s="206"/>
    </row>
    <row r="100" spans="1:27" x14ac:dyDescent="0.35">
      <c r="A100" s="162" t="s">
        <v>233</v>
      </c>
      <c r="B100" s="110" t="s">
        <v>96</v>
      </c>
      <c r="C100" s="185">
        <v>1178</v>
      </c>
      <c r="D100" s="185">
        <v>609</v>
      </c>
      <c r="E100" s="197">
        <v>0.51697792869269954</v>
      </c>
      <c r="F100" s="198">
        <v>1.8019364540383218</v>
      </c>
      <c r="G100" s="198">
        <v>4.2190744166666674</v>
      </c>
      <c r="H100" s="185">
        <v>30833</v>
      </c>
      <c r="I100" s="185">
        <v>166677.32006209073</v>
      </c>
      <c r="J100" s="195">
        <v>1.8691304858777586E-2</v>
      </c>
      <c r="K100" s="185">
        <v>313</v>
      </c>
      <c r="L100" s="185">
        <v>94</v>
      </c>
      <c r="M100" s="197">
        <v>0.30031948881789139</v>
      </c>
      <c r="N100" s="198">
        <v>2.2439196713829301</v>
      </c>
      <c r="O100" s="198">
        <v>3.9999994166666668</v>
      </c>
      <c r="P100" s="185">
        <v>4560</v>
      </c>
      <c r="Q100" s="185">
        <v>10232.273701506161</v>
      </c>
      <c r="R100" s="195">
        <v>1.708844350010728E-2</v>
      </c>
      <c r="S100" s="185">
        <v>1491</v>
      </c>
      <c r="T100" s="185">
        <v>703</v>
      </c>
      <c r="U100" s="197">
        <v>0.47149564050972503</v>
      </c>
      <c r="V100" s="198">
        <v>2.0229280627106259</v>
      </c>
      <c r="W100" s="198">
        <v>4.1897813156709347</v>
      </c>
      <c r="X100" s="185">
        <v>35393</v>
      </c>
      <c r="Y100" s="185">
        <v>176909.5937635969</v>
      </c>
      <c r="Z100" s="195">
        <v>1.8590448315623079E-2</v>
      </c>
      <c r="AA100" s="206"/>
    </row>
    <row r="101" spans="1:27" x14ac:dyDescent="0.35">
      <c r="A101" s="162" t="s">
        <v>217</v>
      </c>
      <c r="B101" s="110" t="s">
        <v>107</v>
      </c>
      <c r="C101" s="185">
        <v>145</v>
      </c>
      <c r="D101" s="185">
        <v>103</v>
      </c>
      <c r="E101" s="197">
        <v>0.71034482758620687</v>
      </c>
      <c r="F101" s="198">
        <v>1.4077669902912624</v>
      </c>
      <c r="G101" s="198">
        <v>3.9805820833333336</v>
      </c>
      <c r="H101" s="185">
        <v>4920</v>
      </c>
      <c r="I101" s="185">
        <v>20778.640776699034</v>
      </c>
      <c r="J101" s="195">
        <v>2.3301305130393819E-3</v>
      </c>
      <c r="K101" s="185">
        <v>44</v>
      </c>
      <c r="L101" s="185">
        <v>14</v>
      </c>
      <c r="M101" s="197">
        <v>0.31818181818181818</v>
      </c>
      <c r="N101" s="198">
        <v>2.2074805194805194</v>
      </c>
      <c r="O101" s="198">
        <v>4.4047615000000002</v>
      </c>
      <c r="P101" s="185">
        <v>740</v>
      </c>
      <c r="Q101" s="185">
        <v>1633.5355844155843</v>
      </c>
      <c r="R101" s="195">
        <v>2.7280916591970652E-3</v>
      </c>
      <c r="S101" s="185">
        <v>189</v>
      </c>
      <c r="T101" s="185">
        <v>117</v>
      </c>
      <c r="U101" s="197">
        <v>0.61904761904761907</v>
      </c>
      <c r="V101" s="198">
        <v>1.8076237548858909</v>
      </c>
      <c r="W101" s="198">
        <v>4.0313385947293456</v>
      </c>
      <c r="X101" s="185">
        <v>5660</v>
      </c>
      <c r="Y101" s="185">
        <v>22412.17636111462</v>
      </c>
      <c r="Z101" s="195">
        <v>2.3551713472289154E-3</v>
      </c>
      <c r="AA101" s="206"/>
    </row>
    <row r="102" spans="1:27" ht="24" customHeight="1" x14ac:dyDescent="0.35">
      <c r="A102" s="162" t="s">
        <v>215</v>
      </c>
      <c r="B102" s="110" t="s">
        <v>109</v>
      </c>
      <c r="C102" s="185">
        <v>514</v>
      </c>
      <c r="D102" s="185">
        <v>226</v>
      </c>
      <c r="E102" s="197">
        <v>0.43968871595330739</v>
      </c>
      <c r="F102" s="198">
        <v>1.9596064480266817</v>
      </c>
      <c r="G102" s="198">
        <v>4.1969020833333337</v>
      </c>
      <c r="H102" s="185">
        <v>11382</v>
      </c>
      <c r="I102" s="185">
        <v>66912.72177431907</v>
      </c>
      <c r="J102" s="195">
        <v>7.5036368544230039E-3</v>
      </c>
      <c r="K102" s="185">
        <v>136</v>
      </c>
      <c r="L102" s="185">
        <v>46</v>
      </c>
      <c r="M102" s="197">
        <v>0.33823529411764708</v>
      </c>
      <c r="N102" s="198">
        <v>2.1665714285714288</v>
      </c>
      <c r="O102" s="198">
        <v>4.2210139999999994</v>
      </c>
      <c r="P102" s="185">
        <v>2330</v>
      </c>
      <c r="Q102" s="185">
        <v>5048.1114285714293</v>
      </c>
      <c r="R102" s="195">
        <v>8.4306156623518442E-3</v>
      </c>
      <c r="S102" s="185">
        <v>650</v>
      </c>
      <c r="T102" s="185">
        <v>272</v>
      </c>
      <c r="U102" s="197">
        <v>0.41846153846153844</v>
      </c>
      <c r="V102" s="198">
        <v>2.0630889382990554</v>
      </c>
      <c r="W102" s="198">
        <v>4.2009798339460787</v>
      </c>
      <c r="X102" s="185">
        <v>13712</v>
      </c>
      <c r="Y102" s="185">
        <v>71960.833202890499</v>
      </c>
      <c r="Z102" s="195">
        <v>7.5619649672316862E-3</v>
      </c>
      <c r="AA102" s="206"/>
    </row>
    <row r="103" spans="1:27" ht="15" customHeight="1" x14ac:dyDescent="0.35">
      <c r="A103" s="162" t="s">
        <v>253</v>
      </c>
      <c r="B103" s="110" t="s">
        <v>458</v>
      </c>
      <c r="C103" s="185">
        <v>2418</v>
      </c>
      <c r="D103" s="185">
        <v>1182</v>
      </c>
      <c r="E103" s="197">
        <v>0.48883374689826303</v>
      </c>
      <c r="F103" s="198">
        <v>1.859350584898972</v>
      </c>
      <c r="G103" s="198">
        <v>4.2743022499999999</v>
      </c>
      <c r="H103" s="185">
        <v>60678</v>
      </c>
      <c r="I103" s="185">
        <v>338465.02437149949</v>
      </c>
      <c r="J103" s="195">
        <v>3.7955691585421371E-2</v>
      </c>
      <c r="K103" s="185">
        <v>439</v>
      </c>
      <c r="L103" s="185">
        <v>172</v>
      </c>
      <c r="M103" s="197">
        <v>0.39179954441913439</v>
      </c>
      <c r="N103" s="198">
        <v>2.0573003579563944</v>
      </c>
      <c r="O103" s="198">
        <v>4.1220925833333322</v>
      </c>
      <c r="P103" s="185">
        <v>8508</v>
      </c>
      <c r="Q103" s="185">
        <v>17503.511445493004</v>
      </c>
      <c r="R103" s="195">
        <v>2.9231798827445414E-2</v>
      </c>
      <c r="S103" s="185">
        <v>2857</v>
      </c>
      <c r="T103" s="185">
        <v>1354</v>
      </c>
      <c r="U103" s="197">
        <v>0.47392369618480923</v>
      </c>
      <c r="V103" s="198">
        <v>1.9583254714276832</v>
      </c>
      <c r="W103" s="198">
        <v>4.2549669009108806</v>
      </c>
      <c r="X103" s="185">
        <v>69186</v>
      </c>
      <c r="Y103" s="185">
        <v>355968.53581699252</v>
      </c>
      <c r="Z103" s="195">
        <v>3.7406759725743852E-2</v>
      </c>
      <c r="AA103" s="206"/>
    </row>
    <row r="104" spans="1:27" ht="15" customHeight="1" x14ac:dyDescent="0.35">
      <c r="A104" s="162" t="s">
        <v>279</v>
      </c>
      <c r="B104" s="110" t="s">
        <v>61</v>
      </c>
      <c r="C104" s="185">
        <v>2156</v>
      </c>
      <c r="D104" s="185">
        <v>1186</v>
      </c>
      <c r="E104" s="197">
        <v>0.55009276437847865</v>
      </c>
      <c r="F104" s="198">
        <v>1.7343821892393321</v>
      </c>
      <c r="G104" s="198">
        <v>4.2537841666666658</v>
      </c>
      <c r="H104" s="185">
        <v>60693</v>
      </c>
      <c r="I104" s="185">
        <v>315794.57463450835</v>
      </c>
      <c r="J104" s="195">
        <v>3.5413412364938085E-2</v>
      </c>
      <c r="K104" s="185">
        <v>335</v>
      </c>
      <c r="L104" s="185">
        <v>129</v>
      </c>
      <c r="M104" s="197">
        <v>0.38507462686567162</v>
      </c>
      <c r="N104" s="198">
        <v>2.0710191897654586</v>
      </c>
      <c r="O104" s="198">
        <v>4.2577515000000004</v>
      </c>
      <c r="P104" s="185">
        <v>6591</v>
      </c>
      <c r="Q104" s="185">
        <v>13650.087479744137</v>
      </c>
      <c r="R104" s="195">
        <v>2.2796375026089704E-2</v>
      </c>
      <c r="S104" s="185">
        <v>2491</v>
      </c>
      <c r="T104" s="185">
        <v>1315</v>
      </c>
      <c r="U104" s="197">
        <v>0.52790044158972305</v>
      </c>
      <c r="V104" s="198">
        <v>1.9027006895023955</v>
      </c>
      <c r="W104" s="198">
        <v>4.254173357541192</v>
      </c>
      <c r="X104" s="185">
        <v>67284</v>
      </c>
      <c r="Y104" s="185">
        <v>329444.66211425251</v>
      </c>
      <c r="Z104" s="195">
        <v>3.4619512902601991E-2</v>
      </c>
      <c r="AA104" s="206"/>
    </row>
    <row r="105" spans="1:27" x14ac:dyDescent="0.35">
      <c r="A105" s="162" t="s">
        <v>227</v>
      </c>
      <c r="B105" s="110" t="s">
        <v>101</v>
      </c>
      <c r="C105" s="185">
        <v>1912</v>
      </c>
      <c r="D105" s="185">
        <v>752</v>
      </c>
      <c r="E105" s="197">
        <v>0.39330543933054396</v>
      </c>
      <c r="F105" s="198">
        <v>2.0542283323371189</v>
      </c>
      <c r="G105" s="198">
        <v>4.2330015833333325</v>
      </c>
      <c r="H105" s="185">
        <v>38351</v>
      </c>
      <c r="I105" s="185">
        <v>236345.13232038255</v>
      </c>
      <c r="J105" s="195">
        <v>2.6503899381408048E-2</v>
      </c>
      <c r="K105" s="185">
        <v>394</v>
      </c>
      <c r="L105" s="185">
        <v>88</v>
      </c>
      <c r="M105" s="197">
        <v>0.2233502538071066</v>
      </c>
      <c r="N105" s="198">
        <v>2.4009369108049312</v>
      </c>
      <c r="O105" s="198">
        <v>4.2386359999999996</v>
      </c>
      <c r="P105" s="185">
        <v>4476</v>
      </c>
      <c r="Q105" s="185">
        <v>10746.593612762872</v>
      </c>
      <c r="R105" s="195">
        <v>1.7947385217352081E-2</v>
      </c>
      <c r="S105" s="185">
        <v>2306</v>
      </c>
      <c r="T105" s="185">
        <v>840</v>
      </c>
      <c r="U105" s="197">
        <v>0.36426712922810062</v>
      </c>
      <c r="V105" s="198">
        <v>2.2275826215710248</v>
      </c>
      <c r="W105" s="198">
        <v>4.233591855555555</v>
      </c>
      <c r="X105" s="185">
        <v>42827</v>
      </c>
      <c r="Y105" s="185">
        <v>247091.72593314541</v>
      </c>
      <c r="Z105" s="195">
        <v>2.5965499453447206E-2</v>
      </c>
      <c r="AA105" s="206"/>
    </row>
    <row r="106" spans="1:27" ht="24" customHeight="1" x14ac:dyDescent="0.35">
      <c r="A106" s="162" t="s">
        <v>324</v>
      </c>
      <c r="B106" s="110" t="s">
        <v>22</v>
      </c>
      <c r="C106" s="185">
        <v>1008</v>
      </c>
      <c r="D106" s="185">
        <v>544</v>
      </c>
      <c r="E106" s="197">
        <v>0.53968253968253965</v>
      </c>
      <c r="F106" s="198">
        <v>1.7556190476190476</v>
      </c>
      <c r="G106" s="198">
        <v>4.1831799999999992</v>
      </c>
      <c r="H106" s="185">
        <v>27358</v>
      </c>
      <c r="I106" s="185">
        <v>144090.6777142857</v>
      </c>
      <c r="J106" s="195">
        <v>1.6158423854321001E-2</v>
      </c>
      <c r="K106" s="185">
        <v>308</v>
      </c>
      <c r="L106" s="185">
        <v>158</v>
      </c>
      <c r="M106" s="197">
        <v>0.51298701298701299</v>
      </c>
      <c r="N106" s="198">
        <v>1.8100779220779222</v>
      </c>
      <c r="O106" s="198">
        <v>4.1017928333333336</v>
      </c>
      <c r="P106" s="185">
        <v>7777</v>
      </c>
      <c r="Q106" s="185">
        <v>14076.976000000001</v>
      </c>
      <c r="R106" s="195">
        <v>2.350930165139713E-2</v>
      </c>
      <c r="S106" s="185">
        <v>1316</v>
      </c>
      <c r="T106" s="185">
        <v>702</v>
      </c>
      <c r="U106" s="197">
        <v>0.53343465045592708</v>
      </c>
      <c r="V106" s="198">
        <v>1.7828484848484849</v>
      </c>
      <c r="W106" s="198">
        <v>4.1648620906932567</v>
      </c>
      <c r="X106" s="185">
        <v>35135</v>
      </c>
      <c r="Y106" s="185">
        <v>158167.6537142857</v>
      </c>
      <c r="Z106" s="195">
        <v>1.6620961752408091E-2</v>
      </c>
      <c r="AA106" s="206"/>
    </row>
    <row r="107" spans="1:27" x14ac:dyDescent="0.35">
      <c r="A107" s="162" t="s">
        <v>316</v>
      </c>
      <c r="B107" s="110" t="s">
        <v>27</v>
      </c>
      <c r="C107" s="185">
        <v>70</v>
      </c>
      <c r="D107" s="185">
        <v>22</v>
      </c>
      <c r="E107" s="197">
        <v>0.31428571428571428</v>
      </c>
      <c r="F107" s="198">
        <v>2.2154285714285717</v>
      </c>
      <c r="G107" s="198">
        <v>3.8371207500000004</v>
      </c>
      <c r="H107" s="185">
        <v>1013</v>
      </c>
      <c r="I107" s="185">
        <v>6732.6874285714293</v>
      </c>
      <c r="J107" s="195">
        <v>7.5500801908387374E-4</v>
      </c>
      <c r="K107" s="201"/>
      <c r="L107" s="201"/>
      <c r="M107" s="201"/>
      <c r="N107" s="201"/>
      <c r="O107" s="201"/>
      <c r="P107" s="201"/>
      <c r="Q107" s="201"/>
      <c r="R107" s="201"/>
      <c r="S107" s="185">
        <v>70</v>
      </c>
      <c r="T107" s="185">
        <v>22</v>
      </c>
      <c r="U107" s="197">
        <v>0.31428571428571428</v>
      </c>
      <c r="V107" s="198">
        <v>2.2154285714285717</v>
      </c>
      <c r="W107" s="198">
        <v>3.8371207500000004</v>
      </c>
      <c r="X107" s="185">
        <v>1013</v>
      </c>
      <c r="Y107" s="185">
        <v>6732.6874285714293</v>
      </c>
      <c r="Z107" s="195">
        <v>7.0750079180758154E-4</v>
      </c>
      <c r="AA107" s="206"/>
    </row>
    <row r="108" spans="1:27" ht="24" customHeight="1" x14ac:dyDescent="0.35">
      <c r="A108" s="162" t="s">
        <v>207</v>
      </c>
      <c r="B108" s="110" t="s">
        <v>115</v>
      </c>
      <c r="C108" s="201"/>
      <c r="D108" s="201"/>
      <c r="E108" s="201"/>
      <c r="F108" s="201"/>
      <c r="G108" s="201"/>
      <c r="H108" s="201"/>
      <c r="I108" s="201"/>
      <c r="J108" s="201"/>
      <c r="K108" s="185">
        <v>58</v>
      </c>
      <c r="L108" s="185">
        <v>26</v>
      </c>
      <c r="M108" s="197">
        <v>0.44827586206896552</v>
      </c>
      <c r="N108" s="198">
        <v>1.9420886699507389</v>
      </c>
      <c r="O108" s="198">
        <v>3.4935892500000003</v>
      </c>
      <c r="P108" s="185">
        <v>1090</v>
      </c>
      <c r="Q108" s="185">
        <v>2116.8766502463054</v>
      </c>
      <c r="R108" s="195">
        <v>3.535297050264168E-3</v>
      </c>
      <c r="S108" s="185">
        <v>58</v>
      </c>
      <c r="T108" s="185">
        <v>26</v>
      </c>
      <c r="U108" s="197">
        <v>0.44827586206896552</v>
      </c>
      <c r="V108" s="198">
        <v>1.9420886699507389</v>
      </c>
      <c r="W108" s="198">
        <v>3.4935892500000003</v>
      </c>
      <c r="X108" s="185">
        <v>1090</v>
      </c>
      <c r="Y108" s="185">
        <v>2116.8766502463054</v>
      </c>
      <c r="Z108" s="195">
        <v>2.2245082993939446E-4</v>
      </c>
      <c r="AA108" s="206"/>
    </row>
    <row r="109" spans="1:27" ht="15" customHeight="1" x14ac:dyDescent="0.35">
      <c r="A109" s="162" t="s">
        <v>302</v>
      </c>
      <c r="B109" s="110" t="s">
        <v>41</v>
      </c>
      <c r="C109" s="185">
        <v>117</v>
      </c>
      <c r="D109" s="185">
        <v>70</v>
      </c>
      <c r="E109" s="197">
        <v>0.59829059829059827</v>
      </c>
      <c r="F109" s="198">
        <v>1.6360586080586081</v>
      </c>
      <c r="G109" s="198">
        <v>4.5071425833333336</v>
      </c>
      <c r="H109" s="185">
        <v>3786</v>
      </c>
      <c r="I109" s="185">
        <v>18582.35367032967</v>
      </c>
      <c r="J109" s="195">
        <v>2.0838374250100101E-3</v>
      </c>
      <c r="K109" s="185">
        <v>15</v>
      </c>
      <c r="L109" s="185">
        <v>9</v>
      </c>
      <c r="M109" s="197">
        <v>0.6</v>
      </c>
      <c r="N109" s="198">
        <v>1.6325714285714286</v>
      </c>
      <c r="O109" s="198">
        <v>4.4166661666666673</v>
      </c>
      <c r="P109" s="185">
        <v>477</v>
      </c>
      <c r="Q109" s="185">
        <v>778.73657142857144</v>
      </c>
      <c r="R109" s="195">
        <v>1.3005316599736373E-3</v>
      </c>
      <c r="S109" s="185">
        <v>132</v>
      </c>
      <c r="T109" s="185">
        <v>79</v>
      </c>
      <c r="U109" s="197">
        <v>0.59848484848484851</v>
      </c>
      <c r="V109" s="198">
        <v>1.6343150183150184</v>
      </c>
      <c r="W109" s="198">
        <v>4.496835143459915</v>
      </c>
      <c r="X109" s="185">
        <v>4263</v>
      </c>
      <c r="Y109" s="185">
        <v>19361.09024175824</v>
      </c>
      <c r="Z109" s="195">
        <v>2.0345496239988813E-3</v>
      </c>
      <c r="AA109" s="206"/>
    </row>
    <row r="110" spans="1:27" ht="15" customHeight="1" x14ac:dyDescent="0.35">
      <c r="A110" s="162" t="s">
        <v>298</v>
      </c>
      <c r="B110" s="110" t="s">
        <v>40</v>
      </c>
      <c r="C110" s="185">
        <v>161</v>
      </c>
      <c r="D110" s="185">
        <v>131</v>
      </c>
      <c r="E110" s="197">
        <v>0.81366459627329191</v>
      </c>
      <c r="F110" s="198">
        <v>1.2290076335877862</v>
      </c>
      <c r="G110" s="198">
        <v>4.5664155833333329</v>
      </c>
      <c r="H110" s="185">
        <v>7288</v>
      </c>
      <c r="I110" s="185">
        <v>26871.022900763357</v>
      </c>
      <c r="J110" s="195">
        <v>3.0133342719829053E-3</v>
      </c>
      <c r="K110" s="201"/>
      <c r="L110" s="201"/>
      <c r="M110" s="201"/>
      <c r="N110" s="201"/>
      <c r="O110" s="201"/>
      <c r="P110" s="201"/>
      <c r="Q110" s="201"/>
      <c r="R110" s="201"/>
      <c r="S110" s="185">
        <v>161</v>
      </c>
      <c r="T110" s="185">
        <v>131</v>
      </c>
      <c r="U110" s="197">
        <v>0.81366459627329191</v>
      </c>
      <c r="V110" s="198">
        <v>1.2290076335877862</v>
      </c>
      <c r="W110" s="198">
        <v>4.5664155833333329</v>
      </c>
      <c r="X110" s="185">
        <v>7288</v>
      </c>
      <c r="Y110" s="185">
        <v>26871.022900763357</v>
      </c>
      <c r="Z110" s="195">
        <v>2.823726807558572E-3</v>
      </c>
      <c r="AA110" s="206"/>
    </row>
    <row r="111" spans="1:27" x14ac:dyDescent="0.35">
      <c r="A111" s="162" t="s">
        <v>216</v>
      </c>
      <c r="B111" s="110" t="s">
        <v>108</v>
      </c>
      <c r="C111" s="185">
        <v>289</v>
      </c>
      <c r="D111" s="185">
        <v>195</v>
      </c>
      <c r="E111" s="197">
        <v>0.67474048442906576</v>
      </c>
      <c r="F111" s="198">
        <v>1.4801008403361344</v>
      </c>
      <c r="G111" s="198">
        <v>3.8888885000000006</v>
      </c>
      <c r="H111" s="185">
        <v>9100</v>
      </c>
      <c r="I111" s="185">
        <v>40406.75294117647</v>
      </c>
      <c r="J111" s="195">
        <v>4.5312399869129718E-3</v>
      </c>
      <c r="K111" s="185">
        <v>29</v>
      </c>
      <c r="L111" s="185">
        <v>21</v>
      </c>
      <c r="M111" s="197">
        <v>0.72413793103448276</v>
      </c>
      <c r="N111" s="198">
        <v>1.3809523809523812</v>
      </c>
      <c r="O111" s="198">
        <v>3.5317455000000004</v>
      </c>
      <c r="P111" s="185">
        <v>890</v>
      </c>
      <c r="Q111" s="185">
        <v>1229.0476190476193</v>
      </c>
      <c r="R111" s="195">
        <v>2.0525751567752838E-3</v>
      </c>
      <c r="S111" s="185">
        <v>318</v>
      </c>
      <c r="T111" s="185">
        <v>216</v>
      </c>
      <c r="U111" s="197">
        <v>0.67924528301886788</v>
      </c>
      <c r="V111" s="198">
        <v>1.4305266106442578</v>
      </c>
      <c r="W111" s="198">
        <v>3.8541662638888892</v>
      </c>
      <c r="X111" s="185">
        <v>9990</v>
      </c>
      <c r="Y111" s="185">
        <v>41635.800560224088</v>
      </c>
      <c r="Z111" s="195">
        <v>4.3752754270001033E-3</v>
      </c>
      <c r="AA111" s="206"/>
    </row>
    <row r="112" spans="1:27" x14ac:dyDescent="0.35">
      <c r="A112" s="162" t="s">
        <v>315</v>
      </c>
      <c r="B112" s="110" t="s">
        <v>147</v>
      </c>
      <c r="C112" s="185">
        <v>19</v>
      </c>
      <c r="D112" s="185">
        <v>10</v>
      </c>
      <c r="E112" s="197">
        <v>0.52631578947368418</v>
      </c>
      <c r="F112" s="198">
        <v>1.7828872180451127</v>
      </c>
      <c r="G112" s="198">
        <v>4.0916666666666668</v>
      </c>
      <c r="H112" s="185">
        <v>491</v>
      </c>
      <c r="I112" s="185">
        <v>2626.1928721804511</v>
      </c>
      <c r="J112" s="195">
        <v>2.9450300480945833E-4</v>
      </c>
      <c r="K112" s="201"/>
      <c r="L112" s="201"/>
      <c r="M112" s="201"/>
      <c r="N112" s="201"/>
      <c r="O112" s="201"/>
      <c r="P112" s="201"/>
      <c r="Q112" s="201"/>
      <c r="R112" s="201"/>
      <c r="S112" s="185">
        <v>19</v>
      </c>
      <c r="T112" s="185">
        <v>10</v>
      </c>
      <c r="U112" s="197">
        <v>0.52631578947368418</v>
      </c>
      <c r="V112" s="198">
        <v>1.7828872180451127</v>
      </c>
      <c r="W112" s="198">
        <v>4.0916666666666668</v>
      </c>
      <c r="X112" s="185">
        <v>491</v>
      </c>
      <c r="Y112" s="185">
        <v>2626.1928721804511</v>
      </c>
      <c r="Z112" s="195">
        <v>2.7597204774755773E-4</v>
      </c>
      <c r="AA112" s="206"/>
    </row>
    <row r="113" spans="1:27" ht="15" customHeight="1" x14ac:dyDescent="0.35">
      <c r="A113" s="162" t="s">
        <v>296</v>
      </c>
      <c r="B113" s="110" t="s">
        <v>43</v>
      </c>
      <c r="C113" s="185">
        <v>167</v>
      </c>
      <c r="D113" s="185">
        <v>70</v>
      </c>
      <c r="E113" s="197">
        <v>0.41916167664670656</v>
      </c>
      <c r="F113" s="198">
        <v>2.0014816082121474</v>
      </c>
      <c r="G113" s="198">
        <v>4.3119044999999998</v>
      </c>
      <c r="H113" s="185">
        <v>3622</v>
      </c>
      <c r="I113" s="185">
        <v>21748.099154833195</v>
      </c>
      <c r="J113" s="195">
        <v>2.4388462164527283E-3</v>
      </c>
      <c r="K113" s="185">
        <v>11</v>
      </c>
      <c r="L113" s="185">
        <v>3</v>
      </c>
      <c r="M113" s="197">
        <v>0.27272727272727271</v>
      </c>
      <c r="N113" s="198">
        <v>2.3002077922077921</v>
      </c>
      <c r="O113" s="198">
        <v>4.194444166666667</v>
      </c>
      <c r="P113" s="185">
        <v>151</v>
      </c>
      <c r="Q113" s="185">
        <v>347.33137662337663</v>
      </c>
      <c r="R113" s="195">
        <v>5.8006194697170655E-4</v>
      </c>
      <c r="S113" s="185">
        <v>178</v>
      </c>
      <c r="T113" s="185">
        <v>73</v>
      </c>
      <c r="U113" s="197">
        <v>0.4101123595505618</v>
      </c>
      <c r="V113" s="198">
        <v>2.1508447002099698</v>
      </c>
      <c r="W113" s="198">
        <v>4.3070773630136978</v>
      </c>
      <c r="X113" s="185">
        <v>3773</v>
      </c>
      <c r="Y113" s="185">
        <v>22095.430531456572</v>
      </c>
      <c r="Z113" s="195">
        <v>2.3218862842191851E-3</v>
      </c>
      <c r="AA113" s="206"/>
    </row>
    <row r="114" spans="1:27" ht="24" customHeight="1" x14ac:dyDescent="0.35">
      <c r="A114" s="162" t="s">
        <v>228</v>
      </c>
      <c r="B114" s="110" t="s">
        <v>100</v>
      </c>
      <c r="C114" s="185">
        <v>2201</v>
      </c>
      <c r="D114" s="185">
        <v>1138</v>
      </c>
      <c r="E114" s="197">
        <v>0.51703771013175825</v>
      </c>
      <c r="F114" s="198">
        <v>1.8018144999026418</v>
      </c>
      <c r="G114" s="198">
        <v>4.3026311666666652</v>
      </c>
      <c r="H114" s="185">
        <v>58860</v>
      </c>
      <c r="I114" s="185">
        <v>318164.4043928085</v>
      </c>
      <c r="J114" s="195">
        <v>3.5679166640680521E-2</v>
      </c>
      <c r="K114" s="185">
        <v>582</v>
      </c>
      <c r="L114" s="185">
        <v>180</v>
      </c>
      <c r="M114" s="197">
        <v>0.30927835051546393</v>
      </c>
      <c r="N114" s="198">
        <v>2.2256435935198819</v>
      </c>
      <c r="O114" s="198">
        <v>4.2955795833333337</v>
      </c>
      <c r="P114" s="185">
        <v>9330</v>
      </c>
      <c r="Q114" s="185">
        <v>20765.254727540498</v>
      </c>
      <c r="R114" s="195">
        <v>3.467908429039375E-2</v>
      </c>
      <c r="S114" s="185">
        <v>2783</v>
      </c>
      <c r="T114" s="185">
        <v>1318</v>
      </c>
      <c r="U114" s="197">
        <v>0.4735896514552641</v>
      </c>
      <c r="V114" s="198">
        <v>2.0137290467112621</v>
      </c>
      <c r="W114" s="198">
        <v>4.3016681279716735</v>
      </c>
      <c r="X114" s="185">
        <v>68190</v>
      </c>
      <c r="Y114" s="185">
        <v>338929.65912034898</v>
      </c>
      <c r="Z114" s="195">
        <v>3.5616238647455063E-2</v>
      </c>
      <c r="AA114" s="206"/>
    </row>
    <row r="115" spans="1:27" ht="15" customHeight="1" x14ac:dyDescent="0.35">
      <c r="A115" s="162" t="s">
        <v>282</v>
      </c>
      <c r="B115" s="110" t="s">
        <v>132</v>
      </c>
      <c r="C115" s="185">
        <v>16</v>
      </c>
      <c r="D115" s="185">
        <v>9</v>
      </c>
      <c r="E115" s="197">
        <v>0.5625</v>
      </c>
      <c r="F115" s="198">
        <v>1.7090714285714286</v>
      </c>
      <c r="G115" s="198">
        <v>4.3249999999999993</v>
      </c>
      <c r="H115" s="185">
        <v>519</v>
      </c>
      <c r="I115" s="185">
        <v>2661.0242142857142</v>
      </c>
      <c r="J115" s="195">
        <v>2.9840901453944026E-4</v>
      </c>
      <c r="K115" s="201"/>
      <c r="L115" s="201"/>
      <c r="M115" s="201"/>
      <c r="N115" s="201"/>
      <c r="O115" s="201"/>
      <c r="P115" s="201"/>
      <c r="Q115" s="201"/>
      <c r="R115" s="201"/>
      <c r="S115" s="185">
        <v>16</v>
      </c>
      <c r="T115" s="185">
        <v>9</v>
      </c>
      <c r="U115" s="197">
        <v>0.5625</v>
      </c>
      <c r="V115" s="198">
        <v>1.7090714285714286</v>
      </c>
      <c r="W115" s="198">
        <v>4.3249999999999993</v>
      </c>
      <c r="X115" s="185">
        <v>519</v>
      </c>
      <c r="Y115" s="185">
        <v>2661.0242142857142</v>
      </c>
      <c r="Z115" s="195">
        <v>2.796322803635286E-4</v>
      </c>
      <c r="AA115" s="206"/>
    </row>
    <row r="116" spans="1:27" ht="23" x14ac:dyDescent="0.35">
      <c r="A116" s="162" t="s">
        <v>277</v>
      </c>
      <c r="B116" s="110" t="s">
        <v>454</v>
      </c>
      <c r="C116" s="185">
        <v>17</v>
      </c>
      <c r="D116" s="185">
        <v>14</v>
      </c>
      <c r="E116" s="197">
        <v>0.82352941176470584</v>
      </c>
      <c r="F116" s="198">
        <v>1.2142857142857144</v>
      </c>
      <c r="G116" s="198">
        <v>4.3214281666666672</v>
      </c>
      <c r="H116" s="185">
        <v>726</v>
      </c>
      <c r="I116" s="185">
        <v>2644.7142857142858</v>
      </c>
      <c r="J116" s="195">
        <v>2.9658000836727547E-4</v>
      </c>
      <c r="K116" s="201"/>
      <c r="L116" s="201"/>
      <c r="M116" s="201"/>
      <c r="N116" s="201"/>
      <c r="O116" s="201"/>
      <c r="P116" s="201"/>
      <c r="Q116" s="201"/>
      <c r="R116" s="201"/>
      <c r="S116" s="185">
        <v>17</v>
      </c>
      <c r="T116" s="185">
        <v>14</v>
      </c>
      <c r="U116" s="197">
        <v>0.82352941176470584</v>
      </c>
      <c r="V116" s="198">
        <v>1.2142857142857144</v>
      </c>
      <c r="W116" s="198">
        <v>4.3214281666666672</v>
      </c>
      <c r="X116" s="185">
        <v>726</v>
      </c>
      <c r="Y116" s="185">
        <v>2644.7142857142858</v>
      </c>
      <c r="Z116" s="195">
        <v>2.7791836040199264E-4</v>
      </c>
      <c r="AA116" s="206"/>
    </row>
    <row r="117" spans="1:27" ht="15" customHeight="1" x14ac:dyDescent="0.35">
      <c r="A117" s="162" t="s">
        <v>280</v>
      </c>
      <c r="B117" s="110" t="s">
        <v>60</v>
      </c>
      <c r="C117" s="185">
        <v>643</v>
      </c>
      <c r="D117" s="185">
        <v>271</v>
      </c>
      <c r="E117" s="197">
        <v>0.42146189735614309</v>
      </c>
      <c r="F117" s="198">
        <v>1.9967891579648969</v>
      </c>
      <c r="G117" s="198">
        <v>3.972016749999999</v>
      </c>
      <c r="H117" s="185">
        <v>12917</v>
      </c>
      <c r="I117" s="185">
        <v>77377.576660297724</v>
      </c>
      <c r="J117" s="195">
        <v>8.6771725994411585E-3</v>
      </c>
      <c r="K117" s="185">
        <v>379</v>
      </c>
      <c r="L117" s="185">
        <v>163</v>
      </c>
      <c r="M117" s="197">
        <v>0.43007915567282323</v>
      </c>
      <c r="N117" s="198">
        <v>1.9792099509988692</v>
      </c>
      <c r="O117" s="198">
        <v>3.9821058333333332</v>
      </c>
      <c r="P117" s="185">
        <v>7789</v>
      </c>
      <c r="Q117" s="185">
        <v>15416.066308330192</v>
      </c>
      <c r="R117" s="195">
        <v>2.5745653975717129E-2</v>
      </c>
      <c r="S117" s="185">
        <v>1022</v>
      </c>
      <c r="T117" s="185">
        <v>434</v>
      </c>
      <c r="U117" s="197">
        <v>0.42465753424657532</v>
      </c>
      <c r="V117" s="198">
        <v>1.9879995544818829</v>
      </c>
      <c r="W117" s="198">
        <v>3.9758059679339475</v>
      </c>
      <c r="X117" s="185">
        <v>20706</v>
      </c>
      <c r="Y117" s="185">
        <v>92793.642968627915</v>
      </c>
      <c r="Z117" s="195">
        <v>9.7511694359089691E-3</v>
      </c>
      <c r="AA117" s="206"/>
    </row>
    <row r="118" spans="1:27" ht="24" customHeight="1" x14ac:dyDescent="0.35">
      <c r="A118" s="162" t="s">
        <v>327</v>
      </c>
      <c r="B118" s="110" t="s">
        <v>19</v>
      </c>
      <c r="C118" s="185">
        <v>584</v>
      </c>
      <c r="D118" s="185">
        <v>264</v>
      </c>
      <c r="E118" s="197">
        <v>0.45205479452054792</v>
      </c>
      <c r="F118" s="198">
        <v>1.9343796477495108</v>
      </c>
      <c r="G118" s="198">
        <v>4.1182384166666663</v>
      </c>
      <c r="H118" s="185">
        <v>13096</v>
      </c>
      <c r="I118" s="185">
        <v>75997.907600782783</v>
      </c>
      <c r="J118" s="195">
        <v>8.5224555990357637E-3</v>
      </c>
      <c r="K118" s="185">
        <v>367</v>
      </c>
      <c r="L118" s="185">
        <v>115</v>
      </c>
      <c r="M118" s="197">
        <v>0.3133514986376022</v>
      </c>
      <c r="N118" s="198">
        <v>2.2173343713507201</v>
      </c>
      <c r="O118" s="198">
        <v>3.9913040000000004</v>
      </c>
      <c r="P118" s="185">
        <v>5508</v>
      </c>
      <c r="Q118" s="185">
        <v>12213.077717399767</v>
      </c>
      <c r="R118" s="195">
        <v>2.0396491984521946E-2</v>
      </c>
      <c r="S118" s="185">
        <v>951</v>
      </c>
      <c r="T118" s="185">
        <v>379</v>
      </c>
      <c r="U118" s="197">
        <v>0.39852786540483703</v>
      </c>
      <c r="V118" s="198">
        <v>2.0758570095501154</v>
      </c>
      <c r="W118" s="198">
        <v>4.079722696569922</v>
      </c>
      <c r="X118" s="185">
        <v>18604</v>
      </c>
      <c r="Y118" s="185">
        <v>88210.985318182546</v>
      </c>
      <c r="Z118" s="195">
        <v>9.2696033524288218E-3</v>
      </c>
      <c r="AA118" s="206"/>
    </row>
    <row r="119" spans="1:27" x14ac:dyDescent="0.35">
      <c r="A119" s="162" t="s">
        <v>288</v>
      </c>
      <c r="B119" s="110" t="s">
        <v>50</v>
      </c>
      <c r="C119" s="185">
        <v>817</v>
      </c>
      <c r="D119" s="185">
        <v>467</v>
      </c>
      <c r="E119" s="197">
        <v>0.57160342717258261</v>
      </c>
      <c r="F119" s="198">
        <v>1.6905004371393599</v>
      </c>
      <c r="G119" s="198">
        <v>4.1852244166666663</v>
      </c>
      <c r="H119" s="185">
        <v>23454</v>
      </c>
      <c r="I119" s="185">
        <v>118946.99175799964</v>
      </c>
      <c r="J119" s="195">
        <v>1.3338794289199398E-2</v>
      </c>
      <c r="K119" s="185">
        <v>149</v>
      </c>
      <c r="L119" s="185">
        <v>87</v>
      </c>
      <c r="M119" s="197">
        <v>0.58389261744966447</v>
      </c>
      <c r="N119" s="198">
        <v>1.6654304889741132</v>
      </c>
      <c r="O119" s="198">
        <v>4.4521067499999996</v>
      </c>
      <c r="P119" s="185">
        <v>4648</v>
      </c>
      <c r="Q119" s="185">
        <v>7740.9209127516779</v>
      </c>
      <c r="R119" s="195">
        <v>1.2927751300953243E-2</v>
      </c>
      <c r="S119" s="185">
        <v>966</v>
      </c>
      <c r="T119" s="185">
        <v>554</v>
      </c>
      <c r="U119" s="197">
        <v>0.57349896480331264</v>
      </c>
      <c r="V119" s="198">
        <v>1.6779654630567364</v>
      </c>
      <c r="W119" s="198">
        <v>4.2271355412154028</v>
      </c>
      <c r="X119" s="185">
        <v>28102</v>
      </c>
      <c r="Y119" s="185">
        <v>126687.91267075132</v>
      </c>
      <c r="Z119" s="195">
        <v>1.3312930308725882E-2</v>
      </c>
      <c r="AA119" s="206"/>
    </row>
    <row r="120" spans="1:27" ht="15" customHeight="1" x14ac:dyDescent="0.35">
      <c r="A120" s="162" t="s">
        <v>313</v>
      </c>
      <c r="B120" s="110" t="s">
        <v>30</v>
      </c>
      <c r="C120" s="185">
        <v>813</v>
      </c>
      <c r="D120" s="185">
        <v>390</v>
      </c>
      <c r="E120" s="197">
        <v>0.47970479704797048</v>
      </c>
      <c r="F120" s="198">
        <v>1.8779736425935689</v>
      </c>
      <c r="G120" s="198">
        <v>4.250426833333333</v>
      </c>
      <c r="H120" s="185">
        <v>19892</v>
      </c>
      <c r="I120" s="185">
        <v>112069.95509541382</v>
      </c>
      <c r="J120" s="195">
        <v>1.2567598851586783E-2</v>
      </c>
      <c r="K120" s="185">
        <v>56</v>
      </c>
      <c r="L120" s="185">
        <v>15</v>
      </c>
      <c r="M120" s="197">
        <v>0.26785714285714285</v>
      </c>
      <c r="N120" s="198">
        <v>2.3101428571428571</v>
      </c>
      <c r="O120" s="198">
        <v>4.1055552500000001</v>
      </c>
      <c r="P120" s="185">
        <v>739</v>
      </c>
      <c r="Q120" s="185">
        <v>1707.1955714285714</v>
      </c>
      <c r="R120" s="195">
        <v>2.8511077710613114E-3</v>
      </c>
      <c r="S120" s="185">
        <v>869</v>
      </c>
      <c r="T120" s="185">
        <v>405</v>
      </c>
      <c r="U120" s="197">
        <v>0.46605293440736478</v>
      </c>
      <c r="V120" s="198">
        <v>2.0940582498682128</v>
      </c>
      <c r="W120" s="198">
        <v>4.2450612191358026</v>
      </c>
      <c r="X120" s="185">
        <v>20631</v>
      </c>
      <c r="Y120" s="185">
        <v>113777.1506668424</v>
      </c>
      <c r="Z120" s="195">
        <v>1.195620991475046E-2</v>
      </c>
      <c r="AA120" s="206"/>
    </row>
    <row r="121" spans="1:27" ht="15" customHeight="1" x14ac:dyDescent="0.35">
      <c r="A121" s="162" t="s">
        <v>326</v>
      </c>
      <c r="B121" s="110" t="s">
        <v>20</v>
      </c>
      <c r="C121" s="185">
        <v>10</v>
      </c>
      <c r="D121" s="185">
        <v>5</v>
      </c>
      <c r="E121" s="197">
        <v>0.5</v>
      </c>
      <c r="F121" s="198">
        <v>1.8365714285714285</v>
      </c>
      <c r="G121" s="198">
        <v>3.5333333333333332</v>
      </c>
      <c r="H121" s="185">
        <v>212</v>
      </c>
      <c r="I121" s="185">
        <v>1168.0594285714285</v>
      </c>
      <c r="J121" s="195">
        <v>1.309869565005307E-4</v>
      </c>
      <c r="K121" s="201"/>
      <c r="L121" s="201"/>
      <c r="M121" s="201"/>
      <c r="N121" s="201"/>
      <c r="O121" s="201"/>
      <c r="P121" s="201"/>
      <c r="Q121" s="201"/>
      <c r="R121" s="201"/>
      <c r="S121" s="185">
        <v>10</v>
      </c>
      <c r="T121" s="185">
        <v>5</v>
      </c>
      <c r="U121" s="197">
        <v>0.5</v>
      </c>
      <c r="V121" s="198">
        <v>1.8365714285714285</v>
      </c>
      <c r="W121" s="198">
        <v>3.5333333333333332</v>
      </c>
      <c r="X121" s="185">
        <v>212</v>
      </c>
      <c r="Y121" s="185">
        <v>1168.0594285714285</v>
      </c>
      <c r="Z121" s="195">
        <v>1.2274488892586934E-4</v>
      </c>
      <c r="AA121" s="206"/>
    </row>
    <row r="122" spans="1:27" ht="15" customHeight="1" x14ac:dyDescent="0.35">
      <c r="A122" s="162" t="s">
        <v>262</v>
      </c>
      <c r="B122" s="110" t="s">
        <v>73</v>
      </c>
      <c r="C122" s="185">
        <v>1829</v>
      </c>
      <c r="D122" s="185">
        <v>754</v>
      </c>
      <c r="E122" s="197">
        <v>0.41224712957900495</v>
      </c>
      <c r="F122" s="198">
        <v>2.0155872842302585</v>
      </c>
      <c r="G122" s="198">
        <v>4.2387264166666663</v>
      </c>
      <c r="H122" s="185">
        <v>38352</v>
      </c>
      <c r="I122" s="185">
        <v>231905.41057439661</v>
      </c>
      <c r="J122" s="195">
        <v>2.6006026049802677E-2</v>
      </c>
      <c r="K122" s="185">
        <v>597</v>
      </c>
      <c r="L122" s="185">
        <v>58</v>
      </c>
      <c r="M122" s="197">
        <v>9.7152428810720268E-2</v>
      </c>
      <c r="N122" s="198">
        <v>2.4485709999999998</v>
      </c>
      <c r="O122" s="198">
        <v>4.2586201666666677</v>
      </c>
      <c r="P122" s="185">
        <v>2964</v>
      </c>
      <c r="Q122" s="185">
        <v>7257.5644439999996</v>
      </c>
      <c r="R122" s="195">
        <v>1.2120520186185604E-2</v>
      </c>
      <c r="S122" s="185">
        <v>2426</v>
      </c>
      <c r="T122" s="185">
        <v>812</v>
      </c>
      <c r="U122" s="197">
        <v>0.33470733718054413</v>
      </c>
      <c r="V122" s="198">
        <v>2.2320791421151291</v>
      </c>
      <c r="W122" s="198">
        <v>4.2401473988095235</v>
      </c>
      <c r="X122" s="185">
        <v>41316</v>
      </c>
      <c r="Y122" s="185">
        <v>239162.9750183966</v>
      </c>
      <c r="Z122" s="195">
        <v>2.5132310981571249E-2</v>
      </c>
      <c r="AA122" s="206"/>
    </row>
    <row r="123" spans="1:27" ht="24" customHeight="1" x14ac:dyDescent="0.35">
      <c r="A123" s="162" t="s">
        <v>322</v>
      </c>
      <c r="B123" s="110" t="s">
        <v>23</v>
      </c>
      <c r="C123" s="185">
        <v>832</v>
      </c>
      <c r="D123" s="185">
        <v>360</v>
      </c>
      <c r="E123" s="197">
        <v>0.43269230769230771</v>
      </c>
      <c r="F123" s="198">
        <v>1.9738791208791211</v>
      </c>
      <c r="G123" s="198">
        <v>4.2655087500000004</v>
      </c>
      <c r="H123" s="185">
        <v>18427</v>
      </c>
      <c r="I123" s="185">
        <v>109118.01168131869</v>
      </c>
      <c r="J123" s="195">
        <v>1.2236565965659899E-2</v>
      </c>
      <c r="K123" s="185">
        <v>178</v>
      </c>
      <c r="L123" s="185">
        <v>71</v>
      </c>
      <c r="M123" s="197">
        <v>0.398876404494382</v>
      </c>
      <c r="N123" s="198">
        <v>2.0428635634028893</v>
      </c>
      <c r="O123" s="198">
        <v>4.3591544999999998</v>
      </c>
      <c r="P123" s="185">
        <v>3714</v>
      </c>
      <c r="Q123" s="185">
        <v>7587.1952744783312</v>
      </c>
      <c r="R123" s="195">
        <v>1.2671021275859668E-2</v>
      </c>
      <c r="S123" s="185">
        <v>1010</v>
      </c>
      <c r="T123" s="185">
        <v>431</v>
      </c>
      <c r="U123" s="197">
        <v>0.42673267326732672</v>
      </c>
      <c r="V123" s="198">
        <v>2.0083713421410052</v>
      </c>
      <c r="W123" s="198">
        <v>4.2809353120649654</v>
      </c>
      <c r="X123" s="185">
        <v>22141</v>
      </c>
      <c r="Y123" s="185">
        <v>116705.20695579702</v>
      </c>
      <c r="Z123" s="195">
        <v>1.2263903115254814E-2</v>
      </c>
      <c r="AA123" s="206"/>
    </row>
    <row r="124" spans="1:27" ht="24" customHeight="1" x14ac:dyDescent="0.35">
      <c r="A124" s="162" t="s">
        <v>308</v>
      </c>
      <c r="B124" s="110" t="s">
        <v>33</v>
      </c>
      <c r="C124" s="185">
        <v>1194</v>
      </c>
      <c r="D124" s="185">
        <v>538</v>
      </c>
      <c r="E124" s="197">
        <v>0.45058626465661644</v>
      </c>
      <c r="F124" s="198">
        <v>1.937375448671931</v>
      </c>
      <c r="G124" s="198">
        <v>4.1499375833333332</v>
      </c>
      <c r="H124" s="185">
        <v>26792</v>
      </c>
      <c r="I124" s="185">
        <v>155718.48906245513</v>
      </c>
      <c r="J124" s="195">
        <v>1.7462374305816295E-2</v>
      </c>
      <c r="K124" s="185">
        <v>466</v>
      </c>
      <c r="L124" s="185">
        <v>78</v>
      </c>
      <c r="M124" s="197">
        <v>0.16738197424892703</v>
      </c>
      <c r="N124" s="198">
        <v>2.4485709999999998</v>
      </c>
      <c r="O124" s="198">
        <v>3.7179481666666665</v>
      </c>
      <c r="P124" s="185">
        <v>3480</v>
      </c>
      <c r="Q124" s="185">
        <v>8521.0270799999998</v>
      </c>
      <c r="R124" s="195">
        <v>1.4230570259084313E-2</v>
      </c>
      <c r="S124" s="185">
        <v>1660</v>
      </c>
      <c r="T124" s="185">
        <v>616</v>
      </c>
      <c r="U124" s="197">
        <v>0.37108433734939761</v>
      </c>
      <c r="V124" s="198">
        <v>2.1929732243359652</v>
      </c>
      <c r="W124" s="198">
        <v>4.0952376247294371</v>
      </c>
      <c r="X124" s="185">
        <v>30272</v>
      </c>
      <c r="Y124" s="185">
        <v>164239.51614245513</v>
      </c>
      <c r="Z124" s="195">
        <v>1.7259020108933945E-2</v>
      </c>
      <c r="AA124" s="206"/>
    </row>
    <row r="125" spans="1:27" ht="24" customHeight="1" x14ac:dyDescent="0.35">
      <c r="A125" s="162" t="s">
        <v>320</v>
      </c>
      <c r="B125" s="110" t="s">
        <v>25</v>
      </c>
      <c r="C125" s="185">
        <v>44</v>
      </c>
      <c r="D125" s="185">
        <v>30</v>
      </c>
      <c r="E125" s="197">
        <v>0.68181818181818177</v>
      </c>
      <c r="F125" s="198">
        <v>1.4656623376623377</v>
      </c>
      <c r="G125" s="198">
        <v>4.2194440833333333</v>
      </c>
      <c r="H125" s="185">
        <v>1519</v>
      </c>
      <c r="I125" s="185">
        <v>6679.0232727272723</v>
      </c>
      <c r="J125" s="195">
        <v>7.4899008517121876E-4</v>
      </c>
      <c r="K125" s="201"/>
      <c r="L125" s="201"/>
      <c r="M125" s="201"/>
      <c r="N125" s="201"/>
      <c r="O125" s="201"/>
      <c r="P125" s="201"/>
      <c r="Q125" s="201"/>
      <c r="R125" s="201"/>
      <c r="S125" s="185">
        <v>44</v>
      </c>
      <c r="T125" s="185">
        <v>30</v>
      </c>
      <c r="U125" s="197">
        <v>0.68181818181818177</v>
      </c>
      <c r="V125" s="198">
        <v>1.4656623376623377</v>
      </c>
      <c r="W125" s="198">
        <v>4.2194440833333333</v>
      </c>
      <c r="X125" s="185">
        <v>1519</v>
      </c>
      <c r="Y125" s="185">
        <v>6679.0232727272723</v>
      </c>
      <c r="Z125" s="195">
        <v>7.0186152321621571E-4</v>
      </c>
      <c r="AA125" s="206"/>
    </row>
    <row r="126" spans="1:27" ht="24" customHeight="1" x14ac:dyDescent="0.35">
      <c r="A126" s="162" t="s">
        <v>256</v>
      </c>
      <c r="B126" s="110" t="s">
        <v>75</v>
      </c>
      <c r="C126" s="185">
        <v>134</v>
      </c>
      <c r="D126" s="185">
        <v>71</v>
      </c>
      <c r="E126" s="197">
        <v>0.52985074626865669</v>
      </c>
      <c r="F126" s="198">
        <v>1.7756759061833689</v>
      </c>
      <c r="G126" s="198">
        <v>4.4425670833333326</v>
      </c>
      <c r="H126" s="185">
        <v>3945</v>
      </c>
      <c r="I126" s="185">
        <v>21015.124349680173</v>
      </c>
      <c r="J126" s="195">
        <v>2.3566499372480072E-3</v>
      </c>
      <c r="K126" s="201"/>
      <c r="L126" s="201"/>
      <c r="M126" s="201"/>
      <c r="N126" s="201"/>
      <c r="O126" s="201"/>
      <c r="P126" s="201"/>
      <c r="Q126" s="201"/>
      <c r="R126" s="201"/>
      <c r="S126" s="185">
        <v>134</v>
      </c>
      <c r="T126" s="185">
        <v>71</v>
      </c>
      <c r="U126" s="197">
        <v>0.52985074626865669</v>
      </c>
      <c r="V126" s="198">
        <v>1.7756759061833689</v>
      </c>
      <c r="W126" s="198">
        <v>4.4425670833333326</v>
      </c>
      <c r="X126" s="185">
        <v>3945</v>
      </c>
      <c r="Y126" s="185">
        <v>21015.124349680173</v>
      </c>
      <c r="Z126" s="195">
        <v>2.2083628974423238E-3</v>
      </c>
      <c r="AA126" s="206"/>
    </row>
    <row r="127" spans="1:27" ht="24" customHeight="1" x14ac:dyDescent="0.35">
      <c r="A127" s="162" t="s">
        <v>307</v>
      </c>
      <c r="B127" s="110" t="s">
        <v>34</v>
      </c>
      <c r="C127" s="185">
        <v>214</v>
      </c>
      <c r="D127" s="185">
        <v>97</v>
      </c>
      <c r="E127" s="197">
        <v>0.45327102803738317</v>
      </c>
      <c r="F127" s="198">
        <v>1.9318985313751669</v>
      </c>
      <c r="G127" s="198">
        <v>4.2268036666666662</v>
      </c>
      <c r="H127" s="185">
        <v>4920</v>
      </c>
      <c r="I127" s="185">
        <v>28514.822323097462</v>
      </c>
      <c r="J127" s="195">
        <v>3.197671025886098E-3</v>
      </c>
      <c r="K127" s="185">
        <v>45</v>
      </c>
      <c r="L127" s="185">
        <v>5</v>
      </c>
      <c r="M127" s="197">
        <v>0.1111111111111111</v>
      </c>
      <c r="N127" s="198">
        <v>2.4485709999999998</v>
      </c>
      <c r="O127" s="198">
        <v>4.2166666666666668</v>
      </c>
      <c r="P127" s="185">
        <v>253</v>
      </c>
      <c r="Q127" s="185">
        <v>619.48846299999991</v>
      </c>
      <c r="R127" s="195">
        <v>1.0345788148127387E-3</v>
      </c>
      <c r="S127" s="185">
        <v>259</v>
      </c>
      <c r="T127" s="185">
        <v>102</v>
      </c>
      <c r="U127" s="197">
        <v>0.39382239382239381</v>
      </c>
      <c r="V127" s="198">
        <v>2.1902347656875834</v>
      </c>
      <c r="W127" s="198">
        <v>4.2263067549019597</v>
      </c>
      <c r="X127" s="185">
        <v>5173</v>
      </c>
      <c r="Y127" s="185">
        <v>29134.310786097463</v>
      </c>
      <c r="Z127" s="195">
        <v>3.0615631824015598E-3</v>
      </c>
      <c r="AA127" s="206"/>
    </row>
    <row r="128" spans="1:27" ht="24" customHeight="1" x14ac:dyDescent="0.35">
      <c r="A128" s="162" t="s">
        <v>246</v>
      </c>
      <c r="B128" s="110" t="s">
        <v>83</v>
      </c>
      <c r="C128" s="185">
        <v>529</v>
      </c>
      <c r="D128" s="185">
        <v>356</v>
      </c>
      <c r="E128" s="197">
        <v>0.67296786389413987</v>
      </c>
      <c r="F128" s="198">
        <v>1.4837169862273833</v>
      </c>
      <c r="G128" s="198">
        <v>4.4887635833333341</v>
      </c>
      <c r="H128" s="185">
        <v>19176</v>
      </c>
      <c r="I128" s="185">
        <v>85355.270783688902</v>
      </c>
      <c r="J128" s="195">
        <v>9.5717964923309369E-3</v>
      </c>
      <c r="K128" s="185">
        <v>57</v>
      </c>
      <c r="L128" s="185">
        <v>36</v>
      </c>
      <c r="M128" s="197">
        <v>0.63157894736842102</v>
      </c>
      <c r="N128" s="198">
        <v>1.5681503759398496</v>
      </c>
      <c r="O128" s="198">
        <v>4.2708329166666674</v>
      </c>
      <c r="P128" s="185">
        <v>1845</v>
      </c>
      <c r="Q128" s="185">
        <v>2893.2374436090226</v>
      </c>
      <c r="R128" s="195">
        <v>4.8318610339977567E-3</v>
      </c>
      <c r="S128" s="185">
        <v>586</v>
      </c>
      <c r="T128" s="185">
        <v>392</v>
      </c>
      <c r="U128" s="197">
        <v>0.66894197952218426</v>
      </c>
      <c r="V128" s="198">
        <v>1.5259336810836164</v>
      </c>
      <c r="W128" s="198">
        <v>4.4687495425170072</v>
      </c>
      <c r="X128" s="185">
        <v>21021</v>
      </c>
      <c r="Y128" s="185">
        <v>88248.50822729792</v>
      </c>
      <c r="Z128" s="195">
        <v>9.2735464268982222E-3</v>
      </c>
      <c r="AA128" s="206"/>
    </row>
    <row r="129" spans="1:27" ht="24" customHeight="1" x14ac:dyDescent="0.35">
      <c r="A129" s="162" t="s">
        <v>226</v>
      </c>
      <c r="B129" s="110" t="s">
        <v>102</v>
      </c>
      <c r="C129" s="185">
        <v>840</v>
      </c>
      <c r="D129" s="185">
        <v>436</v>
      </c>
      <c r="E129" s="197">
        <v>0.51904761904761909</v>
      </c>
      <c r="F129" s="198">
        <v>1.7977142857142858</v>
      </c>
      <c r="G129" s="198">
        <v>4.3339035833333339</v>
      </c>
      <c r="H129" s="185">
        <v>22779</v>
      </c>
      <c r="I129" s="185">
        <v>122850.40114285715</v>
      </c>
      <c r="J129" s="195">
        <v>1.3776525198082539E-2</v>
      </c>
      <c r="K129" s="185">
        <v>290</v>
      </c>
      <c r="L129" s="185">
        <v>100</v>
      </c>
      <c r="M129" s="197">
        <v>0.34482758620689657</v>
      </c>
      <c r="N129" s="198">
        <v>2.1531231527093597</v>
      </c>
      <c r="O129" s="198">
        <v>4.2175000000000002</v>
      </c>
      <c r="P129" s="185">
        <v>5061</v>
      </c>
      <c r="Q129" s="185">
        <v>10896.956275862069</v>
      </c>
      <c r="R129" s="195">
        <v>1.8198498894316965E-2</v>
      </c>
      <c r="S129" s="185">
        <v>1130</v>
      </c>
      <c r="T129" s="185">
        <v>536</v>
      </c>
      <c r="U129" s="197">
        <v>0.4743362831858407</v>
      </c>
      <c r="V129" s="198">
        <v>1.9754187192118229</v>
      </c>
      <c r="W129" s="198">
        <v>4.3121864968905479</v>
      </c>
      <c r="X129" s="185">
        <v>27840</v>
      </c>
      <c r="Y129" s="185">
        <v>133747.35741871921</v>
      </c>
      <c r="Z129" s="195">
        <v>1.4054768215490095E-2</v>
      </c>
      <c r="AA129" s="206"/>
    </row>
    <row r="130" spans="1:27" ht="24" customHeight="1" x14ac:dyDescent="0.35">
      <c r="A130" s="162" t="s">
        <v>330</v>
      </c>
      <c r="B130" s="110" t="s">
        <v>17</v>
      </c>
      <c r="C130" s="185">
        <v>226</v>
      </c>
      <c r="D130" s="185">
        <v>187</v>
      </c>
      <c r="E130" s="197">
        <v>0.82743362831858402</v>
      </c>
      <c r="F130" s="198">
        <v>1.2085561497326205</v>
      </c>
      <c r="G130" s="198">
        <v>4.3395716666666662</v>
      </c>
      <c r="H130" s="185">
        <v>9738</v>
      </c>
      <c r="I130" s="185">
        <v>35306.759358288778</v>
      </c>
      <c r="J130" s="195">
        <v>3.9593233350250457E-3</v>
      </c>
      <c r="K130" s="201"/>
      <c r="L130" s="201"/>
      <c r="M130" s="201"/>
      <c r="N130" s="201"/>
      <c r="O130" s="201"/>
      <c r="P130" s="201"/>
      <c r="Q130" s="201"/>
      <c r="R130" s="201"/>
      <c r="S130" s="185">
        <v>226</v>
      </c>
      <c r="T130" s="185">
        <v>187</v>
      </c>
      <c r="U130" s="197">
        <v>0.82743362831858402</v>
      </c>
      <c r="V130" s="198">
        <v>1.2085561497326205</v>
      </c>
      <c r="W130" s="198">
        <v>4.3395716666666662</v>
      </c>
      <c r="X130" s="185">
        <v>9738</v>
      </c>
      <c r="Y130" s="185">
        <v>35306.759358288778</v>
      </c>
      <c r="Z130" s="195">
        <v>3.7101915790927077E-3</v>
      </c>
      <c r="AA130" s="206"/>
    </row>
    <row r="131" spans="1:27" ht="24" customHeight="1" x14ac:dyDescent="0.35">
      <c r="A131" s="162" t="s">
        <v>181</v>
      </c>
      <c r="B131" s="110" t="s">
        <v>154</v>
      </c>
      <c r="C131" s="185">
        <v>1576</v>
      </c>
      <c r="D131" s="185">
        <v>849</v>
      </c>
      <c r="E131" s="197">
        <v>0.53870558375634514</v>
      </c>
      <c r="F131" s="198">
        <v>1.7576120377084845</v>
      </c>
      <c r="G131" s="198">
        <v>4.2679963333333335</v>
      </c>
      <c r="H131" s="185">
        <v>43636</v>
      </c>
      <c r="I131" s="185">
        <v>230085.4766323423</v>
      </c>
      <c r="J131" s="195">
        <v>2.5801937454419083E-2</v>
      </c>
      <c r="K131" s="185">
        <v>655</v>
      </c>
      <c r="L131" s="185">
        <v>206</v>
      </c>
      <c r="M131" s="197">
        <v>0.31450381679389311</v>
      </c>
      <c r="N131" s="198">
        <v>2.2149836423118865</v>
      </c>
      <c r="O131" s="198">
        <v>4.2940933333333335</v>
      </c>
      <c r="P131" s="185">
        <v>10615</v>
      </c>
      <c r="Q131" s="185">
        <v>23512.051363140676</v>
      </c>
      <c r="R131" s="195">
        <v>3.9266381354860387E-2</v>
      </c>
      <c r="S131" s="185">
        <v>2231</v>
      </c>
      <c r="T131" s="185">
        <v>1055</v>
      </c>
      <c r="U131" s="197">
        <v>0.47288211564320931</v>
      </c>
      <c r="V131" s="198">
        <v>1.9862978400101854</v>
      </c>
      <c r="W131" s="198">
        <v>4.2730920508688781</v>
      </c>
      <c r="X131" s="185">
        <v>54251</v>
      </c>
      <c r="Y131" s="185">
        <v>253597.52799548296</v>
      </c>
      <c r="Z131" s="195">
        <v>2.6649158120105945E-2</v>
      </c>
      <c r="AA131" s="206"/>
    </row>
    <row r="132" spans="1:27" ht="24" customHeight="1" x14ac:dyDescent="0.35">
      <c r="A132" s="162" t="s">
        <v>394</v>
      </c>
      <c r="B132" s="110" t="s">
        <v>395</v>
      </c>
      <c r="C132" s="185">
        <v>56</v>
      </c>
      <c r="D132" s="185">
        <v>24</v>
      </c>
      <c r="E132" s="197">
        <v>0.42857142857142855</v>
      </c>
      <c r="F132" s="198">
        <v>1.9822857142857144</v>
      </c>
      <c r="G132" s="198">
        <v>4.1319440833333339</v>
      </c>
      <c r="H132" s="185">
        <v>1190</v>
      </c>
      <c r="I132" s="185">
        <v>7076.76</v>
      </c>
      <c r="J132" s="195">
        <v>7.9359254470331129E-4</v>
      </c>
      <c r="K132" s="185">
        <v>16</v>
      </c>
      <c r="L132" s="185">
        <v>3</v>
      </c>
      <c r="M132" s="197">
        <v>0.1875</v>
      </c>
      <c r="N132" s="198">
        <v>2.4485709999999998</v>
      </c>
      <c r="O132" s="198">
        <v>4.1666662500000005</v>
      </c>
      <c r="P132" s="185">
        <v>150</v>
      </c>
      <c r="Q132" s="185">
        <v>367.28564999999998</v>
      </c>
      <c r="R132" s="195">
        <v>6.1338664909846166E-4</v>
      </c>
      <c r="S132" s="185">
        <v>72</v>
      </c>
      <c r="T132" s="185">
        <v>27</v>
      </c>
      <c r="U132" s="197">
        <v>0.375</v>
      </c>
      <c r="V132" s="198">
        <v>2.2154283571428572</v>
      </c>
      <c r="W132" s="198">
        <v>4.1358021018518523</v>
      </c>
      <c r="X132" s="185">
        <v>1340</v>
      </c>
      <c r="Y132" s="185">
        <v>7444.04565</v>
      </c>
      <c r="Z132" s="195">
        <v>7.8225348310047532E-4</v>
      </c>
      <c r="AA132" s="206"/>
    </row>
    <row r="133" spans="1:27" ht="24" customHeight="1" x14ac:dyDescent="0.35">
      <c r="A133" s="162" t="s">
        <v>392</v>
      </c>
      <c r="B133" s="110" t="s">
        <v>393</v>
      </c>
      <c r="C133" s="185">
        <v>1974</v>
      </c>
      <c r="D133" s="185">
        <v>1009</v>
      </c>
      <c r="E133" s="197">
        <v>0.51114488348530907</v>
      </c>
      <c r="F133" s="198">
        <v>1.813835866261398</v>
      </c>
      <c r="G133" s="198">
        <v>4.2284887499999995</v>
      </c>
      <c r="H133" s="185">
        <v>51503</v>
      </c>
      <c r="I133" s="185">
        <v>280253.96586018236</v>
      </c>
      <c r="J133" s="195">
        <v>3.1427865001805493E-2</v>
      </c>
      <c r="K133" s="185">
        <v>829</v>
      </c>
      <c r="L133" s="185">
        <v>361</v>
      </c>
      <c r="M133" s="197">
        <v>0.43546441495778043</v>
      </c>
      <c r="N133" s="198">
        <v>1.9682240220575564</v>
      </c>
      <c r="O133" s="198">
        <v>4.0925409166666666</v>
      </c>
      <c r="P133" s="185">
        <v>17778</v>
      </c>
      <c r="Q133" s="185">
        <v>34991.086664139235</v>
      </c>
      <c r="R133" s="195">
        <v>5.8436983305038562E-2</v>
      </c>
      <c r="S133" s="185">
        <v>2803</v>
      </c>
      <c r="T133" s="185">
        <v>1370</v>
      </c>
      <c r="U133" s="197">
        <v>0.48876204067070994</v>
      </c>
      <c r="V133" s="198">
        <v>1.8910299441594773</v>
      </c>
      <c r="W133" s="198">
        <v>4.1926659997566915</v>
      </c>
      <c r="X133" s="185">
        <v>69281</v>
      </c>
      <c r="Y133" s="185">
        <v>315245.0525243216</v>
      </c>
      <c r="Z133" s="195">
        <v>3.3127354661956279E-2</v>
      </c>
      <c r="AA133" s="206"/>
    </row>
    <row r="134" spans="1:27" ht="24" customHeight="1" x14ac:dyDescent="0.35">
      <c r="A134" s="162" t="s">
        <v>493</v>
      </c>
      <c r="B134" s="110" t="s">
        <v>494</v>
      </c>
      <c r="C134" s="185">
        <v>874</v>
      </c>
      <c r="D134" s="185">
        <v>405</v>
      </c>
      <c r="E134" s="197">
        <v>0.46338672768878719</v>
      </c>
      <c r="F134" s="198">
        <v>1.9112625040863027</v>
      </c>
      <c r="G134" s="198">
        <v>4.1972491666666674</v>
      </c>
      <c r="H134" s="185">
        <v>20449</v>
      </c>
      <c r="I134" s="185">
        <v>117250.22083818242</v>
      </c>
      <c r="J134" s="195">
        <v>1.3148517276550059E-2</v>
      </c>
      <c r="K134" s="185">
        <v>220</v>
      </c>
      <c r="L134" s="185">
        <v>84</v>
      </c>
      <c r="M134" s="197">
        <v>0.38181818181818183</v>
      </c>
      <c r="N134" s="198">
        <v>2.0776623376623378</v>
      </c>
      <c r="O134" s="198">
        <v>4.1121025833333338</v>
      </c>
      <c r="P134" s="185">
        <v>4145</v>
      </c>
      <c r="Q134" s="185">
        <v>8611.9103896103898</v>
      </c>
      <c r="R134" s="195">
        <v>1.4382350239437193E-2</v>
      </c>
      <c r="S134" s="185">
        <v>1094</v>
      </c>
      <c r="T134" s="185">
        <v>489</v>
      </c>
      <c r="U134" s="197">
        <v>0.44698354661791589</v>
      </c>
      <c r="V134" s="198">
        <v>1.9944624208743202</v>
      </c>
      <c r="W134" s="198">
        <v>4.1826227597137011</v>
      </c>
      <c r="X134" s="185">
        <v>24594</v>
      </c>
      <c r="Y134" s="185">
        <v>125862.13122779281</v>
      </c>
      <c r="Z134" s="195">
        <v>1.322615351551344E-2</v>
      </c>
      <c r="AA134" s="206"/>
    </row>
    <row r="135" spans="1:27" ht="24" customHeight="1" x14ac:dyDescent="0.35">
      <c r="A135" s="162" t="s">
        <v>509</v>
      </c>
      <c r="B135" s="110" t="s">
        <v>510</v>
      </c>
      <c r="C135" s="185">
        <v>428</v>
      </c>
      <c r="D135" s="185">
        <v>242</v>
      </c>
      <c r="E135" s="197">
        <v>0.56542056074766356</v>
      </c>
      <c r="F135" s="198">
        <v>1.7031134846461951</v>
      </c>
      <c r="G135" s="198">
        <v>4.2613629999999993</v>
      </c>
      <c r="H135" s="185">
        <v>12375</v>
      </c>
      <c r="I135" s="185">
        <v>63228.088117489991</v>
      </c>
      <c r="J135" s="195">
        <v>7.0904396003091926E-3</v>
      </c>
      <c r="K135" s="185">
        <v>65</v>
      </c>
      <c r="L135" s="185">
        <v>19</v>
      </c>
      <c r="M135" s="197">
        <v>0.29230769230769232</v>
      </c>
      <c r="N135" s="198">
        <v>2.2602637362637363</v>
      </c>
      <c r="O135" s="198">
        <v>4.2412275833333339</v>
      </c>
      <c r="P135" s="185">
        <v>967</v>
      </c>
      <c r="Q135" s="185">
        <v>2185.6750329670331</v>
      </c>
      <c r="R135" s="195">
        <v>3.6501940233434611E-3</v>
      </c>
      <c r="S135" s="185">
        <v>493</v>
      </c>
      <c r="T135" s="185">
        <v>261</v>
      </c>
      <c r="U135" s="197">
        <v>0.52941176470588236</v>
      </c>
      <c r="V135" s="198">
        <v>1.9816886104549658</v>
      </c>
      <c r="W135" s="198">
        <v>4.2598972033844191</v>
      </c>
      <c r="X135" s="185">
        <v>13342</v>
      </c>
      <c r="Y135" s="185">
        <v>65413.763150457024</v>
      </c>
      <c r="Z135" s="195">
        <v>6.8739696763082756E-3</v>
      </c>
      <c r="AA135" s="206"/>
    </row>
    <row r="136" spans="1:27" x14ac:dyDescent="0.35">
      <c r="A136" s="162" t="s">
        <v>511</v>
      </c>
      <c r="B136" s="110" t="s">
        <v>512</v>
      </c>
      <c r="C136" s="185">
        <v>127</v>
      </c>
      <c r="D136" s="185">
        <v>62</v>
      </c>
      <c r="E136" s="197">
        <v>0.48818897637795278</v>
      </c>
      <c r="F136" s="198">
        <v>1.8606659167604049</v>
      </c>
      <c r="G136" s="198">
        <v>4.1008060833333335</v>
      </c>
      <c r="H136" s="185">
        <v>3051</v>
      </c>
      <c r="I136" s="185">
        <v>17030.675136107988</v>
      </c>
      <c r="J136" s="195">
        <v>1.9098311683990062E-3</v>
      </c>
      <c r="K136" s="185">
        <v>4</v>
      </c>
      <c r="L136" s="185">
        <v>3</v>
      </c>
      <c r="M136" s="197">
        <v>0.75</v>
      </c>
      <c r="N136" s="198">
        <v>1.3333333333333333</v>
      </c>
      <c r="O136" s="198">
        <v>4.270833333333333</v>
      </c>
      <c r="P136" s="185">
        <v>205</v>
      </c>
      <c r="Q136" s="185">
        <v>273.33333333333331</v>
      </c>
      <c r="R136" s="195">
        <v>4.5648126307206994E-4</v>
      </c>
      <c r="S136" s="185">
        <v>131</v>
      </c>
      <c r="T136" s="185">
        <v>65</v>
      </c>
      <c r="U136" s="197">
        <v>0.49618320610687022</v>
      </c>
      <c r="V136" s="198">
        <v>1.5969996250468692</v>
      </c>
      <c r="W136" s="198">
        <v>4.1086534948717945</v>
      </c>
      <c r="X136" s="185">
        <v>3256</v>
      </c>
      <c r="Y136" s="185">
        <v>17304.00846944132</v>
      </c>
      <c r="Z136" s="195">
        <v>1.8183823062423855E-3</v>
      </c>
      <c r="AA136" s="206"/>
    </row>
    <row r="137" spans="1:27" x14ac:dyDescent="0.35">
      <c r="A137" s="40" t="s">
        <v>13</v>
      </c>
      <c r="B137" s="40"/>
      <c r="C137" s="186">
        <v>66615</v>
      </c>
      <c r="D137" s="186">
        <v>32675</v>
      </c>
      <c r="E137" s="199">
        <v>0.49050514148465063</v>
      </c>
      <c r="F137" s="200">
        <v>1.7353463362292205</v>
      </c>
      <c r="G137" s="200">
        <v>4.238035061242031</v>
      </c>
      <c r="H137" s="186">
        <v>1664656</v>
      </c>
      <c r="I137" s="186">
        <v>8917372.0786977448</v>
      </c>
      <c r="J137" s="196">
        <v>1</v>
      </c>
      <c r="K137" s="186">
        <v>17309</v>
      </c>
      <c r="L137" s="186">
        <v>5836</v>
      </c>
      <c r="M137" s="199">
        <v>0.3371656363741406</v>
      </c>
      <c r="N137" s="200">
        <v>1.9771625473158558</v>
      </c>
      <c r="O137" s="200">
        <v>4.1716392987919795</v>
      </c>
      <c r="P137" s="186">
        <v>292646</v>
      </c>
      <c r="Q137" s="186">
        <v>598783.24795596057</v>
      </c>
      <c r="R137" s="196">
        <v>1</v>
      </c>
      <c r="S137" s="186">
        <v>83924</v>
      </c>
      <c r="T137" s="186">
        <v>38511</v>
      </c>
      <c r="U137" s="199">
        <v>0.45887946237071636</v>
      </c>
      <c r="V137" s="200">
        <v>1.8368227819530774</v>
      </c>
      <c r="W137" s="200">
        <v>4.2279733731617819</v>
      </c>
      <c r="X137" s="186">
        <v>1957302</v>
      </c>
      <c r="Y137" s="186">
        <v>9516155.3266537022</v>
      </c>
      <c r="Z137" s="196">
        <v>1</v>
      </c>
    </row>
    <row r="139" spans="1:27" x14ac:dyDescent="0.35">
      <c r="A139" t="s">
        <v>448</v>
      </c>
    </row>
    <row r="140" spans="1:27" x14ac:dyDescent="0.35">
      <c r="A140" s="163" t="s">
        <v>507</v>
      </c>
    </row>
  </sheetData>
  <mergeCells count="10">
    <mergeCell ref="Z4:Z5"/>
    <mergeCell ref="C4:J4"/>
    <mergeCell ref="K4:R4"/>
    <mergeCell ref="S4:S5"/>
    <mergeCell ref="T4:T5"/>
    <mergeCell ref="U4:U5"/>
    <mergeCell ref="V4:V5"/>
    <mergeCell ref="X4:X5"/>
    <mergeCell ref="W4:W5"/>
    <mergeCell ref="Y4:Y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I255"/>
  <sheetViews>
    <sheetView zoomScale="90" zoomScaleNormal="90" workbookViewId="0">
      <pane xSplit="1" ySplit="3" topLeftCell="B217" activePane="bottomRight" state="frozen"/>
      <selection pane="topRight" activeCell="B1" sqref="B1"/>
      <selection pane="bottomLeft" activeCell="A5" sqref="A5"/>
      <selection pane="bottomRight"/>
    </sheetView>
  </sheetViews>
  <sheetFormatPr defaultColWidth="19.54296875" defaultRowHeight="14.5" x14ac:dyDescent="0.35"/>
  <cols>
    <col min="1" max="1" width="34.26953125" style="163" customWidth="1"/>
    <col min="2" max="7" width="17.453125" style="163" customWidth="1"/>
    <col min="8" max="16384" width="19.54296875" style="163"/>
  </cols>
  <sheetData>
    <row r="1" spans="1:9" ht="19.5" x14ac:dyDescent="0.45">
      <c r="A1" s="3" t="s">
        <v>597</v>
      </c>
    </row>
    <row r="2" spans="1:9" x14ac:dyDescent="0.35">
      <c r="A2" s="9" t="s">
        <v>593</v>
      </c>
    </row>
    <row r="3" spans="1:9" ht="23" x14ac:dyDescent="0.35">
      <c r="A3" s="39" t="s">
        <v>12</v>
      </c>
      <c r="B3" s="39" t="s">
        <v>418</v>
      </c>
      <c r="C3" s="39" t="s">
        <v>419</v>
      </c>
      <c r="D3" s="39" t="s">
        <v>420</v>
      </c>
      <c r="E3" s="39" t="s">
        <v>570</v>
      </c>
      <c r="F3" s="39" t="s">
        <v>422</v>
      </c>
      <c r="G3" s="39" t="s">
        <v>423</v>
      </c>
      <c r="H3" s="39" t="s">
        <v>424</v>
      </c>
      <c r="I3" s="39" t="s">
        <v>425</v>
      </c>
    </row>
    <row r="4" spans="1:9" x14ac:dyDescent="0.35">
      <c r="A4" s="177" t="s">
        <v>393</v>
      </c>
      <c r="B4" s="184">
        <v>1373247</v>
      </c>
      <c r="C4" s="184">
        <v>210301</v>
      </c>
      <c r="D4" s="225">
        <v>0.15314142321082805</v>
      </c>
      <c r="E4" s="237">
        <v>2.4485714285714284</v>
      </c>
      <c r="F4" s="224">
        <v>3.9409584357658782</v>
      </c>
      <c r="G4" s="184">
        <v>6630300</v>
      </c>
      <c r="H4" s="184">
        <v>16234763.142857142</v>
      </c>
      <c r="I4" s="194">
        <v>4.0630764054062803E-2</v>
      </c>
    </row>
    <row r="5" spans="1:9" x14ac:dyDescent="0.35">
      <c r="A5" s="176" t="s">
        <v>392</v>
      </c>
      <c r="B5" s="185">
        <v>1373247</v>
      </c>
      <c r="C5" s="185">
        <v>210301</v>
      </c>
      <c r="D5" s="197">
        <v>0.15314142321082805</v>
      </c>
      <c r="E5" s="198">
        <v>2.4485714285714284</v>
      </c>
      <c r="F5" s="223">
        <v>3.9409584357658782</v>
      </c>
      <c r="G5" s="185">
        <v>6630300</v>
      </c>
      <c r="H5" s="185">
        <v>16234763.142857142</v>
      </c>
      <c r="I5" s="195">
        <v>4.0630764054062803E-2</v>
      </c>
    </row>
    <row r="6" spans="1:9" x14ac:dyDescent="0.35">
      <c r="A6" s="177" t="s">
        <v>15</v>
      </c>
      <c r="B6" s="184">
        <v>39848</v>
      </c>
      <c r="C6" s="184">
        <v>7711</v>
      </c>
      <c r="D6" s="225">
        <v>0.19351033928929934</v>
      </c>
      <c r="E6" s="237">
        <v>2.4485714285714284</v>
      </c>
      <c r="F6" s="224">
        <v>4.0745850084295165</v>
      </c>
      <c r="G6" s="184">
        <v>251353</v>
      </c>
      <c r="H6" s="184">
        <v>615455.77428571426</v>
      </c>
      <c r="I6" s="194">
        <v>1.5403020130734426E-3</v>
      </c>
    </row>
    <row r="7" spans="1:9" x14ac:dyDescent="0.35">
      <c r="A7" s="176" t="s">
        <v>332</v>
      </c>
      <c r="B7" s="185">
        <v>39848</v>
      </c>
      <c r="C7" s="185">
        <v>7711</v>
      </c>
      <c r="D7" s="197">
        <v>0.19351033928929934</v>
      </c>
      <c r="E7" s="198">
        <v>2.4485714285714284</v>
      </c>
      <c r="F7" s="223">
        <v>4.0745850084295165</v>
      </c>
      <c r="G7" s="185">
        <v>251353</v>
      </c>
      <c r="H7" s="185">
        <v>615455.77428571426</v>
      </c>
      <c r="I7" s="195">
        <v>1.5403020130734426E-3</v>
      </c>
    </row>
    <row r="8" spans="1:9" x14ac:dyDescent="0.35">
      <c r="A8" s="177" t="s">
        <v>16</v>
      </c>
      <c r="B8" s="184">
        <v>1936</v>
      </c>
      <c r="C8" s="184">
        <v>1036</v>
      </c>
      <c r="D8" s="225">
        <v>0.53512396694214881</v>
      </c>
      <c r="E8" s="237">
        <v>1.764918536009445</v>
      </c>
      <c r="F8" s="224">
        <v>4.2822152509652511</v>
      </c>
      <c r="G8" s="184">
        <v>35491</v>
      </c>
      <c r="H8" s="184">
        <v>62638.723761511217</v>
      </c>
      <c r="I8" s="194">
        <v>1.5676602013878698E-4</v>
      </c>
    </row>
    <row r="9" spans="1:9" x14ac:dyDescent="0.35">
      <c r="A9" s="176" t="s">
        <v>331</v>
      </c>
      <c r="B9" s="185">
        <v>1936</v>
      </c>
      <c r="C9" s="185">
        <v>1036</v>
      </c>
      <c r="D9" s="197">
        <v>0.53512396694214881</v>
      </c>
      <c r="E9" s="198">
        <v>1.764918536009445</v>
      </c>
      <c r="F9" s="223">
        <v>4.2822152509652511</v>
      </c>
      <c r="G9" s="185">
        <v>35491</v>
      </c>
      <c r="H9" s="185">
        <v>62638.723761511217</v>
      </c>
      <c r="I9" s="195">
        <v>1.5676602013878698E-4</v>
      </c>
    </row>
    <row r="10" spans="1:9" x14ac:dyDescent="0.35">
      <c r="A10" s="177" t="s">
        <v>510</v>
      </c>
      <c r="B10" s="184">
        <v>108949</v>
      </c>
      <c r="C10" s="184">
        <v>29896</v>
      </c>
      <c r="D10" s="225">
        <v>0.27440362004240515</v>
      </c>
      <c r="E10" s="237">
        <v>2.2967880436849222</v>
      </c>
      <c r="F10" s="224">
        <v>4.4297063152261176</v>
      </c>
      <c r="G10" s="184">
        <v>1059444</v>
      </c>
      <c r="H10" s="184">
        <v>2433318.3121537287</v>
      </c>
      <c r="I10" s="194">
        <v>6.0898690876834598E-3</v>
      </c>
    </row>
    <row r="11" spans="1:9" x14ac:dyDescent="0.35">
      <c r="A11" s="176" t="s">
        <v>509</v>
      </c>
      <c r="B11" s="185">
        <v>108949</v>
      </c>
      <c r="C11" s="185">
        <v>29896</v>
      </c>
      <c r="D11" s="197">
        <v>0.27440362004240515</v>
      </c>
      <c r="E11" s="198">
        <v>2.2967880436849222</v>
      </c>
      <c r="F11" s="223">
        <v>4.4297063152261176</v>
      </c>
      <c r="G11" s="185">
        <v>1059444</v>
      </c>
      <c r="H11" s="185">
        <v>2433318.3121537287</v>
      </c>
      <c r="I11" s="195">
        <v>6.0898690876834598E-3</v>
      </c>
    </row>
    <row r="12" spans="1:9" x14ac:dyDescent="0.35">
      <c r="A12" s="177" t="s">
        <v>17</v>
      </c>
      <c r="B12" s="184">
        <v>59358</v>
      </c>
      <c r="C12" s="184">
        <v>18767</v>
      </c>
      <c r="D12" s="225">
        <v>0.31616631288116176</v>
      </c>
      <c r="E12" s="237">
        <v>2.2115921502938587</v>
      </c>
      <c r="F12" s="224">
        <v>4.2755834709863061</v>
      </c>
      <c r="G12" s="184">
        <v>641919</v>
      </c>
      <c r="H12" s="184">
        <v>1419663.0215244836</v>
      </c>
      <c r="I12" s="194">
        <v>3.5529925971982961E-3</v>
      </c>
    </row>
    <row r="13" spans="1:9" x14ac:dyDescent="0.35">
      <c r="A13" s="176" t="s">
        <v>330</v>
      </c>
      <c r="B13" s="185">
        <v>59358</v>
      </c>
      <c r="C13" s="185">
        <v>18767</v>
      </c>
      <c r="D13" s="197">
        <v>0.31616631288116176</v>
      </c>
      <c r="E13" s="198">
        <v>2.2115921502938587</v>
      </c>
      <c r="F13" s="223">
        <v>4.2755834709863061</v>
      </c>
      <c r="G13" s="185">
        <v>641919</v>
      </c>
      <c r="H13" s="185">
        <v>1419663.0215244836</v>
      </c>
      <c r="I13" s="195">
        <v>3.5529925971982961E-3</v>
      </c>
    </row>
    <row r="14" spans="1:9" x14ac:dyDescent="0.35">
      <c r="A14" s="177" t="s">
        <v>517</v>
      </c>
      <c r="B14" s="184">
        <v>76000</v>
      </c>
      <c r="C14" s="184">
        <v>13779</v>
      </c>
      <c r="D14" s="225">
        <v>0.18130263157894738</v>
      </c>
      <c r="E14" s="237">
        <v>2.4485714285714284</v>
      </c>
      <c r="F14" s="224">
        <v>4.2289444081573411</v>
      </c>
      <c r="G14" s="184">
        <v>466165</v>
      </c>
      <c r="H14" s="184">
        <v>1141438.2999999998</v>
      </c>
      <c r="I14" s="194">
        <v>2.8566792038463092E-3</v>
      </c>
    </row>
    <row r="15" spans="1:9" x14ac:dyDescent="0.35">
      <c r="A15" s="176" t="s">
        <v>328</v>
      </c>
      <c r="B15" s="185">
        <v>76000</v>
      </c>
      <c r="C15" s="185">
        <v>13779</v>
      </c>
      <c r="D15" s="197">
        <v>0.18130263157894738</v>
      </c>
      <c r="E15" s="198">
        <v>2.4485714285714284</v>
      </c>
      <c r="F15" s="223">
        <v>4.2289444081573411</v>
      </c>
      <c r="G15" s="185">
        <v>466165</v>
      </c>
      <c r="H15" s="185">
        <v>1141438.2999999998</v>
      </c>
      <c r="I15" s="195">
        <v>2.8566792038463092E-3</v>
      </c>
    </row>
    <row r="16" spans="1:9" x14ac:dyDescent="0.35">
      <c r="A16" s="177" t="s">
        <v>19</v>
      </c>
      <c r="B16" s="184">
        <v>141657</v>
      </c>
      <c r="C16" s="184">
        <v>33078</v>
      </c>
      <c r="D16" s="225">
        <v>0.23350769817234587</v>
      </c>
      <c r="E16" s="237">
        <v>2.380215724299843</v>
      </c>
      <c r="F16" s="224">
        <v>3.9073175524517807</v>
      </c>
      <c r="G16" s="184">
        <v>1033970</v>
      </c>
      <c r="H16" s="184">
        <v>2461071.6524543087</v>
      </c>
      <c r="I16" s="194">
        <v>6.1593274106378736E-3</v>
      </c>
    </row>
    <row r="17" spans="1:9" x14ac:dyDescent="0.35">
      <c r="A17" s="176" t="s">
        <v>327</v>
      </c>
      <c r="B17" s="185">
        <v>141657</v>
      </c>
      <c r="C17" s="185">
        <v>33078</v>
      </c>
      <c r="D17" s="197">
        <v>0.23350769817234587</v>
      </c>
      <c r="E17" s="198">
        <v>2.380215724299843</v>
      </c>
      <c r="F17" s="223">
        <v>3.9073175524517807</v>
      </c>
      <c r="G17" s="185">
        <v>1033970</v>
      </c>
      <c r="H17" s="185">
        <v>2461071.6524543087</v>
      </c>
      <c r="I17" s="195">
        <v>6.1593274106378736E-3</v>
      </c>
    </row>
    <row r="18" spans="1:9" x14ac:dyDescent="0.35">
      <c r="A18" s="177" t="s">
        <v>154</v>
      </c>
      <c r="B18" s="184">
        <v>490598</v>
      </c>
      <c r="C18" s="184">
        <v>88405</v>
      </c>
      <c r="D18" s="225">
        <v>0.18019845168549403</v>
      </c>
      <c r="E18" s="237">
        <v>2.4485714285714284</v>
      </c>
      <c r="F18" s="224">
        <v>4.1372787172671233</v>
      </c>
      <c r="G18" s="184">
        <v>2926049</v>
      </c>
      <c r="H18" s="184">
        <v>7164639.9799999995</v>
      </c>
      <c r="I18" s="194">
        <v>1.7930954335343259E-2</v>
      </c>
    </row>
    <row r="19" spans="1:9" x14ac:dyDescent="0.35">
      <c r="A19" s="176" t="s">
        <v>181</v>
      </c>
      <c r="B19" s="185">
        <v>490598</v>
      </c>
      <c r="C19" s="185">
        <v>88405</v>
      </c>
      <c r="D19" s="197">
        <v>0.18019845168549403</v>
      </c>
      <c r="E19" s="198">
        <v>2.4485714285714284</v>
      </c>
      <c r="F19" s="223">
        <v>4.1372787172671233</v>
      </c>
      <c r="G19" s="185">
        <v>2926049</v>
      </c>
      <c r="H19" s="185">
        <v>7164639.9799999995</v>
      </c>
      <c r="I19" s="195">
        <v>1.7930954335343259E-2</v>
      </c>
    </row>
    <row r="20" spans="1:9" x14ac:dyDescent="0.35">
      <c r="A20" s="177" t="s">
        <v>20</v>
      </c>
      <c r="B20" s="184">
        <v>385</v>
      </c>
      <c r="C20" s="184">
        <v>40</v>
      </c>
      <c r="D20" s="225">
        <v>0.1038961038961039</v>
      </c>
      <c r="E20" s="237">
        <v>2.4485714285714284</v>
      </c>
      <c r="F20" s="224">
        <v>4.625</v>
      </c>
      <c r="G20" s="184">
        <v>1480</v>
      </c>
      <c r="H20" s="184">
        <v>3623.8857142857141</v>
      </c>
      <c r="I20" s="194">
        <v>9.0695037630292662E-6</v>
      </c>
    </row>
    <row r="21" spans="1:9" x14ac:dyDescent="0.35">
      <c r="A21" s="176" t="s">
        <v>326</v>
      </c>
      <c r="B21" s="185">
        <v>385</v>
      </c>
      <c r="C21" s="185">
        <v>40</v>
      </c>
      <c r="D21" s="197">
        <v>0.1038961038961039</v>
      </c>
      <c r="E21" s="198">
        <v>2.4485714285714284</v>
      </c>
      <c r="F21" s="223">
        <v>4.625</v>
      </c>
      <c r="G21" s="185">
        <v>1480</v>
      </c>
      <c r="H21" s="185">
        <v>3623.8857142857141</v>
      </c>
      <c r="I21" s="195">
        <v>9.0695037630292662E-6</v>
      </c>
    </row>
    <row r="22" spans="1:9" ht="23" x14ac:dyDescent="0.35">
      <c r="A22" s="177" t="s">
        <v>21</v>
      </c>
      <c r="B22" s="184">
        <v>724168</v>
      </c>
      <c r="C22" s="184">
        <v>128264</v>
      </c>
      <c r="D22" s="225">
        <v>0.17711912152981077</v>
      </c>
      <c r="E22" s="237">
        <v>2.4485714285714284</v>
      </c>
      <c r="F22" s="224">
        <v>3.9150307178943429</v>
      </c>
      <c r="G22" s="184">
        <v>4017260</v>
      </c>
      <c r="H22" s="184">
        <v>9836548.0571428556</v>
      </c>
      <c r="I22" s="194">
        <v>2.4617942356126316E-2</v>
      </c>
    </row>
    <row r="23" spans="1:9" x14ac:dyDescent="0.35">
      <c r="A23" s="176" t="s">
        <v>325</v>
      </c>
      <c r="B23" s="185">
        <v>724168</v>
      </c>
      <c r="C23" s="185">
        <v>128264</v>
      </c>
      <c r="D23" s="197">
        <v>0.17711912152981077</v>
      </c>
      <c r="E23" s="198">
        <v>2.4485714285714284</v>
      </c>
      <c r="F23" s="223">
        <v>3.9150307178943429</v>
      </c>
      <c r="G23" s="185">
        <v>4017260</v>
      </c>
      <c r="H23" s="185">
        <v>9836548.0571428556</v>
      </c>
      <c r="I23" s="195">
        <v>2.4617942356126316E-2</v>
      </c>
    </row>
    <row r="24" spans="1:9" x14ac:dyDescent="0.35">
      <c r="A24" s="177" t="s">
        <v>22</v>
      </c>
      <c r="B24" s="184">
        <v>331472</v>
      </c>
      <c r="C24" s="184">
        <v>62392</v>
      </c>
      <c r="D24" s="225">
        <v>0.18822705990249552</v>
      </c>
      <c r="E24" s="237">
        <v>2.4485714285714284</v>
      </c>
      <c r="F24" s="224">
        <v>3.9777555616104627</v>
      </c>
      <c r="G24" s="184">
        <v>1985441</v>
      </c>
      <c r="H24" s="184">
        <v>4861494.1057142857</v>
      </c>
      <c r="I24" s="194">
        <v>1.2166867987008508E-2</v>
      </c>
    </row>
    <row r="25" spans="1:9" x14ac:dyDescent="0.35">
      <c r="A25" s="176" t="s">
        <v>324</v>
      </c>
      <c r="B25" s="185">
        <v>331472</v>
      </c>
      <c r="C25" s="185">
        <v>62392</v>
      </c>
      <c r="D25" s="197">
        <v>0.18822705990249552</v>
      </c>
      <c r="E25" s="198">
        <v>2.4485714285714284</v>
      </c>
      <c r="F25" s="223">
        <v>3.9777555616104627</v>
      </c>
      <c r="G25" s="185">
        <v>1985441</v>
      </c>
      <c r="H25" s="185">
        <v>4861494.1057142857</v>
      </c>
      <c r="I25" s="195">
        <v>1.2166867987008508E-2</v>
      </c>
    </row>
    <row r="26" spans="1:9" x14ac:dyDescent="0.35">
      <c r="A26" s="177" t="s">
        <v>23</v>
      </c>
      <c r="B26" s="184">
        <v>326086</v>
      </c>
      <c r="C26" s="184">
        <v>99192</v>
      </c>
      <c r="D26" s="225">
        <v>0.30418969228976406</v>
      </c>
      <c r="E26" s="237">
        <v>2.23602445630031</v>
      </c>
      <c r="F26" s="224">
        <v>3.9368346237599807</v>
      </c>
      <c r="G26" s="184">
        <v>3124020</v>
      </c>
      <c r="H26" s="184">
        <v>6985385.1219712943</v>
      </c>
      <c r="I26" s="194">
        <v>1.748233295552884E-2</v>
      </c>
    </row>
    <row r="27" spans="1:9" x14ac:dyDescent="0.35">
      <c r="A27" s="176" t="s">
        <v>322</v>
      </c>
      <c r="B27" s="185">
        <v>326086</v>
      </c>
      <c r="C27" s="185">
        <v>99192</v>
      </c>
      <c r="D27" s="197">
        <v>0.30418969228976406</v>
      </c>
      <c r="E27" s="198">
        <v>2.23602445630031</v>
      </c>
      <c r="F27" s="223">
        <v>3.9368346237599807</v>
      </c>
      <c r="G27" s="185">
        <v>3124020</v>
      </c>
      <c r="H27" s="185">
        <v>6985385.1219712943</v>
      </c>
      <c r="I27" s="195">
        <v>1.748233295552884E-2</v>
      </c>
    </row>
    <row r="28" spans="1:9" ht="23" x14ac:dyDescent="0.35">
      <c r="A28" s="177" t="s">
        <v>24</v>
      </c>
      <c r="B28" s="184">
        <v>958</v>
      </c>
      <c r="C28" s="184">
        <v>439</v>
      </c>
      <c r="D28" s="225">
        <v>0.45824634655532359</v>
      </c>
      <c r="E28" s="237">
        <v>1.9217488815985684</v>
      </c>
      <c r="F28" s="224">
        <v>4.4607061503416858</v>
      </c>
      <c r="G28" s="184">
        <v>15666</v>
      </c>
      <c r="H28" s="184">
        <v>30106.117979123173</v>
      </c>
      <c r="I28" s="194">
        <v>7.5346622887548676E-5</v>
      </c>
    </row>
    <row r="29" spans="1:9" x14ac:dyDescent="0.35">
      <c r="A29" s="176" t="s">
        <v>321</v>
      </c>
      <c r="B29" s="185">
        <v>958</v>
      </c>
      <c r="C29" s="185">
        <v>439</v>
      </c>
      <c r="D29" s="197">
        <v>0.45824634655532359</v>
      </c>
      <c r="E29" s="198">
        <v>1.9217488815985684</v>
      </c>
      <c r="F29" s="223">
        <v>4.4607061503416858</v>
      </c>
      <c r="G29" s="185">
        <v>15666</v>
      </c>
      <c r="H29" s="185">
        <v>30106.117979123173</v>
      </c>
      <c r="I29" s="195">
        <v>7.5346622887548676E-5</v>
      </c>
    </row>
    <row r="30" spans="1:9" x14ac:dyDescent="0.35">
      <c r="A30" s="177" t="s">
        <v>25</v>
      </c>
      <c r="B30" s="184">
        <v>4503</v>
      </c>
      <c r="C30" s="184">
        <v>1986</v>
      </c>
      <c r="D30" s="225">
        <v>0.44103930712858097</v>
      </c>
      <c r="E30" s="237">
        <v>1.9568512420291233</v>
      </c>
      <c r="F30" s="224">
        <v>4.5609894259818731</v>
      </c>
      <c r="G30" s="184">
        <v>72465</v>
      </c>
      <c r="H30" s="184">
        <v>141803.22525364041</v>
      </c>
      <c r="I30" s="194">
        <v>3.5489112694081526E-4</v>
      </c>
    </row>
    <row r="31" spans="1:9" x14ac:dyDescent="0.35">
      <c r="A31" s="176" t="s">
        <v>320</v>
      </c>
      <c r="B31" s="185">
        <v>4503</v>
      </c>
      <c r="C31" s="185">
        <v>1986</v>
      </c>
      <c r="D31" s="197">
        <v>0.44103930712858097</v>
      </c>
      <c r="E31" s="198">
        <v>1.9568512420291233</v>
      </c>
      <c r="F31" s="223">
        <v>4.5609894259818731</v>
      </c>
      <c r="G31" s="185">
        <v>72465</v>
      </c>
      <c r="H31" s="185">
        <v>141803.22525364041</v>
      </c>
      <c r="I31" s="195">
        <v>3.5489112694081526E-4</v>
      </c>
    </row>
    <row r="32" spans="1:9" ht="23" x14ac:dyDescent="0.35">
      <c r="A32" s="177" t="s">
        <v>518</v>
      </c>
      <c r="B32" s="184">
        <v>35661</v>
      </c>
      <c r="C32" s="184">
        <v>7033</v>
      </c>
      <c r="D32" s="225">
        <v>0.19721824962844564</v>
      </c>
      <c r="E32" s="237">
        <v>2.4485714285714284</v>
      </c>
      <c r="F32" s="224">
        <v>3.8689215128679084</v>
      </c>
      <c r="G32" s="184">
        <v>217681</v>
      </c>
      <c r="H32" s="184">
        <v>533007.47714285715</v>
      </c>
      <c r="I32" s="194">
        <v>1.3339585463783606E-3</v>
      </c>
    </row>
    <row r="33" spans="1:9" x14ac:dyDescent="0.35">
      <c r="A33" s="176" t="s">
        <v>317</v>
      </c>
      <c r="B33" s="185">
        <v>35661</v>
      </c>
      <c r="C33" s="185">
        <v>7033</v>
      </c>
      <c r="D33" s="197">
        <v>0.19721824962844564</v>
      </c>
      <c r="E33" s="198">
        <v>2.4485714285714284</v>
      </c>
      <c r="F33" s="223">
        <v>3.8689215128679084</v>
      </c>
      <c r="G33" s="185">
        <v>217681</v>
      </c>
      <c r="H33" s="185">
        <v>533007.47714285715</v>
      </c>
      <c r="I33" s="195">
        <v>1.3339585463783606E-3</v>
      </c>
    </row>
    <row r="34" spans="1:9" x14ac:dyDescent="0.35">
      <c r="A34" s="177" t="s">
        <v>27</v>
      </c>
      <c r="B34" s="184">
        <v>39085</v>
      </c>
      <c r="C34" s="184">
        <v>12936</v>
      </c>
      <c r="D34" s="225">
        <v>0.33097096072662147</v>
      </c>
      <c r="E34" s="237">
        <v>2.1813906686891205</v>
      </c>
      <c r="F34" s="224">
        <v>4.1561147186147185</v>
      </c>
      <c r="G34" s="184">
        <v>430108</v>
      </c>
      <c r="H34" s="184">
        <v>938233.57772854017</v>
      </c>
      <c r="I34" s="194">
        <v>2.3481184658403708E-3</v>
      </c>
    </row>
    <row r="35" spans="1:9" x14ac:dyDescent="0.35">
      <c r="A35" s="176" t="s">
        <v>316</v>
      </c>
      <c r="B35" s="185">
        <v>39085</v>
      </c>
      <c r="C35" s="185">
        <v>12936</v>
      </c>
      <c r="D35" s="197">
        <v>0.33097096072662147</v>
      </c>
      <c r="E35" s="198">
        <v>2.1813906686891205</v>
      </c>
      <c r="F35" s="223">
        <v>4.1561147186147185</v>
      </c>
      <c r="G35" s="185">
        <v>430108</v>
      </c>
      <c r="H35" s="185">
        <v>938233.57772854017</v>
      </c>
      <c r="I35" s="195">
        <v>2.3481184658403708E-3</v>
      </c>
    </row>
    <row r="36" spans="1:9" x14ac:dyDescent="0.35">
      <c r="A36" s="177" t="s">
        <v>147</v>
      </c>
      <c r="B36" s="184">
        <v>1603</v>
      </c>
      <c r="C36" s="184"/>
      <c r="D36" s="225"/>
      <c r="E36" s="237"/>
      <c r="F36" s="224"/>
      <c r="G36" s="184"/>
      <c r="H36" s="184"/>
      <c r="I36" s="194"/>
    </row>
    <row r="37" spans="1:9" x14ac:dyDescent="0.35">
      <c r="A37" s="176" t="s">
        <v>315</v>
      </c>
      <c r="B37" s="185">
        <v>1603</v>
      </c>
      <c r="C37" s="185"/>
      <c r="D37" s="197"/>
      <c r="E37" s="198"/>
      <c r="F37" s="223"/>
      <c r="G37" s="185"/>
      <c r="H37" s="185"/>
      <c r="I37" s="195"/>
    </row>
    <row r="38" spans="1:9" x14ac:dyDescent="0.35">
      <c r="A38" s="177" t="s">
        <v>28</v>
      </c>
      <c r="B38" s="184">
        <v>972448</v>
      </c>
      <c r="C38" s="184">
        <v>235551</v>
      </c>
      <c r="D38" s="225">
        <v>0.24222477705748791</v>
      </c>
      <c r="E38" s="237">
        <v>2.3624328833741535</v>
      </c>
      <c r="F38" s="224">
        <v>4.0240154998280628</v>
      </c>
      <c r="G38" s="184">
        <v>7582887</v>
      </c>
      <c r="H38" s="184">
        <v>17914061.599710386</v>
      </c>
      <c r="I38" s="194">
        <v>4.483354661247517E-2</v>
      </c>
    </row>
    <row r="39" spans="1:9" x14ac:dyDescent="0.35">
      <c r="A39" s="176" t="s">
        <v>314</v>
      </c>
      <c r="B39" s="185">
        <v>972448</v>
      </c>
      <c r="C39" s="185">
        <v>235551</v>
      </c>
      <c r="D39" s="197">
        <v>0.24222477705748791</v>
      </c>
      <c r="E39" s="198">
        <v>2.3624328833741535</v>
      </c>
      <c r="F39" s="223">
        <v>4.0240154998280628</v>
      </c>
      <c r="G39" s="185">
        <v>7582887</v>
      </c>
      <c r="H39" s="185">
        <v>17914061.599710386</v>
      </c>
      <c r="I39" s="195">
        <v>4.483354661247517E-2</v>
      </c>
    </row>
    <row r="40" spans="1:9" x14ac:dyDescent="0.35">
      <c r="A40" s="177" t="s">
        <v>29</v>
      </c>
      <c r="B40" s="184">
        <v>689</v>
      </c>
      <c r="C40" s="184">
        <v>377</v>
      </c>
      <c r="D40" s="225">
        <v>0.54716981132075471</v>
      </c>
      <c r="E40" s="237">
        <v>1.7403450134770888</v>
      </c>
      <c r="F40" s="224">
        <v>4.1710875331564985</v>
      </c>
      <c r="G40" s="184">
        <v>12580</v>
      </c>
      <c r="H40" s="184">
        <v>21893.540269541776</v>
      </c>
      <c r="I40" s="194">
        <v>5.4792993354587558E-5</v>
      </c>
    </row>
    <row r="41" spans="1:9" x14ac:dyDescent="0.35">
      <c r="A41" s="176" t="s">
        <v>310</v>
      </c>
      <c r="B41" s="185">
        <v>689</v>
      </c>
      <c r="C41" s="185">
        <v>377</v>
      </c>
      <c r="D41" s="197">
        <v>0.54716981132075471</v>
      </c>
      <c r="E41" s="198">
        <v>1.7403450134770888</v>
      </c>
      <c r="F41" s="223">
        <v>4.1710875331564985</v>
      </c>
      <c r="G41" s="185">
        <v>12580</v>
      </c>
      <c r="H41" s="185">
        <v>21893.540269541776</v>
      </c>
      <c r="I41" s="195">
        <v>5.4792993354587558E-5</v>
      </c>
    </row>
    <row r="42" spans="1:9" x14ac:dyDescent="0.35">
      <c r="A42" s="177" t="s">
        <v>30</v>
      </c>
      <c r="B42" s="184">
        <v>176041</v>
      </c>
      <c r="C42" s="184">
        <v>41107</v>
      </c>
      <c r="D42" s="225">
        <v>0.23350810322595306</v>
      </c>
      <c r="E42" s="237">
        <v>2.3802148979904842</v>
      </c>
      <c r="F42" s="224">
        <v>4.150676892013526</v>
      </c>
      <c r="G42" s="184">
        <v>1364975</v>
      </c>
      <c r="H42" s="184">
        <v>3248933.8303845613</v>
      </c>
      <c r="I42" s="194">
        <v>8.1311111673161036E-3</v>
      </c>
    </row>
    <row r="43" spans="1:9" x14ac:dyDescent="0.35">
      <c r="A43" s="176" t="s">
        <v>313</v>
      </c>
      <c r="B43" s="185">
        <v>176041</v>
      </c>
      <c r="C43" s="185">
        <v>41107</v>
      </c>
      <c r="D43" s="197">
        <v>0.23350810322595306</v>
      </c>
      <c r="E43" s="198">
        <v>2.3802148979904842</v>
      </c>
      <c r="F43" s="223">
        <v>4.150676892013526</v>
      </c>
      <c r="G43" s="185">
        <v>1364975</v>
      </c>
      <c r="H43" s="185">
        <v>3248933.8303845613</v>
      </c>
      <c r="I43" s="195">
        <v>8.1311111673161036E-3</v>
      </c>
    </row>
    <row r="44" spans="1:9" x14ac:dyDescent="0.35">
      <c r="A44" s="177" t="s">
        <v>32</v>
      </c>
      <c r="B44" s="184">
        <v>84668</v>
      </c>
      <c r="C44" s="184">
        <v>23424</v>
      </c>
      <c r="D44" s="225">
        <v>0.27665706051873201</v>
      </c>
      <c r="E44" s="237">
        <v>2.2921910251132154</v>
      </c>
      <c r="F44" s="224">
        <v>3.6729369450136611</v>
      </c>
      <c r="G44" s="184">
        <v>688279</v>
      </c>
      <c r="H44" s="184">
        <v>1577666.9465738987</v>
      </c>
      <c r="I44" s="194">
        <v>3.9484292378075651E-3</v>
      </c>
    </row>
    <row r="45" spans="1:9" x14ac:dyDescent="0.35">
      <c r="A45" s="176" t="s">
        <v>311</v>
      </c>
      <c r="B45" s="185">
        <v>84668</v>
      </c>
      <c r="C45" s="185">
        <v>23424</v>
      </c>
      <c r="D45" s="197">
        <v>0.27665706051873201</v>
      </c>
      <c r="E45" s="198">
        <v>2.2921910251132154</v>
      </c>
      <c r="F45" s="223">
        <v>3.6729369450136611</v>
      </c>
      <c r="G45" s="185">
        <v>688279</v>
      </c>
      <c r="H45" s="185">
        <v>1577666.9465738987</v>
      </c>
      <c r="I45" s="195">
        <v>3.9484292378075651E-3</v>
      </c>
    </row>
    <row r="46" spans="1:9" x14ac:dyDescent="0.35">
      <c r="A46" s="177" t="s">
        <v>33</v>
      </c>
      <c r="B46" s="184">
        <v>461414</v>
      </c>
      <c r="C46" s="184">
        <v>70455</v>
      </c>
      <c r="D46" s="225">
        <v>0.15269367639473444</v>
      </c>
      <c r="E46" s="237">
        <v>2.4485714285714284</v>
      </c>
      <c r="F46" s="224">
        <v>4.0129834646228089</v>
      </c>
      <c r="G46" s="184">
        <v>2261878</v>
      </c>
      <c r="H46" s="184">
        <v>5538369.845714285</v>
      </c>
      <c r="I46" s="194">
        <v>1.3860885832779129E-2</v>
      </c>
    </row>
    <row r="47" spans="1:9" x14ac:dyDescent="0.35">
      <c r="A47" s="176" t="s">
        <v>308</v>
      </c>
      <c r="B47" s="185">
        <v>461414</v>
      </c>
      <c r="C47" s="185">
        <v>70455</v>
      </c>
      <c r="D47" s="197">
        <v>0.15269367639473444</v>
      </c>
      <c r="E47" s="198">
        <v>2.4485714285714284</v>
      </c>
      <c r="F47" s="223">
        <v>4.0129834646228089</v>
      </c>
      <c r="G47" s="185">
        <v>2261878</v>
      </c>
      <c r="H47" s="185">
        <v>5538369.845714285</v>
      </c>
      <c r="I47" s="195">
        <v>1.3860885832779129E-2</v>
      </c>
    </row>
    <row r="48" spans="1:9" x14ac:dyDescent="0.35">
      <c r="A48" s="177" t="s">
        <v>34</v>
      </c>
      <c r="B48" s="184">
        <v>65442</v>
      </c>
      <c r="C48" s="184">
        <v>18223</v>
      </c>
      <c r="D48" s="225">
        <v>0.27846031600501209</v>
      </c>
      <c r="E48" s="237">
        <v>2.288512383921204</v>
      </c>
      <c r="F48" s="224">
        <v>3.889692970421994</v>
      </c>
      <c r="G48" s="184">
        <v>567055</v>
      </c>
      <c r="H48" s="184">
        <v>1297712.3898644384</v>
      </c>
      <c r="I48" s="194">
        <v>3.2477865835581613E-3</v>
      </c>
    </row>
    <row r="49" spans="1:9" x14ac:dyDescent="0.35">
      <c r="A49" s="176" t="s">
        <v>307</v>
      </c>
      <c r="B49" s="185">
        <v>65442</v>
      </c>
      <c r="C49" s="185">
        <v>18223</v>
      </c>
      <c r="D49" s="197">
        <v>0.27846031600501209</v>
      </c>
      <c r="E49" s="198">
        <v>2.288512383921204</v>
      </c>
      <c r="F49" s="223">
        <v>3.889692970421994</v>
      </c>
      <c r="G49" s="185">
        <v>567055</v>
      </c>
      <c r="H49" s="185">
        <v>1297712.3898644384</v>
      </c>
      <c r="I49" s="195">
        <v>3.2477865835581613E-3</v>
      </c>
    </row>
    <row r="50" spans="1:9" x14ac:dyDescent="0.35">
      <c r="A50" s="177" t="s">
        <v>35</v>
      </c>
      <c r="B50" s="184">
        <v>2003</v>
      </c>
      <c r="C50" s="184">
        <v>454</v>
      </c>
      <c r="D50" s="225">
        <v>0.22666000998502248</v>
      </c>
      <c r="E50" s="237">
        <v>2.3941850082019829</v>
      </c>
      <c r="F50" s="224">
        <v>4.3160792951541849</v>
      </c>
      <c r="G50" s="184">
        <v>15676</v>
      </c>
      <c r="H50" s="184">
        <v>37531.244188574281</v>
      </c>
      <c r="I50" s="194">
        <v>9.3929496467726564E-5</v>
      </c>
    </row>
    <row r="51" spans="1:9" x14ac:dyDescent="0.35">
      <c r="A51" s="176" t="s">
        <v>305</v>
      </c>
      <c r="B51" s="185">
        <v>2003</v>
      </c>
      <c r="C51" s="185">
        <v>454</v>
      </c>
      <c r="D51" s="197">
        <v>0.22666000998502248</v>
      </c>
      <c r="E51" s="198">
        <v>2.3941850082019829</v>
      </c>
      <c r="F51" s="223">
        <v>4.3160792951541849</v>
      </c>
      <c r="G51" s="185">
        <v>15676</v>
      </c>
      <c r="H51" s="185">
        <v>37531.244188574281</v>
      </c>
      <c r="I51" s="195">
        <v>9.3929496467726564E-5</v>
      </c>
    </row>
    <row r="52" spans="1:9" x14ac:dyDescent="0.35">
      <c r="A52" s="177" t="s">
        <v>36</v>
      </c>
      <c r="B52" s="184">
        <v>227363</v>
      </c>
      <c r="C52" s="184">
        <v>35938</v>
      </c>
      <c r="D52" s="225">
        <v>0.15806441681364161</v>
      </c>
      <c r="E52" s="237">
        <v>2.4485714285714284</v>
      </c>
      <c r="F52" s="224">
        <v>3.8891911069063387</v>
      </c>
      <c r="G52" s="184">
        <v>1118158</v>
      </c>
      <c r="H52" s="184">
        <v>2737889.731428571</v>
      </c>
      <c r="I52" s="194">
        <v>6.8521203977441065E-3</v>
      </c>
    </row>
    <row r="53" spans="1:9" x14ac:dyDescent="0.35">
      <c r="A53" s="176" t="s">
        <v>304</v>
      </c>
      <c r="B53" s="185">
        <v>227363</v>
      </c>
      <c r="C53" s="185">
        <v>35938</v>
      </c>
      <c r="D53" s="197">
        <v>0.15806441681364161</v>
      </c>
      <c r="E53" s="198">
        <v>2.4485714285714284</v>
      </c>
      <c r="F53" s="223">
        <v>3.8891911069063387</v>
      </c>
      <c r="G53" s="185">
        <v>1118158</v>
      </c>
      <c r="H53" s="185">
        <v>2737889.731428571</v>
      </c>
      <c r="I53" s="195">
        <v>6.8521203977441065E-3</v>
      </c>
    </row>
    <row r="54" spans="1:9" x14ac:dyDescent="0.35">
      <c r="A54" s="177" t="s">
        <v>37</v>
      </c>
      <c r="B54" s="184">
        <v>6663</v>
      </c>
      <c r="C54" s="184">
        <v>1593</v>
      </c>
      <c r="D54" s="225">
        <v>0.23908149482215219</v>
      </c>
      <c r="E54" s="237">
        <v>2.368845179134238</v>
      </c>
      <c r="F54" s="224">
        <v>4.1523069679849343</v>
      </c>
      <c r="G54" s="184">
        <v>52917</v>
      </c>
      <c r="H54" s="184">
        <v>125352.18034424647</v>
      </c>
      <c r="I54" s="194">
        <v>3.1371907421207177E-4</v>
      </c>
    </row>
    <row r="55" spans="1:9" x14ac:dyDescent="0.35">
      <c r="A55" s="176" t="s">
        <v>303</v>
      </c>
      <c r="B55" s="185">
        <v>6663</v>
      </c>
      <c r="C55" s="185">
        <v>1593</v>
      </c>
      <c r="D55" s="197">
        <v>0.23908149482215219</v>
      </c>
      <c r="E55" s="198">
        <v>2.368845179134238</v>
      </c>
      <c r="F55" s="223">
        <v>4.1523069679849343</v>
      </c>
      <c r="G55" s="185">
        <v>52917</v>
      </c>
      <c r="H55" s="185">
        <v>125352.18034424647</v>
      </c>
      <c r="I55" s="195">
        <v>3.1371907421207177E-4</v>
      </c>
    </row>
    <row r="56" spans="1:9" x14ac:dyDescent="0.35">
      <c r="A56" s="177" t="s">
        <v>38</v>
      </c>
      <c r="B56" s="184">
        <v>2184</v>
      </c>
      <c r="C56" s="184">
        <v>486</v>
      </c>
      <c r="D56" s="225">
        <v>0.22252747252747251</v>
      </c>
      <c r="E56" s="237">
        <v>2.4026153846153848</v>
      </c>
      <c r="F56" s="224">
        <v>3.2752057613168724</v>
      </c>
      <c r="G56" s="184">
        <v>12734</v>
      </c>
      <c r="H56" s="184">
        <v>30594.904307692312</v>
      </c>
      <c r="I56" s="194">
        <v>7.6569909104550379E-5</v>
      </c>
    </row>
    <row r="57" spans="1:9" x14ac:dyDescent="0.35">
      <c r="A57" s="176" t="s">
        <v>300</v>
      </c>
      <c r="B57" s="185">
        <v>2184</v>
      </c>
      <c r="C57" s="185">
        <v>486</v>
      </c>
      <c r="D57" s="197">
        <v>0.22252747252747251</v>
      </c>
      <c r="E57" s="198">
        <v>2.4026153846153848</v>
      </c>
      <c r="F57" s="223">
        <v>3.2752057613168724</v>
      </c>
      <c r="G57" s="185">
        <v>12734</v>
      </c>
      <c r="H57" s="185">
        <v>30594.904307692312</v>
      </c>
      <c r="I57" s="195">
        <v>7.6569909104550379E-5</v>
      </c>
    </row>
    <row r="58" spans="1:9" x14ac:dyDescent="0.35">
      <c r="A58" s="177" t="s">
        <v>39</v>
      </c>
      <c r="B58" s="184">
        <v>342104</v>
      </c>
      <c r="C58" s="184">
        <v>95807</v>
      </c>
      <c r="D58" s="225">
        <v>0.28005226480836237</v>
      </c>
      <c r="E58" s="237">
        <v>2.2852648083623692</v>
      </c>
      <c r="F58" s="224">
        <v>4.1386941977099792</v>
      </c>
      <c r="G58" s="184">
        <v>3172127</v>
      </c>
      <c r="H58" s="184">
        <v>7249150.2007560972</v>
      </c>
      <c r="I58" s="194">
        <v>1.8142458181102075E-2</v>
      </c>
    </row>
    <row r="59" spans="1:9" x14ac:dyDescent="0.35">
      <c r="A59" s="176" t="s">
        <v>299</v>
      </c>
      <c r="B59" s="185">
        <v>342104</v>
      </c>
      <c r="C59" s="185">
        <v>95807</v>
      </c>
      <c r="D59" s="197">
        <v>0.28005226480836237</v>
      </c>
      <c r="E59" s="198">
        <v>2.2852648083623692</v>
      </c>
      <c r="F59" s="223">
        <v>4.1386941977099792</v>
      </c>
      <c r="G59" s="185">
        <v>3172127</v>
      </c>
      <c r="H59" s="185">
        <v>7249150.2007560972</v>
      </c>
      <c r="I59" s="195">
        <v>1.8142458181102075E-2</v>
      </c>
    </row>
    <row r="60" spans="1:9" x14ac:dyDescent="0.35">
      <c r="A60" s="177" t="s">
        <v>40</v>
      </c>
      <c r="B60" s="184">
        <v>88331</v>
      </c>
      <c r="C60" s="184">
        <v>25307</v>
      </c>
      <c r="D60" s="225">
        <v>0.28650190759755917</v>
      </c>
      <c r="E60" s="237">
        <v>2.272107537072408</v>
      </c>
      <c r="F60" s="224">
        <v>4.4525131386572889</v>
      </c>
      <c r="G60" s="184">
        <v>901438</v>
      </c>
      <c r="H60" s="184">
        <v>2048164.0740034773</v>
      </c>
      <c r="I60" s="194">
        <v>5.1259430459542734E-3</v>
      </c>
    </row>
    <row r="61" spans="1:9" x14ac:dyDescent="0.35">
      <c r="A61" s="176" t="s">
        <v>298</v>
      </c>
      <c r="B61" s="185">
        <v>88331</v>
      </c>
      <c r="C61" s="185">
        <v>25307</v>
      </c>
      <c r="D61" s="197">
        <v>0.28650190759755917</v>
      </c>
      <c r="E61" s="198">
        <v>2.272107537072408</v>
      </c>
      <c r="F61" s="223">
        <v>4.4525131386572889</v>
      </c>
      <c r="G61" s="185">
        <v>901438</v>
      </c>
      <c r="H61" s="185">
        <v>2048164.0740034773</v>
      </c>
      <c r="I61" s="195">
        <v>5.1259430459542734E-3</v>
      </c>
    </row>
    <row r="62" spans="1:9" x14ac:dyDescent="0.35">
      <c r="A62" s="177" t="s">
        <v>460</v>
      </c>
      <c r="B62" s="184">
        <v>725052</v>
      </c>
      <c r="C62" s="184">
        <v>169386</v>
      </c>
      <c r="D62" s="225">
        <v>0.23361910593998775</v>
      </c>
      <c r="E62" s="237">
        <v>2.3799884524538535</v>
      </c>
      <c r="F62" s="224">
        <v>4.0844085402571642</v>
      </c>
      <c r="G62" s="184">
        <v>5534733</v>
      </c>
      <c r="H62" s="184">
        <v>13172600.627415273</v>
      </c>
      <c r="I62" s="194">
        <v>3.296708571362119E-2</v>
      </c>
    </row>
    <row r="63" spans="1:9" x14ac:dyDescent="0.35">
      <c r="A63" s="176" t="s">
        <v>297</v>
      </c>
      <c r="B63" s="185">
        <v>725052</v>
      </c>
      <c r="C63" s="185">
        <v>169386</v>
      </c>
      <c r="D63" s="197">
        <v>0.23361910593998775</v>
      </c>
      <c r="E63" s="198">
        <v>2.3799884524538535</v>
      </c>
      <c r="F63" s="223">
        <v>4.0844085402571642</v>
      </c>
      <c r="G63" s="185">
        <v>5534733</v>
      </c>
      <c r="H63" s="185">
        <v>13172600.627415273</v>
      </c>
      <c r="I63" s="195">
        <v>3.296708571362119E-2</v>
      </c>
    </row>
    <row r="64" spans="1:9" x14ac:dyDescent="0.35">
      <c r="A64" s="177" t="s">
        <v>41</v>
      </c>
      <c r="B64" s="184">
        <v>48676</v>
      </c>
      <c r="C64" s="184">
        <v>15952</v>
      </c>
      <c r="D64" s="225">
        <v>0.32771797189580082</v>
      </c>
      <c r="E64" s="237">
        <v>2.1880267659039947</v>
      </c>
      <c r="F64" s="224">
        <v>4.3919571213640927</v>
      </c>
      <c r="G64" s="184">
        <v>560484</v>
      </c>
      <c r="H64" s="184">
        <v>1226353.9938609346</v>
      </c>
      <c r="I64" s="194">
        <v>3.069197827702467E-3</v>
      </c>
    </row>
    <row r="65" spans="1:9" x14ac:dyDescent="0.35">
      <c r="A65" s="176" t="s">
        <v>302</v>
      </c>
      <c r="B65" s="185">
        <v>48676</v>
      </c>
      <c r="C65" s="185">
        <v>15952</v>
      </c>
      <c r="D65" s="197">
        <v>0.32771797189580082</v>
      </c>
      <c r="E65" s="198">
        <v>2.1880267659039947</v>
      </c>
      <c r="F65" s="223">
        <v>4.3919571213640927</v>
      </c>
      <c r="G65" s="185">
        <v>560484</v>
      </c>
      <c r="H65" s="185">
        <v>1226353.9938609346</v>
      </c>
      <c r="I65" s="195">
        <v>3.069197827702467E-3</v>
      </c>
    </row>
    <row r="66" spans="1:9" x14ac:dyDescent="0.35">
      <c r="A66" s="177" t="s">
        <v>42</v>
      </c>
      <c r="B66" s="184">
        <v>11553</v>
      </c>
      <c r="C66" s="184">
        <v>5946</v>
      </c>
      <c r="D66" s="225">
        <v>0.51467151389249544</v>
      </c>
      <c r="E66" s="237">
        <v>1.8066415402307379</v>
      </c>
      <c r="F66" s="224">
        <v>4.5423814328960646</v>
      </c>
      <c r="G66" s="184">
        <v>216072</v>
      </c>
      <c r="H66" s="184">
        <v>390364.65088073601</v>
      </c>
      <c r="I66" s="194">
        <v>9.7696614883846424E-4</v>
      </c>
    </row>
    <row r="67" spans="1:9" x14ac:dyDescent="0.35">
      <c r="A67" s="176" t="s">
        <v>301</v>
      </c>
      <c r="B67" s="185">
        <v>11553</v>
      </c>
      <c r="C67" s="185">
        <v>5946</v>
      </c>
      <c r="D67" s="197">
        <v>0.51467151389249544</v>
      </c>
      <c r="E67" s="198">
        <v>1.8066415402307379</v>
      </c>
      <c r="F67" s="223">
        <v>4.5423814328960646</v>
      </c>
      <c r="G67" s="185">
        <v>216072</v>
      </c>
      <c r="H67" s="185">
        <v>390364.65088073601</v>
      </c>
      <c r="I67" s="195">
        <v>9.7696614883846424E-4</v>
      </c>
    </row>
    <row r="68" spans="1:9" x14ac:dyDescent="0.35">
      <c r="A68" s="177" t="s">
        <v>43</v>
      </c>
      <c r="B68" s="184">
        <v>54943</v>
      </c>
      <c r="C68" s="184">
        <v>16686</v>
      </c>
      <c r="D68" s="225">
        <v>0.30369655825127861</v>
      </c>
      <c r="E68" s="237">
        <v>2.2370304497388203</v>
      </c>
      <c r="F68" s="224">
        <v>3.7891570777897639</v>
      </c>
      <c r="G68" s="184">
        <v>505807</v>
      </c>
      <c r="H68" s="184">
        <v>1131505.6606910434</v>
      </c>
      <c r="I68" s="194">
        <v>2.8318207737820628E-3</v>
      </c>
    </row>
    <row r="69" spans="1:9" x14ac:dyDescent="0.35">
      <c r="A69" s="176" t="s">
        <v>296</v>
      </c>
      <c r="B69" s="185">
        <v>54943</v>
      </c>
      <c r="C69" s="185">
        <v>16686</v>
      </c>
      <c r="D69" s="197">
        <v>0.30369655825127861</v>
      </c>
      <c r="E69" s="198">
        <v>2.2370304497388203</v>
      </c>
      <c r="F69" s="223">
        <v>3.7891570777897639</v>
      </c>
      <c r="G69" s="185">
        <v>505807</v>
      </c>
      <c r="H69" s="185">
        <v>1131505.6606910434</v>
      </c>
      <c r="I69" s="195">
        <v>2.8318207737820628E-3</v>
      </c>
    </row>
    <row r="70" spans="1:9" x14ac:dyDescent="0.35">
      <c r="A70" s="177" t="s">
        <v>44</v>
      </c>
      <c r="B70" s="184">
        <v>619734</v>
      </c>
      <c r="C70" s="184">
        <v>146064</v>
      </c>
      <c r="D70" s="225">
        <v>0.23568821462111164</v>
      </c>
      <c r="E70" s="237">
        <v>2.3757674707443606</v>
      </c>
      <c r="F70" s="224">
        <v>4.0143943750684628</v>
      </c>
      <c r="G70" s="184">
        <v>4690868</v>
      </c>
      <c r="H70" s="184">
        <v>11144411.603955656</v>
      </c>
      <c r="I70" s="194">
        <v>2.7891134254145508E-2</v>
      </c>
    </row>
    <row r="71" spans="1:9" x14ac:dyDescent="0.35">
      <c r="A71" s="176" t="s">
        <v>295</v>
      </c>
      <c r="B71" s="185">
        <v>619734</v>
      </c>
      <c r="C71" s="185">
        <v>146064</v>
      </c>
      <c r="D71" s="197">
        <v>0.23568821462111164</v>
      </c>
      <c r="E71" s="198">
        <v>2.3757674707443606</v>
      </c>
      <c r="F71" s="223">
        <v>4.0143943750684628</v>
      </c>
      <c r="G71" s="185">
        <v>4690868</v>
      </c>
      <c r="H71" s="185">
        <v>11144411.603955656</v>
      </c>
      <c r="I71" s="195">
        <v>2.7891134254145508E-2</v>
      </c>
    </row>
    <row r="72" spans="1:9" ht="23" x14ac:dyDescent="0.35">
      <c r="A72" s="177" t="s">
        <v>155</v>
      </c>
      <c r="B72" s="184">
        <v>14018</v>
      </c>
      <c r="C72" s="184">
        <v>6607</v>
      </c>
      <c r="D72" s="225">
        <v>0.47132258524753889</v>
      </c>
      <c r="E72" s="237">
        <v>1.8950733546664491</v>
      </c>
      <c r="F72" s="224">
        <v>4.3520319358256394</v>
      </c>
      <c r="G72" s="184">
        <v>230031</v>
      </c>
      <c r="H72" s="184">
        <v>435925.61884727795</v>
      </c>
      <c r="I72" s="194">
        <v>1.0909916460529244E-3</v>
      </c>
    </row>
    <row r="73" spans="1:9" x14ac:dyDescent="0.35">
      <c r="A73" s="176" t="s">
        <v>294</v>
      </c>
      <c r="B73" s="185">
        <v>14018</v>
      </c>
      <c r="C73" s="185">
        <v>6607</v>
      </c>
      <c r="D73" s="197">
        <v>0.47132258524753889</v>
      </c>
      <c r="E73" s="198">
        <v>1.8950733546664491</v>
      </c>
      <c r="F73" s="223">
        <v>4.3520319358256394</v>
      </c>
      <c r="G73" s="185">
        <v>230031</v>
      </c>
      <c r="H73" s="185">
        <v>435925.61884727795</v>
      </c>
      <c r="I73" s="195">
        <v>1.0909916460529244E-3</v>
      </c>
    </row>
    <row r="74" spans="1:9" ht="23" x14ac:dyDescent="0.35">
      <c r="A74" s="177" t="s">
        <v>519</v>
      </c>
      <c r="B74" s="184">
        <v>15109</v>
      </c>
      <c r="C74" s="184">
        <v>6245</v>
      </c>
      <c r="D74" s="225">
        <v>0.41332980342842013</v>
      </c>
      <c r="E74" s="237">
        <v>2.0133786295774514</v>
      </c>
      <c r="F74" s="224">
        <v>3.7669935948759008</v>
      </c>
      <c r="G74" s="184">
        <v>188199</v>
      </c>
      <c r="H74" s="184">
        <v>378915.84470784676</v>
      </c>
      <c r="I74" s="194">
        <v>9.4831320587785036E-4</v>
      </c>
    </row>
    <row r="75" spans="1:9" x14ac:dyDescent="0.35">
      <c r="A75" s="176" t="s">
        <v>293</v>
      </c>
      <c r="B75" s="185">
        <v>15109</v>
      </c>
      <c r="C75" s="185">
        <v>6245</v>
      </c>
      <c r="D75" s="197">
        <v>0.41332980342842013</v>
      </c>
      <c r="E75" s="198">
        <v>2.0133786295774514</v>
      </c>
      <c r="F75" s="223">
        <v>3.7669935948759008</v>
      </c>
      <c r="G75" s="185">
        <v>188199</v>
      </c>
      <c r="H75" s="185">
        <v>378915.84470784676</v>
      </c>
      <c r="I75" s="195">
        <v>9.4831320587785036E-4</v>
      </c>
    </row>
    <row r="76" spans="1:9" x14ac:dyDescent="0.35">
      <c r="A76" s="177" t="s">
        <v>47</v>
      </c>
      <c r="B76" s="184">
        <v>1857</v>
      </c>
      <c r="C76" s="184">
        <v>473</v>
      </c>
      <c r="D76" s="225">
        <v>0.25471190091545504</v>
      </c>
      <c r="E76" s="237">
        <v>2.3369591507039003</v>
      </c>
      <c r="F76" s="224">
        <v>3.9915433403805496</v>
      </c>
      <c r="G76" s="184">
        <v>15104</v>
      </c>
      <c r="H76" s="184">
        <v>35297.431012231711</v>
      </c>
      <c r="I76" s="194">
        <v>8.8338929157924802E-5</v>
      </c>
    </row>
    <row r="77" spans="1:9" x14ac:dyDescent="0.35">
      <c r="A77" s="176" t="s">
        <v>292</v>
      </c>
      <c r="B77" s="185">
        <v>1857</v>
      </c>
      <c r="C77" s="185">
        <v>473</v>
      </c>
      <c r="D77" s="197">
        <v>0.25471190091545504</v>
      </c>
      <c r="E77" s="198">
        <v>2.3369591507039003</v>
      </c>
      <c r="F77" s="223">
        <v>3.9915433403805496</v>
      </c>
      <c r="G77" s="185">
        <v>15104</v>
      </c>
      <c r="H77" s="185">
        <v>35297.431012231711</v>
      </c>
      <c r="I77" s="195">
        <v>8.8338929157924802E-5</v>
      </c>
    </row>
    <row r="78" spans="1:9" ht="23" x14ac:dyDescent="0.35">
      <c r="A78" s="177" t="s">
        <v>520</v>
      </c>
      <c r="B78" s="184">
        <v>1911</v>
      </c>
      <c r="C78" s="184">
        <v>804</v>
      </c>
      <c r="D78" s="225">
        <v>0.42072213500784927</v>
      </c>
      <c r="E78" s="237">
        <v>1.998298273155416</v>
      </c>
      <c r="F78" s="224">
        <v>4.6511194029850742</v>
      </c>
      <c r="G78" s="184">
        <v>29916</v>
      </c>
      <c r="H78" s="184">
        <v>59781.091139717428</v>
      </c>
      <c r="I78" s="194">
        <v>1.4961421904457879E-4</v>
      </c>
    </row>
    <row r="79" spans="1:9" x14ac:dyDescent="0.35">
      <c r="A79" s="176" t="s">
        <v>291</v>
      </c>
      <c r="B79" s="185">
        <v>1911</v>
      </c>
      <c r="C79" s="185">
        <v>804</v>
      </c>
      <c r="D79" s="197">
        <v>0.42072213500784927</v>
      </c>
      <c r="E79" s="198">
        <v>1.998298273155416</v>
      </c>
      <c r="F79" s="223">
        <v>4.6511194029850742</v>
      </c>
      <c r="G79" s="185">
        <v>29916</v>
      </c>
      <c r="H79" s="185">
        <v>59781.091139717428</v>
      </c>
      <c r="I79" s="195">
        <v>1.4961421904457879E-4</v>
      </c>
    </row>
    <row r="80" spans="1:9" x14ac:dyDescent="0.35">
      <c r="A80" s="177" t="s">
        <v>49</v>
      </c>
      <c r="B80" s="184">
        <v>1857</v>
      </c>
      <c r="C80" s="184">
        <v>1221</v>
      </c>
      <c r="D80" s="225">
        <v>0.65751211631663975</v>
      </c>
      <c r="E80" s="237">
        <v>1.5152467112854835</v>
      </c>
      <c r="F80" s="224">
        <v>4.6558149058149061</v>
      </c>
      <c r="G80" s="184">
        <v>45478</v>
      </c>
      <c r="H80" s="184">
        <v>68910.389935841216</v>
      </c>
      <c r="I80" s="194">
        <v>1.7246212770209097E-4</v>
      </c>
    </row>
    <row r="81" spans="1:9" x14ac:dyDescent="0.35">
      <c r="A81" s="176" t="s">
        <v>289</v>
      </c>
      <c r="B81" s="185">
        <v>1857</v>
      </c>
      <c r="C81" s="185">
        <v>1221</v>
      </c>
      <c r="D81" s="197">
        <v>0.65751211631663975</v>
      </c>
      <c r="E81" s="198">
        <v>1.5152467112854835</v>
      </c>
      <c r="F81" s="223">
        <v>4.6558149058149061</v>
      </c>
      <c r="G81" s="185">
        <v>45478</v>
      </c>
      <c r="H81" s="185">
        <v>68910.389935841216</v>
      </c>
      <c r="I81" s="195">
        <v>1.7246212770209097E-4</v>
      </c>
    </row>
    <row r="82" spans="1:9" ht="23" x14ac:dyDescent="0.35">
      <c r="A82" s="177" t="s">
        <v>50</v>
      </c>
      <c r="B82" s="184">
        <v>279470</v>
      </c>
      <c r="C82" s="184">
        <v>74290</v>
      </c>
      <c r="D82" s="225">
        <v>0.26582459655777008</v>
      </c>
      <c r="E82" s="237">
        <v>2.3142892515935776</v>
      </c>
      <c r="F82" s="224">
        <v>3.8901147529950193</v>
      </c>
      <c r="G82" s="184">
        <v>2311973</v>
      </c>
      <c r="H82" s="184">
        <v>5350574.2638745587</v>
      </c>
      <c r="I82" s="194">
        <v>1.3390889571732198E-2</v>
      </c>
    </row>
    <row r="83" spans="1:9" x14ac:dyDescent="0.35">
      <c r="A83" s="176" t="s">
        <v>288</v>
      </c>
      <c r="B83" s="185">
        <v>279470</v>
      </c>
      <c r="C83" s="185">
        <v>74290</v>
      </c>
      <c r="D83" s="197">
        <v>0.26582459655777008</v>
      </c>
      <c r="E83" s="198">
        <v>2.3142892515935776</v>
      </c>
      <c r="F83" s="223">
        <v>3.8901147529950193</v>
      </c>
      <c r="G83" s="185">
        <v>2311973</v>
      </c>
      <c r="H83" s="185">
        <v>5350574.2638745587</v>
      </c>
      <c r="I83" s="195">
        <v>1.3390889571732198E-2</v>
      </c>
    </row>
    <row r="84" spans="1:9" x14ac:dyDescent="0.35">
      <c r="A84" s="177" t="s">
        <v>52</v>
      </c>
      <c r="B84" s="184">
        <v>522466</v>
      </c>
      <c r="C84" s="184">
        <v>172452</v>
      </c>
      <c r="D84" s="225">
        <v>0.33007315308555962</v>
      </c>
      <c r="E84" s="237">
        <v>2.183222196276887</v>
      </c>
      <c r="F84" s="224">
        <v>4.1371316366293227</v>
      </c>
      <c r="G84" s="184">
        <v>5707653</v>
      </c>
      <c r="H84" s="184">
        <v>12461074.718246363</v>
      </c>
      <c r="I84" s="194">
        <v>3.1186348841798453E-2</v>
      </c>
    </row>
    <row r="85" spans="1:9" x14ac:dyDescent="0.35">
      <c r="A85" s="176" t="s">
        <v>276</v>
      </c>
      <c r="B85" s="185">
        <v>522466</v>
      </c>
      <c r="C85" s="185">
        <v>172452</v>
      </c>
      <c r="D85" s="197">
        <v>0.33007315308555962</v>
      </c>
      <c r="E85" s="198">
        <v>2.183222196276887</v>
      </c>
      <c r="F85" s="223">
        <v>4.1371316366293227</v>
      </c>
      <c r="G85" s="185">
        <v>5707653</v>
      </c>
      <c r="H85" s="185">
        <v>12461074.718246363</v>
      </c>
      <c r="I85" s="195">
        <v>3.1186348841798453E-2</v>
      </c>
    </row>
    <row r="86" spans="1:9" x14ac:dyDescent="0.35">
      <c r="A86" s="177" t="s">
        <v>53</v>
      </c>
      <c r="B86" s="184">
        <v>417269</v>
      </c>
      <c r="C86" s="184">
        <v>68089</v>
      </c>
      <c r="D86" s="225">
        <v>0.16317771030198744</v>
      </c>
      <c r="E86" s="237">
        <v>2.4485714285714284</v>
      </c>
      <c r="F86" s="224">
        <v>4.0542359999412536</v>
      </c>
      <c r="G86" s="184">
        <v>2208391</v>
      </c>
      <c r="H86" s="184">
        <v>5407403.1057142857</v>
      </c>
      <c r="I86" s="194">
        <v>1.3533115192391868E-2</v>
      </c>
    </row>
    <row r="87" spans="1:9" x14ac:dyDescent="0.35">
      <c r="A87" s="176" t="s">
        <v>270</v>
      </c>
      <c r="B87" s="185">
        <v>417269</v>
      </c>
      <c r="C87" s="185">
        <v>68089</v>
      </c>
      <c r="D87" s="197">
        <v>0.16317771030198744</v>
      </c>
      <c r="E87" s="198">
        <v>2.4485714285714284</v>
      </c>
      <c r="F87" s="223">
        <v>4.0542359999412536</v>
      </c>
      <c r="G87" s="185">
        <v>2208391</v>
      </c>
      <c r="H87" s="185">
        <v>5407403.1057142857</v>
      </c>
      <c r="I87" s="195">
        <v>1.3533115192391868E-2</v>
      </c>
    </row>
    <row r="88" spans="1:9" x14ac:dyDescent="0.35">
      <c r="A88" s="177" t="s">
        <v>54</v>
      </c>
      <c r="B88" s="184">
        <v>2193</v>
      </c>
      <c r="C88" s="184"/>
      <c r="D88" s="225"/>
      <c r="E88" s="237"/>
      <c r="F88" s="224"/>
      <c r="G88" s="184"/>
      <c r="H88" s="184"/>
      <c r="I88" s="194"/>
    </row>
    <row r="89" spans="1:9" x14ac:dyDescent="0.35">
      <c r="A89" s="176" t="s">
        <v>287</v>
      </c>
      <c r="B89" s="185">
        <v>2193</v>
      </c>
      <c r="C89" s="185"/>
      <c r="D89" s="197"/>
      <c r="E89" s="198"/>
      <c r="F89" s="223"/>
      <c r="G89" s="185"/>
      <c r="H89" s="185"/>
      <c r="I89" s="195"/>
    </row>
    <row r="90" spans="1:9" x14ac:dyDescent="0.35">
      <c r="A90" s="177" t="s">
        <v>55</v>
      </c>
      <c r="B90" s="184">
        <v>65057</v>
      </c>
      <c r="C90" s="184">
        <v>19364</v>
      </c>
      <c r="D90" s="225">
        <v>0.29764667906604975</v>
      </c>
      <c r="E90" s="237">
        <v>2.2493722032766872</v>
      </c>
      <c r="F90" s="224">
        <v>4.2883572608965093</v>
      </c>
      <c r="G90" s="184">
        <v>664318</v>
      </c>
      <c r="H90" s="184">
        <v>1494298.4433363623</v>
      </c>
      <c r="I90" s="194">
        <v>3.739782770053273E-3</v>
      </c>
    </row>
    <row r="91" spans="1:9" x14ac:dyDescent="0.35">
      <c r="A91" s="176" t="s">
        <v>286</v>
      </c>
      <c r="B91" s="185">
        <v>65057</v>
      </c>
      <c r="C91" s="185">
        <v>19364</v>
      </c>
      <c r="D91" s="197">
        <v>0.29764667906604975</v>
      </c>
      <c r="E91" s="198">
        <v>2.2493722032766872</v>
      </c>
      <c r="F91" s="223">
        <v>4.2883572608965093</v>
      </c>
      <c r="G91" s="185">
        <v>664318</v>
      </c>
      <c r="H91" s="185">
        <v>1494298.4433363623</v>
      </c>
      <c r="I91" s="195">
        <v>3.739782770053273E-3</v>
      </c>
    </row>
    <row r="92" spans="1:9" x14ac:dyDescent="0.35">
      <c r="A92" s="177" t="s">
        <v>56</v>
      </c>
      <c r="B92" s="184">
        <v>321508</v>
      </c>
      <c r="C92" s="184">
        <v>65254</v>
      </c>
      <c r="D92" s="225">
        <v>0.20296229020739764</v>
      </c>
      <c r="E92" s="237">
        <v>2.4425283565483373</v>
      </c>
      <c r="F92" s="224">
        <v>4.1239081129126181</v>
      </c>
      <c r="G92" s="184">
        <v>2152812</v>
      </c>
      <c r="H92" s="184">
        <v>5258304.3563175388</v>
      </c>
      <c r="I92" s="194">
        <v>1.3159965547140627E-2</v>
      </c>
    </row>
    <row r="93" spans="1:9" x14ac:dyDescent="0.35">
      <c r="A93" s="176" t="s">
        <v>285</v>
      </c>
      <c r="B93" s="185">
        <v>321508</v>
      </c>
      <c r="C93" s="185">
        <v>65254</v>
      </c>
      <c r="D93" s="197">
        <v>0.20296229020739764</v>
      </c>
      <c r="E93" s="198">
        <v>2.4425283565483373</v>
      </c>
      <c r="F93" s="223">
        <v>4.1239081129126181</v>
      </c>
      <c r="G93" s="185">
        <v>2152812</v>
      </c>
      <c r="H93" s="185">
        <v>5258304.3563175388</v>
      </c>
      <c r="I93" s="195">
        <v>1.3159965547140627E-2</v>
      </c>
    </row>
    <row r="94" spans="1:9" ht="23" x14ac:dyDescent="0.35">
      <c r="A94" s="177" t="s">
        <v>58</v>
      </c>
      <c r="B94" s="184">
        <v>2495</v>
      </c>
      <c r="C94" s="184">
        <v>1606</v>
      </c>
      <c r="D94" s="225">
        <v>0.643687374749499</v>
      </c>
      <c r="E94" s="237">
        <v>1.5434491840824505</v>
      </c>
      <c r="F94" s="224">
        <v>4.5098848069738482</v>
      </c>
      <c r="G94" s="184">
        <v>57943</v>
      </c>
      <c r="H94" s="184">
        <v>89432.076073289427</v>
      </c>
      <c r="I94" s="194">
        <v>2.2382177983283638E-4</v>
      </c>
    </row>
    <row r="95" spans="1:9" x14ac:dyDescent="0.35">
      <c r="A95" s="176" t="s">
        <v>283</v>
      </c>
      <c r="B95" s="185">
        <v>2495</v>
      </c>
      <c r="C95" s="185">
        <v>1606</v>
      </c>
      <c r="D95" s="197">
        <v>0.643687374749499</v>
      </c>
      <c r="E95" s="198">
        <v>1.5434491840824505</v>
      </c>
      <c r="F95" s="223">
        <v>4.5098848069738482</v>
      </c>
      <c r="G95" s="185">
        <v>57943</v>
      </c>
      <c r="H95" s="185">
        <v>89432.076073289427</v>
      </c>
      <c r="I95" s="195">
        <v>2.2382177983283638E-4</v>
      </c>
    </row>
    <row r="96" spans="1:9" x14ac:dyDescent="0.35">
      <c r="A96" s="177" t="s">
        <v>515</v>
      </c>
      <c r="B96" s="184">
        <v>62740</v>
      </c>
      <c r="C96" s="184">
        <v>19645</v>
      </c>
      <c r="D96" s="225">
        <v>0.31311762830729994</v>
      </c>
      <c r="E96" s="237">
        <v>2.2178114668245366</v>
      </c>
      <c r="F96" s="224">
        <v>3.6543522524815475</v>
      </c>
      <c r="G96" s="184">
        <v>574318</v>
      </c>
      <c r="H96" s="184">
        <v>1273729.0460037342</v>
      </c>
      <c r="I96" s="194">
        <v>3.1877634358807366E-3</v>
      </c>
    </row>
    <row r="97" spans="1:9" x14ac:dyDescent="0.35">
      <c r="A97" s="176" t="s">
        <v>511</v>
      </c>
      <c r="B97" s="185">
        <v>62740</v>
      </c>
      <c r="C97" s="185">
        <v>19645</v>
      </c>
      <c r="D97" s="197">
        <v>0.31311762830729994</v>
      </c>
      <c r="E97" s="198">
        <v>2.2178114668245366</v>
      </c>
      <c r="F97" s="223">
        <v>3.6543522524815475</v>
      </c>
      <c r="G97" s="185">
        <v>574318</v>
      </c>
      <c r="H97" s="185">
        <v>1273729.0460037342</v>
      </c>
      <c r="I97" s="195">
        <v>3.1877634358807366E-3</v>
      </c>
    </row>
    <row r="98" spans="1:9" x14ac:dyDescent="0.35">
      <c r="A98" s="177" t="s">
        <v>132</v>
      </c>
      <c r="B98" s="184">
        <v>9446</v>
      </c>
      <c r="C98" s="184">
        <v>1008</v>
      </c>
      <c r="D98" s="225">
        <v>0.1067118356976498</v>
      </c>
      <c r="E98" s="237">
        <v>2.4485714285714284</v>
      </c>
      <c r="F98" s="224">
        <v>4.3214285714285712</v>
      </c>
      <c r="G98" s="184">
        <v>34848</v>
      </c>
      <c r="H98" s="184">
        <v>85327.817142857137</v>
      </c>
      <c r="I98" s="194">
        <v>2.1355004536084045E-4</v>
      </c>
    </row>
    <row r="99" spans="1:9" x14ac:dyDescent="0.35">
      <c r="A99" s="176" t="s">
        <v>282</v>
      </c>
      <c r="B99" s="185">
        <v>9446</v>
      </c>
      <c r="C99" s="185">
        <v>1008</v>
      </c>
      <c r="D99" s="197">
        <v>0.1067118356976498</v>
      </c>
      <c r="E99" s="198">
        <v>2.4485714285714284</v>
      </c>
      <c r="F99" s="223">
        <v>4.3214285714285712</v>
      </c>
      <c r="G99" s="185">
        <v>34848</v>
      </c>
      <c r="H99" s="185">
        <v>85327.817142857137</v>
      </c>
      <c r="I99" s="195">
        <v>2.1355004536084045E-4</v>
      </c>
    </row>
    <row r="100" spans="1:9" x14ac:dyDescent="0.35">
      <c r="A100" s="177" t="s">
        <v>59</v>
      </c>
      <c r="B100" s="184">
        <v>17620</v>
      </c>
      <c r="C100" s="184">
        <v>7822</v>
      </c>
      <c r="D100" s="225">
        <v>0.44392735527809307</v>
      </c>
      <c r="E100" s="237">
        <v>1.9509596238041187</v>
      </c>
      <c r="F100" s="224">
        <v>4.3172781897212991</v>
      </c>
      <c r="G100" s="184">
        <v>270158</v>
      </c>
      <c r="H100" s="184">
        <v>527067.3500476731</v>
      </c>
      <c r="I100" s="194">
        <v>1.31909218212458E-3</v>
      </c>
    </row>
    <row r="101" spans="1:9" x14ac:dyDescent="0.35">
      <c r="A101" s="176" t="s">
        <v>281</v>
      </c>
      <c r="B101" s="185">
        <v>17620</v>
      </c>
      <c r="C101" s="185">
        <v>7822</v>
      </c>
      <c r="D101" s="197">
        <v>0.44392735527809307</v>
      </c>
      <c r="E101" s="198">
        <v>1.9509596238041187</v>
      </c>
      <c r="F101" s="223">
        <v>4.3172781897212991</v>
      </c>
      <c r="G101" s="185">
        <v>270158</v>
      </c>
      <c r="H101" s="185">
        <v>527067.3500476731</v>
      </c>
      <c r="I101" s="195">
        <v>1.31909218212458E-3</v>
      </c>
    </row>
    <row r="102" spans="1:9" ht="23" x14ac:dyDescent="0.35">
      <c r="A102" s="177" t="s">
        <v>60</v>
      </c>
      <c r="B102" s="184">
        <v>261302</v>
      </c>
      <c r="C102" s="184">
        <v>55758</v>
      </c>
      <c r="D102" s="225">
        <v>0.21338527833694346</v>
      </c>
      <c r="E102" s="237">
        <v>2.4212654607640638</v>
      </c>
      <c r="F102" s="224">
        <v>3.9481576634742996</v>
      </c>
      <c r="G102" s="184">
        <v>1761131</v>
      </c>
      <c r="H102" s="184">
        <v>4264165.6621808764</v>
      </c>
      <c r="I102" s="194">
        <v>1.0671933269549162E-2</v>
      </c>
    </row>
    <row r="103" spans="1:9" x14ac:dyDescent="0.35">
      <c r="A103" s="176" t="s">
        <v>280</v>
      </c>
      <c r="B103" s="185">
        <v>261302</v>
      </c>
      <c r="C103" s="185">
        <v>55758</v>
      </c>
      <c r="D103" s="197">
        <v>0.21338527833694346</v>
      </c>
      <c r="E103" s="198">
        <v>2.4212654607640638</v>
      </c>
      <c r="F103" s="223">
        <v>3.9481576634742996</v>
      </c>
      <c r="G103" s="185">
        <v>1761131</v>
      </c>
      <c r="H103" s="185">
        <v>4264165.6621808764</v>
      </c>
      <c r="I103" s="195">
        <v>1.0671933269549162E-2</v>
      </c>
    </row>
    <row r="104" spans="1:9" x14ac:dyDescent="0.35">
      <c r="A104" s="177" t="s">
        <v>61</v>
      </c>
      <c r="B104" s="184">
        <v>1102565</v>
      </c>
      <c r="C104" s="184">
        <v>258448</v>
      </c>
      <c r="D104" s="225">
        <v>0.23440613478570424</v>
      </c>
      <c r="E104" s="237">
        <v>2.3783829136085917</v>
      </c>
      <c r="F104" s="224">
        <v>4.1227055345756209</v>
      </c>
      <c r="G104" s="184">
        <v>8524040</v>
      </c>
      <c r="H104" s="184">
        <v>20273431.090916179</v>
      </c>
      <c r="I104" s="194">
        <v>5.0738343884230493E-2</v>
      </c>
    </row>
    <row r="105" spans="1:9" x14ac:dyDescent="0.35">
      <c r="A105" s="176" t="s">
        <v>279</v>
      </c>
      <c r="B105" s="185">
        <v>1102565</v>
      </c>
      <c r="C105" s="185">
        <v>258448</v>
      </c>
      <c r="D105" s="197">
        <v>0.23440613478570424</v>
      </c>
      <c r="E105" s="198">
        <v>2.3783829136085917</v>
      </c>
      <c r="F105" s="223">
        <v>4.1227055345756209</v>
      </c>
      <c r="G105" s="185">
        <v>8524040</v>
      </c>
      <c r="H105" s="185">
        <v>20273431.090916179</v>
      </c>
      <c r="I105" s="195">
        <v>5.0738343884230493E-2</v>
      </c>
    </row>
    <row r="106" spans="1:9" x14ac:dyDescent="0.35">
      <c r="A106" s="177" t="s">
        <v>490</v>
      </c>
      <c r="B106" s="184">
        <v>95211</v>
      </c>
      <c r="C106" s="184">
        <v>25948</v>
      </c>
      <c r="D106" s="225">
        <v>0.27253153522177059</v>
      </c>
      <c r="E106" s="237">
        <v>2.3006070967190166</v>
      </c>
      <c r="F106" s="224">
        <v>3.8558559426545398</v>
      </c>
      <c r="G106" s="184">
        <v>800414</v>
      </c>
      <c r="H106" s="184">
        <v>1841438.128713255</v>
      </c>
      <c r="I106" s="194">
        <v>4.6085697382546387E-3</v>
      </c>
    </row>
    <row r="107" spans="1:9" x14ac:dyDescent="0.35">
      <c r="A107" s="176" t="s">
        <v>239</v>
      </c>
      <c r="B107" s="185">
        <v>95211</v>
      </c>
      <c r="C107" s="185">
        <v>25948</v>
      </c>
      <c r="D107" s="197">
        <v>0.27253153522177059</v>
      </c>
      <c r="E107" s="198">
        <v>2.3006070967190166</v>
      </c>
      <c r="F107" s="223">
        <v>3.8558559426545398</v>
      </c>
      <c r="G107" s="185">
        <v>800414</v>
      </c>
      <c r="H107" s="185">
        <v>1841438.128713255</v>
      </c>
      <c r="I107" s="195">
        <v>4.6085697382546387E-3</v>
      </c>
    </row>
    <row r="108" spans="1:9" x14ac:dyDescent="0.35">
      <c r="A108" s="177" t="s">
        <v>458</v>
      </c>
      <c r="B108" s="184">
        <v>875891</v>
      </c>
      <c r="C108" s="184">
        <v>224106</v>
      </c>
      <c r="D108" s="225">
        <v>0.25586060365958779</v>
      </c>
      <c r="E108" s="237">
        <v>2.3346157971058696</v>
      </c>
      <c r="F108" s="224">
        <v>4.0642435945490076</v>
      </c>
      <c r="G108" s="184">
        <v>7286571</v>
      </c>
      <c r="H108" s="184">
        <v>17011343.763333514</v>
      </c>
      <c r="I108" s="194">
        <v>4.2574313441379588E-2</v>
      </c>
    </row>
    <row r="109" spans="1:9" x14ac:dyDescent="0.35">
      <c r="A109" s="176" t="s">
        <v>253</v>
      </c>
      <c r="B109" s="185">
        <v>875891</v>
      </c>
      <c r="C109" s="185">
        <v>224106</v>
      </c>
      <c r="D109" s="197">
        <v>0.25586060365958779</v>
      </c>
      <c r="E109" s="198">
        <v>2.3346157971058696</v>
      </c>
      <c r="F109" s="223">
        <v>4.0642435945490076</v>
      </c>
      <c r="G109" s="185">
        <v>7286571</v>
      </c>
      <c r="H109" s="185">
        <v>17011343.763333514</v>
      </c>
      <c r="I109" s="195">
        <v>4.2574313441379588E-2</v>
      </c>
    </row>
    <row r="110" spans="1:9" x14ac:dyDescent="0.35">
      <c r="A110" s="177" t="s">
        <v>62</v>
      </c>
      <c r="B110" s="184">
        <v>383910</v>
      </c>
      <c r="C110" s="184">
        <v>80236</v>
      </c>
      <c r="D110" s="225">
        <v>0.20899690031517804</v>
      </c>
      <c r="E110" s="237">
        <v>2.4302177519284651</v>
      </c>
      <c r="F110" s="224">
        <v>4.0171182511590811</v>
      </c>
      <c r="G110" s="184">
        <v>2578540</v>
      </c>
      <c r="H110" s="184">
        <v>6266413.6820576247</v>
      </c>
      <c r="I110" s="194">
        <v>1.5682962143667333E-2</v>
      </c>
    </row>
    <row r="111" spans="1:9" x14ac:dyDescent="0.35">
      <c r="A111" s="176" t="s">
        <v>278</v>
      </c>
      <c r="B111" s="185">
        <v>383910</v>
      </c>
      <c r="C111" s="185">
        <v>80236</v>
      </c>
      <c r="D111" s="197">
        <v>0.20899690031517804</v>
      </c>
      <c r="E111" s="198">
        <v>2.4302177519284651</v>
      </c>
      <c r="F111" s="223">
        <v>4.0171182511590811</v>
      </c>
      <c r="G111" s="185">
        <v>2578540</v>
      </c>
      <c r="H111" s="185">
        <v>6266413.6820576247</v>
      </c>
      <c r="I111" s="195">
        <v>1.5682962143667333E-2</v>
      </c>
    </row>
    <row r="112" spans="1:9" x14ac:dyDescent="0.35">
      <c r="A112" s="177" t="s">
        <v>494</v>
      </c>
      <c r="B112" s="184">
        <v>302882</v>
      </c>
      <c r="C112" s="184">
        <v>75936</v>
      </c>
      <c r="D112" s="225">
        <v>0.25071149820722261</v>
      </c>
      <c r="E112" s="237">
        <v>2.3451199722286944</v>
      </c>
      <c r="F112" s="224">
        <v>3.9333632927728615</v>
      </c>
      <c r="G112" s="184">
        <v>2389471</v>
      </c>
      <c r="H112" s="184">
        <v>5603596.1651612706</v>
      </c>
      <c r="I112" s="194">
        <v>1.4024127832200068E-2</v>
      </c>
    </row>
    <row r="113" spans="1:9" x14ac:dyDescent="0.35">
      <c r="A113" s="176" t="s">
        <v>493</v>
      </c>
      <c r="B113" s="185">
        <v>302882</v>
      </c>
      <c r="C113" s="185">
        <v>75936</v>
      </c>
      <c r="D113" s="197">
        <v>0.25071149820722261</v>
      </c>
      <c r="E113" s="198">
        <v>2.3451199722286944</v>
      </c>
      <c r="F113" s="223">
        <v>3.9333632927728615</v>
      </c>
      <c r="G113" s="185">
        <v>2389471</v>
      </c>
      <c r="H113" s="185">
        <v>5603596.1651612706</v>
      </c>
      <c r="I113" s="195">
        <v>1.4024127832200068E-2</v>
      </c>
    </row>
    <row r="114" spans="1:9" x14ac:dyDescent="0.35">
      <c r="A114" s="177" t="s">
        <v>63</v>
      </c>
      <c r="B114" s="184">
        <v>24420</v>
      </c>
      <c r="C114" s="184">
        <v>11841</v>
      </c>
      <c r="D114" s="225">
        <v>0.48488943488943487</v>
      </c>
      <c r="E114" s="237">
        <v>1.8673969813969813</v>
      </c>
      <c r="F114" s="224">
        <v>4.6793239591250737</v>
      </c>
      <c r="G114" s="184">
        <v>443263</v>
      </c>
      <c r="H114" s="184">
        <v>827747.98816497007</v>
      </c>
      <c r="I114" s="194">
        <v>2.0716060288291458E-3</v>
      </c>
    </row>
    <row r="115" spans="1:9" x14ac:dyDescent="0.35">
      <c r="A115" s="176" t="s">
        <v>274</v>
      </c>
      <c r="B115" s="185">
        <v>24420</v>
      </c>
      <c r="C115" s="185">
        <v>11841</v>
      </c>
      <c r="D115" s="197">
        <v>0.48488943488943487</v>
      </c>
      <c r="E115" s="198">
        <v>1.8673969813969813</v>
      </c>
      <c r="F115" s="223">
        <v>4.6793239591250737</v>
      </c>
      <c r="G115" s="185">
        <v>443263</v>
      </c>
      <c r="H115" s="185">
        <v>827747.98816497007</v>
      </c>
      <c r="I115" s="195">
        <v>2.0716060288291458E-3</v>
      </c>
    </row>
    <row r="116" spans="1:9" ht="23" x14ac:dyDescent="0.35">
      <c r="A116" s="177" t="s">
        <v>521</v>
      </c>
      <c r="B116" s="184">
        <v>51</v>
      </c>
      <c r="C116" s="184"/>
      <c r="D116" s="225"/>
      <c r="E116" s="237"/>
      <c r="F116" s="224"/>
      <c r="G116" s="184"/>
      <c r="H116" s="184"/>
      <c r="I116" s="194"/>
    </row>
    <row r="117" spans="1:9" x14ac:dyDescent="0.35">
      <c r="A117" s="176" t="s">
        <v>273</v>
      </c>
      <c r="B117" s="185">
        <v>51</v>
      </c>
      <c r="C117" s="185"/>
      <c r="D117" s="197"/>
      <c r="E117" s="198"/>
      <c r="F117" s="223"/>
      <c r="G117" s="185"/>
      <c r="H117" s="185"/>
      <c r="I117" s="195"/>
    </row>
    <row r="118" spans="1:9" ht="23" x14ac:dyDescent="0.35">
      <c r="A118" s="177" t="s">
        <v>369</v>
      </c>
      <c r="B118" s="184">
        <v>13084</v>
      </c>
      <c r="C118" s="184">
        <v>3262</v>
      </c>
      <c r="D118" s="225">
        <v>0.24931213696117396</v>
      </c>
      <c r="E118" s="237">
        <v>2.3479746691706338</v>
      </c>
      <c r="F118" s="224">
        <v>4.1797210300429182</v>
      </c>
      <c r="G118" s="184">
        <v>109074</v>
      </c>
      <c r="H118" s="184">
        <v>256102.9890651177</v>
      </c>
      <c r="I118" s="194">
        <v>6.4094930308997036E-4</v>
      </c>
    </row>
    <row r="119" spans="1:9" x14ac:dyDescent="0.35">
      <c r="A119" s="176" t="s">
        <v>272</v>
      </c>
      <c r="B119" s="185">
        <v>13084</v>
      </c>
      <c r="C119" s="185">
        <v>3262</v>
      </c>
      <c r="D119" s="197">
        <v>0.24931213696117396</v>
      </c>
      <c r="E119" s="198">
        <v>2.3479746691706338</v>
      </c>
      <c r="F119" s="223">
        <v>4.1797210300429182</v>
      </c>
      <c r="G119" s="185">
        <v>109074</v>
      </c>
      <c r="H119" s="185">
        <v>256102.9890651177</v>
      </c>
      <c r="I119" s="195">
        <v>6.4094930308997036E-4</v>
      </c>
    </row>
    <row r="120" spans="1:9" x14ac:dyDescent="0.35">
      <c r="A120" s="177" t="s">
        <v>66</v>
      </c>
      <c r="B120" s="184">
        <v>15042</v>
      </c>
      <c r="C120" s="184">
        <v>3621</v>
      </c>
      <c r="D120" s="225">
        <v>0.24072596729158358</v>
      </c>
      <c r="E120" s="237">
        <v>2.3654904552965981</v>
      </c>
      <c r="F120" s="224">
        <v>3.9873998895332781</v>
      </c>
      <c r="G120" s="184">
        <v>115507</v>
      </c>
      <c r="H120" s="184">
        <v>273230.70601994416</v>
      </c>
      <c r="I120" s="194">
        <v>6.8381486387781025E-4</v>
      </c>
    </row>
    <row r="121" spans="1:9" x14ac:dyDescent="0.35">
      <c r="A121" s="176" t="s">
        <v>271</v>
      </c>
      <c r="B121" s="185">
        <v>15042</v>
      </c>
      <c r="C121" s="185">
        <v>3621</v>
      </c>
      <c r="D121" s="197">
        <v>0.24072596729158358</v>
      </c>
      <c r="E121" s="198">
        <v>2.3654904552965981</v>
      </c>
      <c r="F121" s="223">
        <v>3.9873998895332781</v>
      </c>
      <c r="G121" s="185">
        <v>115507</v>
      </c>
      <c r="H121" s="185">
        <v>273230.70601994416</v>
      </c>
      <c r="I121" s="195">
        <v>6.8381486387781025E-4</v>
      </c>
    </row>
    <row r="122" spans="1:9" x14ac:dyDescent="0.35">
      <c r="A122" s="177" t="s">
        <v>148</v>
      </c>
      <c r="B122" s="184">
        <v>227</v>
      </c>
      <c r="C122" s="184">
        <v>61</v>
      </c>
      <c r="D122" s="225">
        <v>0.2687224669603524</v>
      </c>
      <c r="E122" s="237">
        <v>2.3083775959723098</v>
      </c>
      <c r="F122" s="224">
        <v>4.5102459016393439</v>
      </c>
      <c r="G122" s="184">
        <v>2201</v>
      </c>
      <c r="H122" s="184">
        <v>5080.7390887350539</v>
      </c>
      <c r="I122" s="194">
        <v>1.271557270766057E-5</v>
      </c>
    </row>
    <row r="123" spans="1:9" x14ac:dyDescent="0.35">
      <c r="A123" s="176" t="s">
        <v>269</v>
      </c>
      <c r="B123" s="185">
        <v>227</v>
      </c>
      <c r="C123" s="185">
        <v>61</v>
      </c>
      <c r="D123" s="197">
        <v>0.2687224669603524</v>
      </c>
      <c r="E123" s="198">
        <v>2.3083775959723098</v>
      </c>
      <c r="F123" s="223">
        <v>4.5102459016393439</v>
      </c>
      <c r="G123" s="185">
        <v>2201</v>
      </c>
      <c r="H123" s="185">
        <v>5080.7390887350539</v>
      </c>
      <c r="I123" s="195">
        <v>1.271557270766057E-5</v>
      </c>
    </row>
    <row r="124" spans="1:9" x14ac:dyDescent="0.35">
      <c r="A124" s="177" t="s">
        <v>67</v>
      </c>
      <c r="B124" s="184">
        <v>1470</v>
      </c>
      <c r="C124" s="184"/>
      <c r="D124" s="225"/>
      <c r="E124" s="237"/>
      <c r="F124" s="224"/>
      <c r="G124" s="184"/>
      <c r="H124" s="184"/>
      <c r="I124" s="194"/>
    </row>
    <row r="125" spans="1:9" x14ac:dyDescent="0.35">
      <c r="A125" s="176" t="s">
        <v>309</v>
      </c>
      <c r="B125" s="185">
        <v>1470</v>
      </c>
      <c r="C125" s="185"/>
      <c r="D125" s="197"/>
      <c r="E125" s="198"/>
      <c r="F125" s="223"/>
      <c r="G125" s="185"/>
      <c r="H125" s="185"/>
      <c r="I125" s="195"/>
    </row>
    <row r="126" spans="1:9" x14ac:dyDescent="0.35">
      <c r="A126" s="177" t="s">
        <v>68</v>
      </c>
      <c r="B126" s="184">
        <v>3006</v>
      </c>
      <c r="C126" s="184">
        <v>1991</v>
      </c>
      <c r="D126" s="225">
        <v>0.6623419827012641</v>
      </c>
      <c r="E126" s="237">
        <v>1.5053937838608498</v>
      </c>
      <c r="F126" s="224">
        <v>4.6012682069311905</v>
      </c>
      <c r="G126" s="184">
        <v>73289</v>
      </c>
      <c r="H126" s="184">
        <v>110328.80502537782</v>
      </c>
      <c r="I126" s="194">
        <v>2.7612005213178059E-4</v>
      </c>
    </row>
    <row r="127" spans="1:9" x14ac:dyDescent="0.35">
      <c r="A127" s="176" t="s">
        <v>268</v>
      </c>
      <c r="B127" s="185">
        <v>3006</v>
      </c>
      <c r="C127" s="185">
        <v>1991</v>
      </c>
      <c r="D127" s="197">
        <v>0.6623419827012641</v>
      </c>
      <c r="E127" s="198">
        <v>1.5053937838608498</v>
      </c>
      <c r="F127" s="223">
        <v>4.6012682069311905</v>
      </c>
      <c r="G127" s="185">
        <v>73289</v>
      </c>
      <c r="H127" s="185">
        <v>110328.80502537782</v>
      </c>
      <c r="I127" s="195">
        <v>2.7612005213178059E-4</v>
      </c>
    </row>
    <row r="128" spans="1:9" x14ac:dyDescent="0.35">
      <c r="A128" s="177" t="s">
        <v>69</v>
      </c>
      <c r="B128" s="184">
        <v>384</v>
      </c>
      <c r="C128" s="184">
        <v>192</v>
      </c>
      <c r="D128" s="225">
        <v>0.5</v>
      </c>
      <c r="E128" s="237">
        <v>1.8365714285714285</v>
      </c>
      <c r="F128" s="224">
        <v>4.4375</v>
      </c>
      <c r="G128" s="184">
        <v>6816</v>
      </c>
      <c r="H128" s="184">
        <v>12518.070857142857</v>
      </c>
      <c r="I128" s="194">
        <v>3.132899315703227E-5</v>
      </c>
    </row>
    <row r="129" spans="1:9" x14ac:dyDescent="0.35">
      <c r="A129" s="176" t="s">
        <v>267</v>
      </c>
      <c r="B129" s="185">
        <v>384</v>
      </c>
      <c r="C129" s="185">
        <v>192</v>
      </c>
      <c r="D129" s="197">
        <v>0.5</v>
      </c>
      <c r="E129" s="198">
        <v>1.8365714285714285</v>
      </c>
      <c r="F129" s="223">
        <v>4.4375</v>
      </c>
      <c r="G129" s="185">
        <v>6816</v>
      </c>
      <c r="H129" s="185">
        <v>12518.070857142857</v>
      </c>
      <c r="I129" s="195">
        <v>3.132899315703227E-5</v>
      </c>
    </row>
    <row r="130" spans="1:9" x14ac:dyDescent="0.35">
      <c r="A130" s="177" t="s">
        <v>489</v>
      </c>
      <c r="B130" s="184">
        <v>42205</v>
      </c>
      <c r="C130" s="184">
        <v>10910</v>
      </c>
      <c r="D130" s="225">
        <v>0.25850017770406347</v>
      </c>
      <c r="E130" s="237">
        <v>2.3292310660551392</v>
      </c>
      <c r="F130" s="224">
        <v>4.341464252978918</v>
      </c>
      <c r="G130" s="184">
        <v>378923</v>
      </c>
      <c r="H130" s="184">
        <v>882599.22324281151</v>
      </c>
      <c r="I130" s="194">
        <v>2.2088822903249751E-3</v>
      </c>
    </row>
    <row r="131" spans="1:9" x14ac:dyDescent="0.35">
      <c r="A131" s="176" t="s">
        <v>306</v>
      </c>
      <c r="B131" s="185">
        <v>42205</v>
      </c>
      <c r="C131" s="185">
        <v>10910</v>
      </c>
      <c r="D131" s="197">
        <v>0.25850017770406347</v>
      </c>
      <c r="E131" s="198">
        <v>2.3292310660551392</v>
      </c>
      <c r="F131" s="223">
        <v>4.341464252978918</v>
      </c>
      <c r="G131" s="185">
        <v>378923</v>
      </c>
      <c r="H131" s="185">
        <v>882599.22324281151</v>
      </c>
      <c r="I131" s="195">
        <v>2.2088822903249751E-3</v>
      </c>
    </row>
    <row r="132" spans="1:9" x14ac:dyDescent="0.35">
      <c r="A132" s="177" t="s">
        <v>70</v>
      </c>
      <c r="B132" s="184">
        <v>244407</v>
      </c>
      <c r="C132" s="184">
        <v>64807</v>
      </c>
      <c r="D132" s="225">
        <v>0.26516016317044927</v>
      </c>
      <c r="E132" s="237">
        <v>2.3156446957037122</v>
      </c>
      <c r="F132" s="224">
        <v>3.9257005416081596</v>
      </c>
      <c r="G132" s="184">
        <v>2035303</v>
      </c>
      <c r="H132" s="184">
        <v>4713038.5960998526</v>
      </c>
      <c r="I132" s="194">
        <v>1.1795328178845458E-2</v>
      </c>
    </row>
    <row r="133" spans="1:9" x14ac:dyDescent="0.35">
      <c r="A133" s="176" t="s">
        <v>266</v>
      </c>
      <c r="B133" s="185">
        <v>244407</v>
      </c>
      <c r="C133" s="185">
        <v>64807</v>
      </c>
      <c r="D133" s="197">
        <v>0.26516016317044927</v>
      </c>
      <c r="E133" s="198">
        <v>2.3156446957037122</v>
      </c>
      <c r="F133" s="223">
        <v>3.9257005416081596</v>
      </c>
      <c r="G133" s="185">
        <v>2035303</v>
      </c>
      <c r="H133" s="185">
        <v>4713038.5960998526</v>
      </c>
      <c r="I133" s="195">
        <v>1.1795328178845458E-2</v>
      </c>
    </row>
    <row r="134" spans="1:9" x14ac:dyDescent="0.35">
      <c r="A134" s="177" t="s">
        <v>71</v>
      </c>
      <c r="B134" s="184">
        <v>158438</v>
      </c>
      <c r="C134" s="184">
        <v>68009</v>
      </c>
      <c r="D134" s="225">
        <v>0.42924677160782138</v>
      </c>
      <c r="E134" s="237">
        <v>1.9809080144914728</v>
      </c>
      <c r="F134" s="224">
        <v>3.9614223852725376</v>
      </c>
      <c r="G134" s="184">
        <v>2155299</v>
      </c>
      <c r="H134" s="184">
        <v>4269449.0627254564</v>
      </c>
      <c r="I134" s="194">
        <v>1.0685156043361196E-2</v>
      </c>
    </row>
    <row r="135" spans="1:9" x14ac:dyDescent="0.35">
      <c r="A135" s="176" t="s">
        <v>264</v>
      </c>
      <c r="B135" s="185">
        <v>158438</v>
      </c>
      <c r="C135" s="185">
        <v>68009</v>
      </c>
      <c r="D135" s="197">
        <v>0.42924677160782138</v>
      </c>
      <c r="E135" s="198">
        <v>1.9809080144914728</v>
      </c>
      <c r="F135" s="223">
        <v>3.9614223852725376</v>
      </c>
      <c r="G135" s="185">
        <v>2155299</v>
      </c>
      <c r="H135" s="185">
        <v>4269449.0627254564</v>
      </c>
      <c r="I135" s="195">
        <v>1.0685156043361196E-2</v>
      </c>
    </row>
    <row r="136" spans="1:9" ht="23" x14ac:dyDescent="0.35">
      <c r="A136" s="177" t="s">
        <v>72</v>
      </c>
      <c r="B136" s="184">
        <v>270801</v>
      </c>
      <c r="C136" s="184">
        <v>49515</v>
      </c>
      <c r="D136" s="225">
        <v>0.18284644443705894</v>
      </c>
      <c r="E136" s="237">
        <v>2.4485714285714284</v>
      </c>
      <c r="F136" s="224">
        <v>4.037349792992023</v>
      </c>
      <c r="G136" s="184">
        <v>1599275</v>
      </c>
      <c r="H136" s="184">
        <v>3915939.0714285714</v>
      </c>
      <c r="I136" s="194">
        <v>9.8004261017693457E-3</v>
      </c>
    </row>
    <row r="137" spans="1:9" x14ac:dyDescent="0.35">
      <c r="A137" s="176" t="s">
        <v>263</v>
      </c>
      <c r="B137" s="185">
        <v>270801</v>
      </c>
      <c r="C137" s="185">
        <v>49515</v>
      </c>
      <c r="D137" s="197">
        <v>0.18284644443705894</v>
      </c>
      <c r="E137" s="198">
        <v>2.4485714285714284</v>
      </c>
      <c r="F137" s="223">
        <v>4.037349792992023</v>
      </c>
      <c r="G137" s="185">
        <v>1599275</v>
      </c>
      <c r="H137" s="185">
        <v>3915939.0714285714</v>
      </c>
      <c r="I137" s="195">
        <v>9.8004261017693457E-3</v>
      </c>
    </row>
    <row r="138" spans="1:9" x14ac:dyDescent="0.35">
      <c r="A138" s="177" t="s">
        <v>73</v>
      </c>
      <c r="B138" s="184">
        <v>25137</v>
      </c>
      <c r="C138" s="184">
        <v>1617</v>
      </c>
      <c r="D138" s="225">
        <v>6.4327485380116955E-2</v>
      </c>
      <c r="E138" s="237">
        <v>2.4485714285714284</v>
      </c>
      <c r="F138" s="224">
        <v>3.9990723562152133</v>
      </c>
      <c r="G138" s="184">
        <v>51732</v>
      </c>
      <c r="H138" s="184">
        <v>126669.49714285713</v>
      </c>
      <c r="I138" s="194">
        <v>3.1701592477637161E-4</v>
      </c>
    </row>
    <row r="139" spans="1:9" x14ac:dyDescent="0.35">
      <c r="A139" s="176" t="s">
        <v>262</v>
      </c>
      <c r="B139" s="185">
        <v>25137</v>
      </c>
      <c r="C139" s="185">
        <v>1617</v>
      </c>
      <c r="D139" s="197">
        <v>6.4327485380116955E-2</v>
      </c>
      <c r="E139" s="198">
        <v>2.4485714285714284</v>
      </c>
      <c r="F139" s="223">
        <v>3.9990723562152133</v>
      </c>
      <c r="G139" s="185">
        <v>51732</v>
      </c>
      <c r="H139" s="185">
        <v>126669.49714285713</v>
      </c>
      <c r="I139" s="195">
        <v>3.1701592477637161E-4</v>
      </c>
    </row>
    <row r="140" spans="1:9" ht="23" x14ac:dyDescent="0.35">
      <c r="A140" s="177" t="s">
        <v>522</v>
      </c>
      <c r="B140" s="184">
        <v>14543</v>
      </c>
      <c r="C140" s="184">
        <v>2179</v>
      </c>
      <c r="D140" s="225">
        <v>0.14983153407137453</v>
      </c>
      <c r="E140" s="237">
        <v>2.4485714285714284</v>
      </c>
      <c r="F140" s="224">
        <v>4.7891808168884813</v>
      </c>
      <c r="G140" s="184">
        <v>83485</v>
      </c>
      <c r="H140" s="184">
        <v>204418.98571428569</v>
      </c>
      <c r="I140" s="194">
        <v>5.1159967679493125E-4</v>
      </c>
    </row>
    <row r="141" spans="1:9" x14ac:dyDescent="0.35">
      <c r="A141" s="176" t="s">
        <v>260</v>
      </c>
      <c r="B141" s="185">
        <v>14543</v>
      </c>
      <c r="C141" s="185">
        <v>2179</v>
      </c>
      <c r="D141" s="197">
        <v>0.14983153407137453</v>
      </c>
      <c r="E141" s="198">
        <v>2.4485714285714284</v>
      </c>
      <c r="F141" s="223">
        <v>4.7891808168884813</v>
      </c>
      <c r="G141" s="185">
        <v>83485</v>
      </c>
      <c r="H141" s="185">
        <v>204418.98571428569</v>
      </c>
      <c r="I141" s="195">
        <v>5.1159967679493125E-4</v>
      </c>
    </row>
    <row r="142" spans="1:9" x14ac:dyDescent="0.35">
      <c r="A142" s="177" t="s">
        <v>75</v>
      </c>
      <c r="B142" s="184">
        <v>55379</v>
      </c>
      <c r="C142" s="184">
        <v>9019</v>
      </c>
      <c r="D142" s="225">
        <v>0.16285956770617022</v>
      </c>
      <c r="E142" s="237">
        <v>2.4485714285714284</v>
      </c>
      <c r="F142" s="224">
        <v>3.9255183501496842</v>
      </c>
      <c r="G142" s="184">
        <v>283234</v>
      </c>
      <c r="H142" s="184">
        <v>693518.67999999993</v>
      </c>
      <c r="I142" s="194">
        <v>1.7356701546066427E-3</v>
      </c>
    </row>
    <row r="143" spans="1:9" x14ac:dyDescent="0.35">
      <c r="A143" s="176" t="s">
        <v>256</v>
      </c>
      <c r="B143" s="185">
        <v>55379</v>
      </c>
      <c r="C143" s="185">
        <v>9019</v>
      </c>
      <c r="D143" s="197">
        <v>0.16285956770617022</v>
      </c>
      <c r="E143" s="198">
        <v>2.4485714285714284</v>
      </c>
      <c r="F143" s="223">
        <v>3.9255183501496842</v>
      </c>
      <c r="G143" s="185">
        <v>283234</v>
      </c>
      <c r="H143" s="185">
        <v>693518.67999999993</v>
      </c>
      <c r="I143" s="195">
        <v>1.7356701546066427E-3</v>
      </c>
    </row>
    <row r="144" spans="1:9" x14ac:dyDescent="0.35">
      <c r="A144" s="177" t="s">
        <v>76</v>
      </c>
      <c r="B144" s="184">
        <v>49097</v>
      </c>
      <c r="C144" s="184">
        <v>9833</v>
      </c>
      <c r="D144" s="225">
        <v>0.20027700266818746</v>
      </c>
      <c r="E144" s="237">
        <v>2.4480063431283261</v>
      </c>
      <c r="F144" s="224">
        <v>3.9988177565341196</v>
      </c>
      <c r="G144" s="184">
        <v>314563</v>
      </c>
      <c r="H144" s="184">
        <v>770052.21931347565</v>
      </c>
      <c r="I144" s="194">
        <v>1.9272107487443722E-3</v>
      </c>
    </row>
    <row r="145" spans="1:9" x14ac:dyDescent="0.35">
      <c r="A145" s="176" t="s">
        <v>258</v>
      </c>
      <c r="B145" s="185">
        <v>49097</v>
      </c>
      <c r="C145" s="185">
        <v>9833</v>
      </c>
      <c r="D145" s="197">
        <v>0.20027700266818746</v>
      </c>
      <c r="E145" s="198">
        <v>2.4480063431283261</v>
      </c>
      <c r="F145" s="223">
        <v>3.9988177565341196</v>
      </c>
      <c r="G145" s="185">
        <v>314563</v>
      </c>
      <c r="H145" s="185">
        <v>770052.21931347565</v>
      </c>
      <c r="I145" s="195">
        <v>1.9272107487443722E-3</v>
      </c>
    </row>
    <row r="146" spans="1:9" x14ac:dyDescent="0.35">
      <c r="A146" s="177" t="s">
        <v>461</v>
      </c>
      <c r="B146" s="184">
        <v>161543</v>
      </c>
      <c r="C146" s="184">
        <v>30605</v>
      </c>
      <c r="D146" s="225">
        <v>0.18945420104863719</v>
      </c>
      <c r="E146" s="237">
        <v>2.4485714285714284</v>
      </c>
      <c r="F146" s="224">
        <v>4.3101249795785002</v>
      </c>
      <c r="G146" s="184">
        <v>1055291</v>
      </c>
      <c r="H146" s="184">
        <v>2583955.3914285712</v>
      </c>
      <c r="I146" s="194">
        <v>6.4668687132371063E-3</v>
      </c>
    </row>
    <row r="147" spans="1:9" x14ac:dyDescent="0.35">
      <c r="A147" s="176" t="s">
        <v>290</v>
      </c>
      <c r="B147" s="185">
        <v>161543</v>
      </c>
      <c r="C147" s="185">
        <v>30605</v>
      </c>
      <c r="D147" s="197">
        <v>0.18945420104863719</v>
      </c>
      <c r="E147" s="198">
        <v>2.4485714285714284</v>
      </c>
      <c r="F147" s="223">
        <v>4.3101249795785002</v>
      </c>
      <c r="G147" s="185">
        <v>1055291</v>
      </c>
      <c r="H147" s="185">
        <v>2583955.3914285712</v>
      </c>
      <c r="I147" s="195">
        <v>6.4668687132371063E-3</v>
      </c>
    </row>
    <row r="148" spans="1:9" x14ac:dyDescent="0.35">
      <c r="A148" s="177" t="s">
        <v>77</v>
      </c>
      <c r="B148" s="184">
        <v>209199</v>
      </c>
      <c r="C148" s="184">
        <v>53302</v>
      </c>
      <c r="D148" s="225">
        <v>0.25479089288189716</v>
      </c>
      <c r="E148" s="237">
        <v>2.3367980070923582</v>
      </c>
      <c r="F148" s="224">
        <v>4.0790659825147273</v>
      </c>
      <c r="G148" s="184">
        <v>1739379</v>
      </c>
      <c r="H148" s="184">
        <v>4064577.3807782987</v>
      </c>
      <c r="I148" s="194">
        <v>1.0172423403081419E-2</v>
      </c>
    </row>
    <row r="149" spans="1:9" x14ac:dyDescent="0.35">
      <c r="A149" s="176" t="s">
        <v>255</v>
      </c>
      <c r="B149" s="185">
        <v>209199</v>
      </c>
      <c r="C149" s="185">
        <v>53302</v>
      </c>
      <c r="D149" s="197">
        <v>0.25479089288189716</v>
      </c>
      <c r="E149" s="198">
        <v>2.3367980070923582</v>
      </c>
      <c r="F149" s="223">
        <v>4.0790659825147273</v>
      </c>
      <c r="G149" s="185">
        <v>1739379</v>
      </c>
      <c r="H149" s="185">
        <v>4064577.3807782987</v>
      </c>
      <c r="I149" s="195">
        <v>1.0172423403081419E-2</v>
      </c>
    </row>
    <row r="150" spans="1:9" x14ac:dyDescent="0.35">
      <c r="A150" s="177" t="s">
        <v>80</v>
      </c>
      <c r="B150" s="184">
        <v>4841</v>
      </c>
      <c r="C150" s="184">
        <v>907</v>
      </c>
      <c r="D150" s="225">
        <v>0.18735798388762653</v>
      </c>
      <c r="E150" s="237">
        <v>2.4485714285714284</v>
      </c>
      <c r="F150" s="224">
        <v>3.9589305402425579</v>
      </c>
      <c r="G150" s="184">
        <v>28726</v>
      </c>
      <c r="H150" s="184">
        <v>70337.662857142859</v>
      </c>
      <c r="I150" s="194">
        <v>1.7603416560593157E-4</v>
      </c>
    </row>
    <row r="151" spans="1:9" x14ac:dyDescent="0.35">
      <c r="A151" s="176" t="s">
        <v>249</v>
      </c>
      <c r="B151" s="185">
        <v>4841</v>
      </c>
      <c r="C151" s="185">
        <v>907</v>
      </c>
      <c r="D151" s="197">
        <v>0.18735798388762653</v>
      </c>
      <c r="E151" s="198">
        <v>2.4485714285714284</v>
      </c>
      <c r="F151" s="223">
        <v>3.9589305402425579</v>
      </c>
      <c r="G151" s="185">
        <v>28726</v>
      </c>
      <c r="H151" s="185">
        <v>70337.662857142859</v>
      </c>
      <c r="I151" s="195">
        <v>1.7603416560593157E-4</v>
      </c>
    </row>
    <row r="152" spans="1:9" x14ac:dyDescent="0.35">
      <c r="A152" s="177" t="s">
        <v>81</v>
      </c>
      <c r="B152" s="184">
        <v>9265</v>
      </c>
      <c r="C152" s="184">
        <v>3612</v>
      </c>
      <c r="D152" s="225">
        <v>0.3898542903399892</v>
      </c>
      <c r="E152" s="237">
        <v>2.0612686762778507</v>
      </c>
      <c r="F152" s="224">
        <v>3.7763704318936879</v>
      </c>
      <c r="G152" s="184">
        <v>109122</v>
      </c>
      <c r="H152" s="184">
        <v>224929.76049279163</v>
      </c>
      <c r="I152" s="194">
        <v>5.6293202105263949E-4</v>
      </c>
    </row>
    <row r="153" spans="1:9" x14ac:dyDescent="0.35">
      <c r="A153" s="176" t="s">
        <v>248</v>
      </c>
      <c r="B153" s="185">
        <v>9265</v>
      </c>
      <c r="C153" s="185">
        <v>3612</v>
      </c>
      <c r="D153" s="197">
        <v>0.3898542903399892</v>
      </c>
      <c r="E153" s="198">
        <v>2.0612686762778507</v>
      </c>
      <c r="F153" s="223">
        <v>3.7763704318936879</v>
      </c>
      <c r="G153" s="185">
        <v>109122</v>
      </c>
      <c r="H153" s="185">
        <v>224929.76049279163</v>
      </c>
      <c r="I153" s="195">
        <v>5.6293202105263949E-4</v>
      </c>
    </row>
    <row r="154" spans="1:9" x14ac:dyDescent="0.35">
      <c r="A154" s="177" t="s">
        <v>82</v>
      </c>
      <c r="B154" s="184">
        <v>106597</v>
      </c>
      <c r="C154" s="184">
        <v>18275</v>
      </c>
      <c r="D154" s="225">
        <v>0.17144009681323114</v>
      </c>
      <c r="E154" s="237">
        <v>2.4485714285714284</v>
      </c>
      <c r="F154" s="224">
        <v>3.9483652530779754</v>
      </c>
      <c r="G154" s="184">
        <v>577251</v>
      </c>
      <c r="H154" s="184">
        <v>1413440.3057142857</v>
      </c>
      <c r="I154" s="194">
        <v>3.5374189977786536E-3</v>
      </c>
    </row>
    <row r="155" spans="1:9" x14ac:dyDescent="0.35">
      <c r="A155" s="176" t="s">
        <v>247</v>
      </c>
      <c r="B155" s="185">
        <v>106597</v>
      </c>
      <c r="C155" s="185">
        <v>18275</v>
      </c>
      <c r="D155" s="197">
        <v>0.17144009681323114</v>
      </c>
      <c r="E155" s="198">
        <v>2.4485714285714284</v>
      </c>
      <c r="F155" s="223">
        <v>3.9483652530779754</v>
      </c>
      <c r="G155" s="185">
        <v>577251</v>
      </c>
      <c r="H155" s="185">
        <v>1413440.3057142857</v>
      </c>
      <c r="I155" s="195">
        <v>3.5374189977786536E-3</v>
      </c>
    </row>
    <row r="156" spans="1:9" x14ac:dyDescent="0.35">
      <c r="A156" s="177" t="s">
        <v>83</v>
      </c>
      <c r="B156" s="184">
        <v>126706</v>
      </c>
      <c r="C156" s="184">
        <v>38740</v>
      </c>
      <c r="D156" s="225">
        <v>0.30574716272315439</v>
      </c>
      <c r="E156" s="237">
        <v>2.2328472166161935</v>
      </c>
      <c r="F156" s="224">
        <v>4.3229414042333509</v>
      </c>
      <c r="G156" s="184">
        <v>1339766</v>
      </c>
      <c r="H156" s="184">
        <v>2991492.7840170111</v>
      </c>
      <c r="I156" s="194">
        <v>7.4868131063743834E-3</v>
      </c>
    </row>
    <row r="157" spans="1:9" x14ac:dyDescent="0.35">
      <c r="A157" s="176" t="s">
        <v>246</v>
      </c>
      <c r="B157" s="185">
        <v>126706</v>
      </c>
      <c r="C157" s="185">
        <v>38740</v>
      </c>
      <c r="D157" s="197">
        <v>0.30574716272315439</v>
      </c>
      <c r="E157" s="198">
        <v>2.2328472166161935</v>
      </c>
      <c r="F157" s="223">
        <v>4.3229414042333509</v>
      </c>
      <c r="G157" s="185">
        <v>1339766</v>
      </c>
      <c r="H157" s="185">
        <v>2991492.7840170111</v>
      </c>
      <c r="I157" s="195">
        <v>7.4868131063743834E-3</v>
      </c>
    </row>
    <row r="158" spans="1:9" ht="23" x14ac:dyDescent="0.35">
      <c r="A158" s="177" t="s">
        <v>523</v>
      </c>
      <c r="B158" s="184">
        <v>6321</v>
      </c>
      <c r="C158" s="184">
        <v>1895</v>
      </c>
      <c r="D158" s="225">
        <v>0.29979433633918684</v>
      </c>
      <c r="E158" s="237">
        <v>2.2449909824394876</v>
      </c>
      <c r="F158" s="224">
        <v>3.7470976253298152</v>
      </c>
      <c r="G158" s="184">
        <v>56806</v>
      </c>
      <c r="H158" s="184">
        <v>127528.95774845753</v>
      </c>
      <c r="I158" s="194">
        <v>3.191668980164879E-4</v>
      </c>
    </row>
    <row r="159" spans="1:9" x14ac:dyDescent="0.35">
      <c r="A159" s="176" t="s">
        <v>245</v>
      </c>
      <c r="B159" s="185">
        <v>6321</v>
      </c>
      <c r="C159" s="185">
        <v>1895</v>
      </c>
      <c r="D159" s="197">
        <v>0.29979433633918684</v>
      </c>
      <c r="E159" s="198">
        <v>2.2449909824394876</v>
      </c>
      <c r="F159" s="223">
        <v>3.7470976253298152</v>
      </c>
      <c r="G159" s="185">
        <v>56806</v>
      </c>
      <c r="H159" s="185">
        <v>127528.95774845753</v>
      </c>
      <c r="I159" s="195">
        <v>3.191668980164879E-4</v>
      </c>
    </row>
    <row r="160" spans="1:9" x14ac:dyDescent="0.35">
      <c r="A160" s="177" t="s">
        <v>85</v>
      </c>
      <c r="B160" s="184">
        <v>791906</v>
      </c>
      <c r="C160" s="184">
        <v>169803</v>
      </c>
      <c r="D160" s="225">
        <v>0.21442317648811854</v>
      </c>
      <c r="E160" s="237">
        <v>2.4191481485356667</v>
      </c>
      <c r="F160" s="224">
        <v>4.0503561480068075</v>
      </c>
      <c r="G160" s="184">
        <v>5502101</v>
      </c>
      <c r="H160" s="184">
        <v>13310397.44720624</v>
      </c>
      <c r="I160" s="194">
        <v>3.3311950004098402E-2</v>
      </c>
    </row>
    <row r="161" spans="1:9" x14ac:dyDescent="0.35">
      <c r="A161" s="176" t="s">
        <v>252</v>
      </c>
      <c r="B161" s="185">
        <v>791906</v>
      </c>
      <c r="C161" s="185">
        <v>169803</v>
      </c>
      <c r="D161" s="197">
        <v>0.21442317648811854</v>
      </c>
      <c r="E161" s="198">
        <v>2.4191481485356667</v>
      </c>
      <c r="F161" s="223">
        <v>4.0503561480068075</v>
      </c>
      <c r="G161" s="185">
        <v>5502101</v>
      </c>
      <c r="H161" s="185">
        <v>13310397.44720624</v>
      </c>
      <c r="I161" s="195">
        <v>3.3311950004098402E-2</v>
      </c>
    </row>
    <row r="162" spans="1:9" ht="23" x14ac:dyDescent="0.35">
      <c r="A162" s="177" t="s">
        <v>516</v>
      </c>
      <c r="B162" s="184">
        <v>30162</v>
      </c>
      <c r="C162" s="184">
        <v>11779</v>
      </c>
      <c r="D162" s="225">
        <v>0.3905245010277833</v>
      </c>
      <c r="E162" s="237">
        <v>2.0599014464747505</v>
      </c>
      <c r="F162" s="224">
        <v>4.0067174632821123</v>
      </c>
      <c r="G162" s="184">
        <v>377561</v>
      </c>
      <c r="H162" s="184">
        <v>777738.45003245329</v>
      </c>
      <c r="I162" s="194">
        <v>1.9464470889397803E-3</v>
      </c>
    </row>
    <row r="163" spans="1:9" x14ac:dyDescent="0.35">
      <c r="A163" s="176" t="s">
        <v>242</v>
      </c>
      <c r="B163" s="185">
        <v>30162</v>
      </c>
      <c r="C163" s="185">
        <v>11779</v>
      </c>
      <c r="D163" s="197">
        <v>0.3905245010277833</v>
      </c>
      <c r="E163" s="198">
        <v>2.0599014464747505</v>
      </c>
      <c r="F163" s="223">
        <v>4.0067174632821123</v>
      </c>
      <c r="G163" s="185">
        <v>377561</v>
      </c>
      <c r="H163" s="185">
        <v>777738.45003245329</v>
      </c>
      <c r="I163" s="195">
        <v>1.9464470889397803E-3</v>
      </c>
    </row>
    <row r="164" spans="1:9" x14ac:dyDescent="0.35">
      <c r="A164" s="177" t="s">
        <v>87</v>
      </c>
      <c r="B164" s="184">
        <v>2514</v>
      </c>
      <c r="C164" s="184">
        <v>523</v>
      </c>
      <c r="D164" s="225">
        <v>0.20803500397772473</v>
      </c>
      <c r="E164" s="237">
        <v>2.4321800204568698</v>
      </c>
      <c r="F164" s="224">
        <v>3.745697896749522</v>
      </c>
      <c r="G164" s="184">
        <v>15672</v>
      </c>
      <c r="H164" s="184">
        <v>38117.125280600063</v>
      </c>
      <c r="I164" s="194">
        <v>9.5395781882818043E-5</v>
      </c>
    </row>
    <row r="165" spans="1:9" x14ac:dyDescent="0.35">
      <c r="A165" s="176" t="s">
        <v>241</v>
      </c>
      <c r="B165" s="185">
        <v>2514</v>
      </c>
      <c r="C165" s="185">
        <v>523</v>
      </c>
      <c r="D165" s="197">
        <v>0.20803500397772473</v>
      </c>
      <c r="E165" s="198">
        <v>2.4321800204568698</v>
      </c>
      <c r="F165" s="223">
        <v>3.745697896749522</v>
      </c>
      <c r="G165" s="185">
        <v>15672</v>
      </c>
      <c r="H165" s="185">
        <v>38117.125280600063</v>
      </c>
      <c r="I165" s="195">
        <v>9.5395781882818043E-5</v>
      </c>
    </row>
    <row r="166" spans="1:9" ht="23" x14ac:dyDescent="0.35">
      <c r="A166" s="177" t="s">
        <v>88</v>
      </c>
      <c r="B166" s="184">
        <v>18207</v>
      </c>
      <c r="C166" s="184">
        <v>2132</v>
      </c>
      <c r="D166" s="225">
        <v>0.11709781951996485</v>
      </c>
      <c r="E166" s="237">
        <v>2.4485714285714284</v>
      </c>
      <c r="F166" s="224">
        <v>4.2268409943714822</v>
      </c>
      <c r="G166" s="184">
        <v>72093</v>
      </c>
      <c r="H166" s="184">
        <v>176524.86</v>
      </c>
      <c r="I166" s="194">
        <v>4.4178900999193842E-4</v>
      </c>
    </row>
    <row r="167" spans="1:9" x14ac:dyDescent="0.35">
      <c r="A167" s="176" t="s">
        <v>240</v>
      </c>
      <c r="B167" s="185">
        <v>18207</v>
      </c>
      <c r="C167" s="185">
        <v>2132</v>
      </c>
      <c r="D167" s="197">
        <v>0.11709781951996485</v>
      </c>
      <c r="E167" s="198">
        <v>2.4485714285714284</v>
      </c>
      <c r="F167" s="223">
        <v>4.2268409943714822</v>
      </c>
      <c r="G167" s="185">
        <v>72093</v>
      </c>
      <c r="H167" s="185">
        <v>176524.86</v>
      </c>
      <c r="I167" s="195">
        <v>4.4178900999193842E-4</v>
      </c>
    </row>
    <row r="168" spans="1:9" x14ac:dyDescent="0.35">
      <c r="A168" s="177" t="s">
        <v>89</v>
      </c>
      <c r="B168" s="184">
        <v>10175</v>
      </c>
      <c r="C168" s="184">
        <v>7911</v>
      </c>
      <c r="D168" s="225">
        <v>0.77749385749385747</v>
      </c>
      <c r="E168" s="237">
        <v>1.286183794716218</v>
      </c>
      <c r="F168" s="224">
        <v>4.778978637340412</v>
      </c>
      <c r="G168" s="184">
        <v>302452</v>
      </c>
      <c r="H168" s="184">
        <v>389008.86107950954</v>
      </c>
      <c r="I168" s="194">
        <v>9.735730118375851E-4</v>
      </c>
    </row>
    <row r="169" spans="1:9" x14ac:dyDescent="0.35">
      <c r="A169" s="176" t="s">
        <v>244</v>
      </c>
      <c r="B169" s="185">
        <v>10175</v>
      </c>
      <c r="C169" s="185">
        <v>7911</v>
      </c>
      <c r="D169" s="197">
        <v>0.77749385749385747</v>
      </c>
      <c r="E169" s="198">
        <v>1.286183794716218</v>
      </c>
      <c r="F169" s="223">
        <v>4.778978637340412</v>
      </c>
      <c r="G169" s="185">
        <v>302452</v>
      </c>
      <c r="H169" s="185">
        <v>389008.86107950954</v>
      </c>
      <c r="I169" s="195">
        <v>9.735730118375851E-4</v>
      </c>
    </row>
    <row r="170" spans="1:9" x14ac:dyDescent="0.35">
      <c r="A170" s="177" t="s">
        <v>90</v>
      </c>
      <c r="B170" s="184">
        <v>3726</v>
      </c>
      <c r="C170" s="184">
        <v>1174</v>
      </c>
      <c r="D170" s="225">
        <v>0.31508319914117017</v>
      </c>
      <c r="E170" s="237">
        <v>2.2138017023234413</v>
      </c>
      <c r="F170" s="224">
        <v>4.0785775127768318</v>
      </c>
      <c r="G170" s="184">
        <v>38306</v>
      </c>
      <c r="H170" s="184">
        <v>84801.88800920175</v>
      </c>
      <c r="I170" s="194">
        <v>2.1223380179444685E-4</v>
      </c>
    </row>
    <row r="171" spans="1:9" x14ac:dyDescent="0.35">
      <c r="A171" s="176" t="s">
        <v>243</v>
      </c>
      <c r="B171" s="185">
        <v>3726</v>
      </c>
      <c r="C171" s="185">
        <v>1174</v>
      </c>
      <c r="D171" s="197">
        <v>0.31508319914117017</v>
      </c>
      <c r="E171" s="198">
        <v>2.2138017023234413</v>
      </c>
      <c r="F171" s="223">
        <v>4.0785775127768318</v>
      </c>
      <c r="G171" s="185">
        <v>38306</v>
      </c>
      <c r="H171" s="185">
        <v>84801.88800920175</v>
      </c>
      <c r="I171" s="195">
        <v>2.1223380179444685E-4</v>
      </c>
    </row>
    <row r="172" spans="1:9" ht="23" x14ac:dyDescent="0.35">
      <c r="A172" s="177" t="s">
        <v>91</v>
      </c>
      <c r="B172" s="184">
        <v>28855</v>
      </c>
      <c r="C172" s="184">
        <v>6130</v>
      </c>
      <c r="D172" s="225">
        <v>0.21244151793450008</v>
      </c>
      <c r="E172" s="237">
        <v>2.4231907319850485</v>
      </c>
      <c r="F172" s="224">
        <v>4.2549143556280589</v>
      </c>
      <c r="G172" s="184">
        <v>208661</v>
      </c>
      <c r="H172" s="184">
        <v>505625.40132673219</v>
      </c>
      <c r="I172" s="194">
        <v>1.2654293875599934E-3</v>
      </c>
    </row>
    <row r="173" spans="1:9" x14ac:dyDescent="0.35">
      <c r="A173" s="176" t="s">
        <v>238</v>
      </c>
      <c r="B173" s="185">
        <v>28855</v>
      </c>
      <c r="C173" s="185">
        <v>6130</v>
      </c>
      <c r="D173" s="197">
        <v>0.21244151793450008</v>
      </c>
      <c r="E173" s="198">
        <v>2.4231907319850485</v>
      </c>
      <c r="F173" s="223">
        <v>4.2549143556280589</v>
      </c>
      <c r="G173" s="185">
        <v>208661</v>
      </c>
      <c r="H173" s="185">
        <v>505625.40132673219</v>
      </c>
      <c r="I173" s="195">
        <v>1.2654293875599934E-3</v>
      </c>
    </row>
    <row r="174" spans="1:9" x14ac:dyDescent="0.35">
      <c r="A174" s="177" t="s">
        <v>92</v>
      </c>
      <c r="B174" s="184">
        <v>236467</v>
      </c>
      <c r="C174" s="184">
        <v>58432</v>
      </c>
      <c r="D174" s="225">
        <v>0.24710424710424711</v>
      </c>
      <c r="E174" s="237">
        <v>2.3524787644787644</v>
      </c>
      <c r="F174" s="224">
        <v>4.0956132769715223</v>
      </c>
      <c r="G174" s="184">
        <v>1914519</v>
      </c>
      <c r="H174" s="184">
        <v>4503865.2916911198</v>
      </c>
      <c r="I174" s="194">
        <v>1.1271829862112753E-2</v>
      </c>
    </row>
    <row r="175" spans="1:9" x14ac:dyDescent="0.35">
      <c r="A175" s="176" t="s">
        <v>237</v>
      </c>
      <c r="B175" s="185">
        <v>236467</v>
      </c>
      <c r="C175" s="185">
        <v>58432</v>
      </c>
      <c r="D175" s="197">
        <v>0.24710424710424711</v>
      </c>
      <c r="E175" s="198">
        <v>2.3524787644787644</v>
      </c>
      <c r="F175" s="223">
        <v>4.0956132769715223</v>
      </c>
      <c r="G175" s="185">
        <v>1914519</v>
      </c>
      <c r="H175" s="185">
        <v>4503865.2916911198</v>
      </c>
      <c r="I175" s="195">
        <v>1.1271829862112753E-2</v>
      </c>
    </row>
    <row r="176" spans="1:9" x14ac:dyDescent="0.35">
      <c r="A176" s="177" t="s">
        <v>93</v>
      </c>
      <c r="B176" s="184">
        <v>3963</v>
      </c>
      <c r="C176" s="184">
        <v>945</v>
      </c>
      <c r="D176" s="225">
        <v>0.2384557153671461</v>
      </c>
      <c r="E176" s="237">
        <v>2.3701217692224503</v>
      </c>
      <c r="F176" s="224">
        <v>4.0250000000000004</v>
      </c>
      <c r="G176" s="184">
        <v>30429</v>
      </c>
      <c r="H176" s="184">
        <v>72120.435315669936</v>
      </c>
      <c r="I176" s="194">
        <v>1.804959126906967E-4</v>
      </c>
    </row>
    <row r="177" spans="1:9" x14ac:dyDescent="0.35">
      <c r="A177" s="176" t="s">
        <v>236</v>
      </c>
      <c r="B177" s="185">
        <v>3963</v>
      </c>
      <c r="C177" s="185">
        <v>945</v>
      </c>
      <c r="D177" s="197">
        <v>0.2384557153671461</v>
      </c>
      <c r="E177" s="198">
        <v>2.3701217692224503</v>
      </c>
      <c r="F177" s="223">
        <v>4.0250000000000004</v>
      </c>
      <c r="G177" s="185">
        <v>30429</v>
      </c>
      <c r="H177" s="185">
        <v>72120.435315669936</v>
      </c>
      <c r="I177" s="195">
        <v>1.804959126906967E-4</v>
      </c>
    </row>
    <row r="178" spans="1:9" x14ac:dyDescent="0.35">
      <c r="A178" s="177" t="s">
        <v>456</v>
      </c>
      <c r="B178" s="184">
        <v>381636</v>
      </c>
      <c r="C178" s="184">
        <v>31355</v>
      </c>
      <c r="D178" s="225">
        <v>8.215943988512614E-2</v>
      </c>
      <c r="E178" s="237">
        <v>2.4485714285714284</v>
      </c>
      <c r="F178" s="224">
        <v>4.1014152447775478</v>
      </c>
      <c r="G178" s="184">
        <v>1028799</v>
      </c>
      <c r="H178" s="184">
        <v>2519087.8371428568</v>
      </c>
      <c r="I178" s="194">
        <v>6.3045245958788815E-3</v>
      </c>
    </row>
    <row r="179" spans="1:9" x14ac:dyDescent="0.35">
      <c r="A179" s="176" t="s">
        <v>259</v>
      </c>
      <c r="B179" s="185">
        <v>381636</v>
      </c>
      <c r="C179" s="185">
        <v>31355</v>
      </c>
      <c r="D179" s="197">
        <v>8.215943988512614E-2</v>
      </c>
      <c r="E179" s="198">
        <v>2.4485714285714284</v>
      </c>
      <c r="F179" s="223">
        <v>4.1014152447775478</v>
      </c>
      <c r="G179" s="185">
        <v>1028799</v>
      </c>
      <c r="H179" s="185">
        <v>2519087.8371428568</v>
      </c>
      <c r="I179" s="195">
        <v>6.3045245958788815E-3</v>
      </c>
    </row>
    <row r="180" spans="1:9" x14ac:dyDescent="0.35">
      <c r="A180" s="177" t="s">
        <v>94</v>
      </c>
      <c r="B180" s="184">
        <v>10392</v>
      </c>
      <c r="C180" s="184">
        <v>2921</v>
      </c>
      <c r="D180" s="225">
        <v>0.28108160123171672</v>
      </c>
      <c r="E180" s="237">
        <v>2.2831649620587262</v>
      </c>
      <c r="F180" s="224">
        <v>3.8752567613830879</v>
      </c>
      <c r="G180" s="184">
        <v>90557</v>
      </c>
      <c r="H180" s="184">
        <v>206756.56946915208</v>
      </c>
      <c r="I180" s="194">
        <v>5.1744995087437621E-4</v>
      </c>
    </row>
    <row r="181" spans="1:9" x14ac:dyDescent="0.35">
      <c r="A181" s="176" t="s">
        <v>235</v>
      </c>
      <c r="B181" s="185">
        <v>10392</v>
      </c>
      <c r="C181" s="185">
        <v>2921</v>
      </c>
      <c r="D181" s="197">
        <v>0.28108160123171672</v>
      </c>
      <c r="E181" s="198">
        <v>2.2831649620587262</v>
      </c>
      <c r="F181" s="223">
        <v>3.8752567613830879</v>
      </c>
      <c r="G181" s="185">
        <v>90557</v>
      </c>
      <c r="H181" s="185">
        <v>206756.56946915208</v>
      </c>
      <c r="I181" s="195">
        <v>5.1744995087437621E-4</v>
      </c>
    </row>
    <row r="182" spans="1:9" x14ac:dyDescent="0.35">
      <c r="A182" s="177" t="s">
        <v>95</v>
      </c>
      <c r="B182" s="184">
        <v>5069</v>
      </c>
      <c r="C182" s="184">
        <v>1585</v>
      </c>
      <c r="D182" s="225">
        <v>0.31268494772144406</v>
      </c>
      <c r="E182" s="237">
        <v>2.2186941352196827</v>
      </c>
      <c r="F182" s="224">
        <v>4.1652996845425871</v>
      </c>
      <c r="G182" s="184">
        <v>52816</v>
      </c>
      <c r="H182" s="184">
        <v>117182.54944576276</v>
      </c>
      <c r="I182" s="194">
        <v>2.9327292772233279E-4</v>
      </c>
    </row>
    <row r="183" spans="1:9" x14ac:dyDescent="0.35">
      <c r="A183" s="176" t="s">
        <v>234</v>
      </c>
      <c r="B183" s="185">
        <v>5069</v>
      </c>
      <c r="C183" s="185">
        <v>1585</v>
      </c>
      <c r="D183" s="197">
        <v>0.31268494772144406</v>
      </c>
      <c r="E183" s="198">
        <v>2.2186941352196827</v>
      </c>
      <c r="F183" s="223">
        <v>4.1652996845425871</v>
      </c>
      <c r="G183" s="185">
        <v>52816</v>
      </c>
      <c r="H183" s="185">
        <v>117182.54944576276</v>
      </c>
      <c r="I183" s="195">
        <v>2.9327292772233279E-4</v>
      </c>
    </row>
    <row r="184" spans="1:9" x14ac:dyDescent="0.35">
      <c r="A184" s="177" t="s">
        <v>96</v>
      </c>
      <c r="B184" s="184">
        <v>418653</v>
      </c>
      <c r="C184" s="184">
        <v>106392</v>
      </c>
      <c r="D184" s="225">
        <v>0.25412931473081524</v>
      </c>
      <c r="E184" s="237">
        <v>2.3381476265205654</v>
      </c>
      <c r="F184" s="224">
        <v>4.0716736220768475</v>
      </c>
      <c r="G184" s="184">
        <v>3465548</v>
      </c>
      <c r="H184" s="184">
        <v>8102962.830793092</v>
      </c>
      <c r="I184" s="194">
        <v>2.0279296225005111E-2</v>
      </c>
    </row>
    <row r="185" spans="1:9" x14ac:dyDescent="0.35">
      <c r="A185" s="176" t="s">
        <v>233</v>
      </c>
      <c r="B185" s="185">
        <v>418653</v>
      </c>
      <c r="C185" s="185">
        <v>106392</v>
      </c>
      <c r="D185" s="197">
        <v>0.25412931473081524</v>
      </c>
      <c r="E185" s="198">
        <v>2.3381476265205654</v>
      </c>
      <c r="F185" s="223">
        <v>4.0716736220768475</v>
      </c>
      <c r="G185" s="185">
        <v>3465548</v>
      </c>
      <c r="H185" s="185">
        <v>8102962.830793092</v>
      </c>
      <c r="I185" s="195">
        <v>2.0279296225005111E-2</v>
      </c>
    </row>
    <row r="186" spans="1:9" x14ac:dyDescent="0.35">
      <c r="A186" s="177" t="s">
        <v>97</v>
      </c>
      <c r="B186" s="184">
        <v>232049</v>
      </c>
      <c r="C186" s="184">
        <v>53897</v>
      </c>
      <c r="D186" s="225">
        <v>0.23226559907605721</v>
      </c>
      <c r="E186" s="237">
        <v>2.3827496064562719</v>
      </c>
      <c r="F186" s="224">
        <v>4.046398686383287</v>
      </c>
      <c r="G186" s="184">
        <v>1744710</v>
      </c>
      <c r="H186" s="184">
        <v>4157207.0658803219</v>
      </c>
      <c r="I186" s="194">
        <v>1.0404247843429864E-2</v>
      </c>
    </row>
    <row r="187" spans="1:9" x14ac:dyDescent="0.35">
      <c r="A187" s="176" t="s">
        <v>231</v>
      </c>
      <c r="B187" s="185">
        <v>232049</v>
      </c>
      <c r="C187" s="185">
        <v>53897</v>
      </c>
      <c r="D187" s="197">
        <v>0.23226559907605721</v>
      </c>
      <c r="E187" s="198">
        <v>2.3827496064562719</v>
      </c>
      <c r="F187" s="223">
        <v>4.046398686383287</v>
      </c>
      <c r="G187" s="185">
        <v>1744710</v>
      </c>
      <c r="H187" s="185">
        <v>4157207.0658803219</v>
      </c>
      <c r="I187" s="195">
        <v>1.0404247843429864E-2</v>
      </c>
    </row>
    <row r="188" spans="1:9" x14ac:dyDescent="0.35">
      <c r="A188" s="177" t="s">
        <v>98</v>
      </c>
      <c r="B188" s="184">
        <v>606842</v>
      </c>
      <c r="C188" s="184">
        <v>143609</v>
      </c>
      <c r="D188" s="225">
        <v>0.2366497374934497</v>
      </c>
      <c r="E188" s="237">
        <v>2.3738059640847911</v>
      </c>
      <c r="F188" s="224">
        <v>4.0395335598743811</v>
      </c>
      <c r="G188" s="184">
        <v>4640907</v>
      </c>
      <c r="H188" s="184">
        <v>11016612.715362856</v>
      </c>
      <c r="I188" s="194">
        <v>2.7571291799833503E-2</v>
      </c>
    </row>
    <row r="189" spans="1:9" x14ac:dyDescent="0.35">
      <c r="A189" s="176" t="s">
        <v>230</v>
      </c>
      <c r="B189" s="185">
        <v>606842</v>
      </c>
      <c r="C189" s="185">
        <v>143609</v>
      </c>
      <c r="D189" s="197">
        <v>0.2366497374934497</v>
      </c>
      <c r="E189" s="198">
        <v>2.3738059640847911</v>
      </c>
      <c r="F189" s="223">
        <v>4.0395335598743811</v>
      </c>
      <c r="G189" s="185">
        <v>4640907</v>
      </c>
      <c r="H189" s="185">
        <v>11016612.715362856</v>
      </c>
      <c r="I189" s="195">
        <v>2.7571291799833503E-2</v>
      </c>
    </row>
    <row r="190" spans="1:9" x14ac:dyDescent="0.35">
      <c r="A190" s="177" t="s">
        <v>99</v>
      </c>
      <c r="B190" s="184">
        <v>557862</v>
      </c>
      <c r="C190" s="184">
        <v>131394</v>
      </c>
      <c r="D190" s="225">
        <v>0.23553136797272445</v>
      </c>
      <c r="E190" s="237">
        <v>2.3760874379070707</v>
      </c>
      <c r="F190" s="224">
        <v>4.2285911076609279</v>
      </c>
      <c r="G190" s="184">
        <v>4444892</v>
      </c>
      <c r="H190" s="184">
        <v>10561452.044053635</v>
      </c>
      <c r="I190" s="194">
        <v>2.6432160561519719E-2</v>
      </c>
    </row>
    <row r="191" spans="1:9" x14ac:dyDescent="0.35">
      <c r="A191" s="176" t="s">
        <v>229</v>
      </c>
      <c r="B191" s="185">
        <v>557862</v>
      </c>
      <c r="C191" s="185">
        <v>131394</v>
      </c>
      <c r="D191" s="197">
        <v>0.23553136797272445</v>
      </c>
      <c r="E191" s="198">
        <v>2.3760874379070707</v>
      </c>
      <c r="F191" s="223">
        <v>4.2285911076609279</v>
      </c>
      <c r="G191" s="185">
        <v>4444892</v>
      </c>
      <c r="H191" s="185">
        <v>10561452.044053635</v>
      </c>
      <c r="I191" s="195">
        <v>2.6432160561519719E-2</v>
      </c>
    </row>
    <row r="192" spans="1:9" x14ac:dyDescent="0.35">
      <c r="A192" s="177" t="s">
        <v>100</v>
      </c>
      <c r="B192" s="184">
        <v>1125576</v>
      </c>
      <c r="C192" s="184">
        <v>269699</v>
      </c>
      <c r="D192" s="225">
        <v>0.23960976424515093</v>
      </c>
      <c r="E192" s="237">
        <v>2.3677675095113209</v>
      </c>
      <c r="F192" s="224">
        <v>3.9723747585270988</v>
      </c>
      <c r="G192" s="184">
        <v>8570764</v>
      </c>
      <c r="H192" s="184">
        <v>20293576.530889288</v>
      </c>
      <c r="I192" s="194">
        <v>5.0788761904568089E-2</v>
      </c>
    </row>
    <row r="193" spans="1:9" x14ac:dyDescent="0.35">
      <c r="A193" s="176" t="s">
        <v>228</v>
      </c>
      <c r="B193" s="185">
        <v>1125576</v>
      </c>
      <c r="C193" s="185">
        <v>269699</v>
      </c>
      <c r="D193" s="197">
        <v>0.23960976424515093</v>
      </c>
      <c r="E193" s="198">
        <v>2.3677675095113209</v>
      </c>
      <c r="F193" s="223">
        <v>3.9723747585270988</v>
      </c>
      <c r="G193" s="185">
        <v>8570764</v>
      </c>
      <c r="H193" s="185">
        <v>20293576.530889288</v>
      </c>
      <c r="I193" s="195">
        <v>5.0788761904568089E-2</v>
      </c>
    </row>
    <row r="194" spans="1:9" x14ac:dyDescent="0.35">
      <c r="A194" s="177" t="s">
        <v>101</v>
      </c>
      <c r="B194" s="184">
        <v>651522</v>
      </c>
      <c r="C194" s="184">
        <v>148008</v>
      </c>
      <c r="D194" s="225">
        <v>0.22717268181274</v>
      </c>
      <c r="E194" s="237">
        <v>2.3931391576734389</v>
      </c>
      <c r="F194" s="224">
        <v>3.9173059902167449</v>
      </c>
      <c r="G194" s="184">
        <v>4638341</v>
      </c>
      <c r="H194" s="184">
        <v>11100195.473742176</v>
      </c>
      <c r="I194" s="194">
        <v>2.7780474484225916E-2</v>
      </c>
    </row>
    <row r="195" spans="1:9" x14ac:dyDescent="0.35">
      <c r="A195" s="176" t="s">
        <v>227</v>
      </c>
      <c r="B195" s="185">
        <v>651522</v>
      </c>
      <c r="C195" s="185">
        <v>148008</v>
      </c>
      <c r="D195" s="197">
        <v>0.22717268181274</v>
      </c>
      <c r="E195" s="198">
        <v>2.3931391576734389</v>
      </c>
      <c r="F195" s="223">
        <v>3.9173059902167449</v>
      </c>
      <c r="G195" s="185">
        <v>4638341</v>
      </c>
      <c r="H195" s="185">
        <v>11100195.473742176</v>
      </c>
      <c r="I195" s="195">
        <v>2.7780474484225916E-2</v>
      </c>
    </row>
    <row r="196" spans="1:9" x14ac:dyDescent="0.35">
      <c r="A196" s="177" t="s">
        <v>102</v>
      </c>
      <c r="B196" s="184">
        <v>388980</v>
      </c>
      <c r="C196" s="184">
        <v>62847</v>
      </c>
      <c r="D196" s="225">
        <v>0.161568718186025</v>
      </c>
      <c r="E196" s="237">
        <v>2.4485714285714284</v>
      </c>
      <c r="F196" s="224">
        <v>4.0893121390042486</v>
      </c>
      <c r="G196" s="184">
        <v>2056008</v>
      </c>
      <c r="H196" s="184">
        <v>5034282.4457142856</v>
      </c>
      <c r="I196" s="194">
        <v>1.2599305603255593E-2</v>
      </c>
    </row>
    <row r="197" spans="1:9" x14ac:dyDescent="0.35">
      <c r="A197" s="176" t="s">
        <v>226</v>
      </c>
      <c r="B197" s="185">
        <v>388980</v>
      </c>
      <c r="C197" s="185">
        <v>62847</v>
      </c>
      <c r="D197" s="197">
        <v>0.161568718186025</v>
      </c>
      <c r="E197" s="198">
        <v>2.4485714285714284</v>
      </c>
      <c r="F197" s="223">
        <v>4.0893121390042486</v>
      </c>
      <c r="G197" s="185">
        <v>2056008</v>
      </c>
      <c r="H197" s="185">
        <v>5034282.4457142856</v>
      </c>
      <c r="I197" s="195">
        <v>1.2599305603255593E-2</v>
      </c>
    </row>
    <row r="198" spans="1:9" ht="23" x14ac:dyDescent="0.35">
      <c r="A198" s="177" t="s">
        <v>133</v>
      </c>
      <c r="B198" s="184">
        <v>515</v>
      </c>
      <c r="C198" s="184">
        <v>59</v>
      </c>
      <c r="D198" s="225">
        <v>0.1145631067961165</v>
      </c>
      <c r="E198" s="237">
        <v>2.4485714285714284</v>
      </c>
      <c r="F198" s="224">
        <v>4.4639830508474576</v>
      </c>
      <c r="G198" s="184">
        <v>2107</v>
      </c>
      <c r="H198" s="184">
        <v>5159.1399999999994</v>
      </c>
      <c r="I198" s="194">
        <v>1.2911786776150448E-5</v>
      </c>
    </row>
    <row r="199" spans="1:9" x14ac:dyDescent="0.35">
      <c r="A199" s="176" t="s">
        <v>222</v>
      </c>
      <c r="B199" s="185">
        <v>515</v>
      </c>
      <c r="C199" s="185">
        <v>59</v>
      </c>
      <c r="D199" s="197">
        <v>0.1145631067961165</v>
      </c>
      <c r="E199" s="198">
        <v>2.4485714285714284</v>
      </c>
      <c r="F199" s="223">
        <v>4.4639830508474576</v>
      </c>
      <c r="G199" s="185">
        <v>2107</v>
      </c>
      <c r="H199" s="185">
        <v>5159.1399999999994</v>
      </c>
      <c r="I199" s="195">
        <v>1.2911786776150448E-5</v>
      </c>
    </row>
    <row r="200" spans="1:9" ht="23" x14ac:dyDescent="0.35">
      <c r="A200" s="177" t="s">
        <v>488</v>
      </c>
      <c r="B200" s="184">
        <v>15467</v>
      </c>
      <c r="C200" s="184">
        <v>5834</v>
      </c>
      <c r="D200" s="225">
        <v>0.37719014676407836</v>
      </c>
      <c r="E200" s="237">
        <v>2.0871035291727087</v>
      </c>
      <c r="F200" s="224">
        <v>4.1807936235858758</v>
      </c>
      <c r="G200" s="184">
        <v>195126</v>
      </c>
      <c r="H200" s="184">
        <v>407248.16323335393</v>
      </c>
      <c r="I200" s="194">
        <v>1.0192205384323702E-3</v>
      </c>
    </row>
    <row r="201" spans="1:9" x14ac:dyDescent="0.35">
      <c r="A201" s="176" t="s">
        <v>221</v>
      </c>
      <c r="B201" s="185">
        <v>15467</v>
      </c>
      <c r="C201" s="185">
        <v>5834</v>
      </c>
      <c r="D201" s="197">
        <v>0.37719014676407836</v>
      </c>
      <c r="E201" s="198">
        <v>2.0871035291727087</v>
      </c>
      <c r="F201" s="223">
        <v>4.1807936235858758</v>
      </c>
      <c r="G201" s="185">
        <v>195126</v>
      </c>
      <c r="H201" s="185">
        <v>407248.16323335393</v>
      </c>
      <c r="I201" s="195">
        <v>1.0192205384323702E-3</v>
      </c>
    </row>
    <row r="202" spans="1:9" ht="23" x14ac:dyDescent="0.35">
      <c r="A202" s="177" t="s">
        <v>105</v>
      </c>
      <c r="B202" s="184">
        <v>34423</v>
      </c>
      <c r="C202" s="184">
        <v>6251</v>
      </c>
      <c r="D202" s="225">
        <v>0.18159370188536733</v>
      </c>
      <c r="E202" s="237">
        <v>2.4485714285714284</v>
      </c>
      <c r="F202" s="224">
        <v>4.0243161094224922</v>
      </c>
      <c r="G202" s="184">
        <v>201248</v>
      </c>
      <c r="H202" s="184">
        <v>492770.1028571428</v>
      </c>
      <c r="I202" s="194">
        <v>1.2332564143933201E-3</v>
      </c>
    </row>
    <row r="203" spans="1:9" x14ac:dyDescent="0.35">
      <c r="A203" s="176" t="s">
        <v>220</v>
      </c>
      <c r="B203" s="185">
        <v>34423</v>
      </c>
      <c r="C203" s="185">
        <v>6251</v>
      </c>
      <c r="D203" s="197">
        <v>0.18159370188536733</v>
      </c>
      <c r="E203" s="198">
        <v>2.4485714285714284</v>
      </c>
      <c r="F203" s="223">
        <v>4.0243161094224922</v>
      </c>
      <c r="G203" s="185">
        <v>201248</v>
      </c>
      <c r="H203" s="185">
        <v>492770.1028571428</v>
      </c>
      <c r="I203" s="195">
        <v>1.2332564143933201E-3</v>
      </c>
    </row>
    <row r="204" spans="1:9" x14ac:dyDescent="0.35">
      <c r="A204" s="177" t="s">
        <v>106</v>
      </c>
      <c r="B204" s="184">
        <v>63225</v>
      </c>
      <c r="C204" s="184">
        <v>10577</v>
      </c>
      <c r="D204" s="225">
        <v>0.16729141953341242</v>
      </c>
      <c r="E204" s="237">
        <v>2.4485714285714284</v>
      </c>
      <c r="F204" s="224">
        <v>4.2177484163751533</v>
      </c>
      <c r="G204" s="184">
        <v>356889</v>
      </c>
      <c r="H204" s="184">
        <v>873868.20857142855</v>
      </c>
      <c r="I204" s="194">
        <v>2.187031167894427E-3</v>
      </c>
    </row>
    <row r="205" spans="1:9" x14ac:dyDescent="0.35">
      <c r="A205" s="176" t="s">
        <v>219</v>
      </c>
      <c r="B205" s="185">
        <v>63225</v>
      </c>
      <c r="C205" s="185">
        <v>10577</v>
      </c>
      <c r="D205" s="197">
        <v>0.16729141953341242</v>
      </c>
      <c r="E205" s="198">
        <v>2.4485714285714284</v>
      </c>
      <c r="F205" s="223">
        <v>4.2177484163751533</v>
      </c>
      <c r="G205" s="185">
        <v>356889</v>
      </c>
      <c r="H205" s="185">
        <v>873868.20857142855</v>
      </c>
      <c r="I205" s="195">
        <v>2.187031167894427E-3</v>
      </c>
    </row>
    <row r="206" spans="1:9" x14ac:dyDescent="0.35">
      <c r="A206" s="177" t="s">
        <v>453</v>
      </c>
      <c r="B206" s="184">
        <v>19936</v>
      </c>
      <c r="C206" s="184">
        <v>6401</v>
      </c>
      <c r="D206" s="225">
        <v>0.3210774478330658</v>
      </c>
      <c r="E206" s="237">
        <v>2.2015734349919742</v>
      </c>
      <c r="F206" s="224">
        <v>4.2159232932354316</v>
      </c>
      <c r="G206" s="184">
        <v>215889</v>
      </c>
      <c r="H206" s="184">
        <v>475295.48730698234</v>
      </c>
      <c r="I206" s="194">
        <v>1.1895226700136608E-3</v>
      </c>
    </row>
    <row r="207" spans="1:9" x14ac:dyDescent="0.35">
      <c r="A207" s="176" t="s">
        <v>218</v>
      </c>
      <c r="B207" s="185">
        <v>19936</v>
      </c>
      <c r="C207" s="185">
        <v>6401</v>
      </c>
      <c r="D207" s="197">
        <v>0.3210774478330658</v>
      </c>
      <c r="E207" s="198">
        <v>2.2015734349919742</v>
      </c>
      <c r="F207" s="223">
        <v>4.2159232932354316</v>
      </c>
      <c r="G207" s="185">
        <v>215889</v>
      </c>
      <c r="H207" s="185">
        <v>475295.48730698234</v>
      </c>
      <c r="I207" s="195">
        <v>1.1895226700136608E-3</v>
      </c>
    </row>
    <row r="208" spans="1:9" x14ac:dyDescent="0.35">
      <c r="A208" s="177" t="s">
        <v>107</v>
      </c>
      <c r="B208" s="184">
        <v>41120</v>
      </c>
      <c r="C208" s="184">
        <v>6827</v>
      </c>
      <c r="D208" s="225">
        <v>0.16602626459143968</v>
      </c>
      <c r="E208" s="237">
        <v>2.4485714285714284</v>
      </c>
      <c r="F208" s="224">
        <v>4.0371869049362825</v>
      </c>
      <c r="G208" s="184">
        <v>220495</v>
      </c>
      <c r="H208" s="184">
        <v>539897.75714285707</v>
      </c>
      <c r="I208" s="194">
        <v>1.3512028596142824E-3</v>
      </c>
    </row>
    <row r="209" spans="1:9" x14ac:dyDescent="0.35">
      <c r="A209" s="176" t="s">
        <v>217</v>
      </c>
      <c r="B209" s="185">
        <v>41120</v>
      </c>
      <c r="C209" s="185">
        <v>6827</v>
      </c>
      <c r="D209" s="197">
        <v>0.16602626459143968</v>
      </c>
      <c r="E209" s="198">
        <v>2.4485714285714284</v>
      </c>
      <c r="F209" s="223">
        <v>4.0371869049362825</v>
      </c>
      <c r="G209" s="185">
        <v>220495</v>
      </c>
      <c r="H209" s="185">
        <v>539897.75714285707</v>
      </c>
      <c r="I209" s="195">
        <v>1.3512028596142824E-3</v>
      </c>
    </row>
    <row r="210" spans="1:9" ht="23" x14ac:dyDescent="0.35">
      <c r="A210" s="177" t="s">
        <v>108</v>
      </c>
      <c r="B210" s="184">
        <v>58096</v>
      </c>
      <c r="C210" s="184">
        <v>13930</v>
      </c>
      <c r="D210" s="225">
        <v>0.23977554392729275</v>
      </c>
      <c r="E210" s="237">
        <v>2.3674293189597515</v>
      </c>
      <c r="F210" s="224">
        <v>3.9334529791816224</v>
      </c>
      <c r="G210" s="184">
        <v>438344</v>
      </c>
      <c r="H210" s="184">
        <v>1037748.4373900933</v>
      </c>
      <c r="I210" s="194">
        <v>2.5971744420318502E-3</v>
      </c>
    </row>
    <row r="211" spans="1:9" x14ac:dyDescent="0.35">
      <c r="A211" s="176" t="s">
        <v>216</v>
      </c>
      <c r="B211" s="185">
        <v>58096</v>
      </c>
      <c r="C211" s="185">
        <v>13930</v>
      </c>
      <c r="D211" s="197">
        <v>0.23977554392729275</v>
      </c>
      <c r="E211" s="198">
        <v>2.3674293189597515</v>
      </c>
      <c r="F211" s="223">
        <v>3.9334529791816224</v>
      </c>
      <c r="G211" s="185">
        <v>438344</v>
      </c>
      <c r="H211" s="185">
        <v>1037748.4373900933</v>
      </c>
      <c r="I211" s="195">
        <v>2.5971744420318502E-3</v>
      </c>
    </row>
    <row r="212" spans="1:9" ht="23" x14ac:dyDescent="0.35">
      <c r="A212" s="177" t="s">
        <v>109</v>
      </c>
      <c r="B212" s="184">
        <v>212367</v>
      </c>
      <c r="C212" s="184">
        <v>66444</v>
      </c>
      <c r="D212" s="225">
        <v>0.3128734690418003</v>
      </c>
      <c r="E212" s="237">
        <v>2.218309551726156</v>
      </c>
      <c r="F212" s="224">
        <v>4.0414992324363377</v>
      </c>
      <c r="G212" s="184">
        <v>2148267</v>
      </c>
      <c r="H212" s="184">
        <v>4765521.2057580939</v>
      </c>
      <c r="I212" s="194">
        <v>1.1926676478244804E-2</v>
      </c>
    </row>
    <row r="213" spans="1:9" x14ac:dyDescent="0.35">
      <c r="A213" s="176" t="s">
        <v>215</v>
      </c>
      <c r="B213" s="185">
        <v>212367</v>
      </c>
      <c r="C213" s="185">
        <v>66444</v>
      </c>
      <c r="D213" s="197">
        <v>0.3128734690418003</v>
      </c>
      <c r="E213" s="198">
        <v>2.218309551726156</v>
      </c>
      <c r="F213" s="223">
        <v>4.0414992324363377</v>
      </c>
      <c r="G213" s="185">
        <v>2148267</v>
      </c>
      <c r="H213" s="185">
        <v>4765521.2057580939</v>
      </c>
      <c r="I213" s="195">
        <v>1.1926676478244804E-2</v>
      </c>
    </row>
    <row r="214" spans="1:9" x14ac:dyDescent="0.35">
      <c r="A214" s="177" t="s">
        <v>110</v>
      </c>
      <c r="B214" s="184">
        <v>240072</v>
      </c>
      <c r="C214" s="184">
        <v>35115</v>
      </c>
      <c r="D214" s="225">
        <v>0.14626861941417574</v>
      </c>
      <c r="E214" s="237">
        <v>2.4485714285714284</v>
      </c>
      <c r="F214" s="224">
        <v>4.0696888793962698</v>
      </c>
      <c r="G214" s="184">
        <v>1143257</v>
      </c>
      <c r="H214" s="184">
        <v>2799346.4257142856</v>
      </c>
      <c r="I214" s="194">
        <v>7.0059281510875338E-3</v>
      </c>
    </row>
    <row r="215" spans="1:9" x14ac:dyDescent="0.35">
      <c r="A215" s="176" t="s">
        <v>214</v>
      </c>
      <c r="B215" s="185">
        <v>240072</v>
      </c>
      <c r="C215" s="185">
        <v>35115</v>
      </c>
      <c r="D215" s="197">
        <v>0.14626861941417574</v>
      </c>
      <c r="E215" s="198">
        <v>2.4485714285714284</v>
      </c>
      <c r="F215" s="223">
        <v>4.0696888793962698</v>
      </c>
      <c r="G215" s="185">
        <v>1143257</v>
      </c>
      <c r="H215" s="185">
        <v>2799346.4257142856</v>
      </c>
      <c r="I215" s="195">
        <v>7.0059281510875338E-3</v>
      </c>
    </row>
    <row r="216" spans="1:9" x14ac:dyDescent="0.35">
      <c r="A216" s="177" t="s">
        <v>111</v>
      </c>
      <c r="B216" s="184">
        <v>1096067</v>
      </c>
      <c r="C216" s="184">
        <v>263974</v>
      </c>
      <c r="D216" s="225">
        <v>0.2408374670526528</v>
      </c>
      <c r="E216" s="237">
        <v>2.3652629957840166</v>
      </c>
      <c r="F216" s="224">
        <v>4.0888823331085637</v>
      </c>
      <c r="G216" s="184">
        <v>8634869</v>
      </c>
      <c r="H216" s="184">
        <v>20423736.119142536</v>
      </c>
      <c r="I216" s="194">
        <v>5.1114512485168247E-2</v>
      </c>
    </row>
    <row r="217" spans="1:9" x14ac:dyDescent="0.35">
      <c r="A217" s="176" t="s">
        <v>213</v>
      </c>
      <c r="B217" s="185">
        <v>1096067</v>
      </c>
      <c r="C217" s="185">
        <v>263974</v>
      </c>
      <c r="D217" s="197">
        <v>0.2408374670526528</v>
      </c>
      <c r="E217" s="198">
        <v>2.3652629957840166</v>
      </c>
      <c r="F217" s="223">
        <v>4.0888823331085637</v>
      </c>
      <c r="G217" s="185">
        <v>8634869</v>
      </c>
      <c r="H217" s="185">
        <v>20423736.119142536</v>
      </c>
      <c r="I217" s="195">
        <v>5.1114512485168247E-2</v>
      </c>
    </row>
    <row r="218" spans="1:9" x14ac:dyDescent="0.35">
      <c r="A218" s="177" t="s">
        <v>112</v>
      </c>
      <c r="B218" s="184">
        <v>89</v>
      </c>
      <c r="C218" s="184"/>
      <c r="D218" s="225"/>
      <c r="E218" s="237"/>
      <c r="F218" s="224"/>
      <c r="G218" s="184"/>
      <c r="H218" s="184"/>
      <c r="I218" s="194"/>
    </row>
    <row r="219" spans="1:9" x14ac:dyDescent="0.35">
      <c r="A219" s="176" t="s">
        <v>212</v>
      </c>
      <c r="B219" s="185">
        <v>89</v>
      </c>
      <c r="C219" s="185"/>
      <c r="D219" s="197"/>
      <c r="E219" s="198"/>
      <c r="F219" s="223"/>
      <c r="G219" s="185"/>
      <c r="H219" s="185"/>
      <c r="I219" s="195"/>
    </row>
    <row r="220" spans="1:9" x14ac:dyDescent="0.35">
      <c r="A220" s="177" t="s">
        <v>113</v>
      </c>
      <c r="B220" s="184">
        <v>5315</v>
      </c>
      <c r="C220" s="184">
        <v>1951</v>
      </c>
      <c r="D220" s="225">
        <v>0.36707431796801504</v>
      </c>
      <c r="E220" s="237">
        <v>2.1077398199166777</v>
      </c>
      <c r="F220" s="224">
        <v>4.007688364941056</v>
      </c>
      <c r="G220" s="184">
        <v>62552</v>
      </c>
      <c r="H220" s="184">
        <v>131843.34121542802</v>
      </c>
      <c r="I220" s="194">
        <v>3.2996451145517566E-4</v>
      </c>
    </row>
    <row r="221" spans="1:9" x14ac:dyDescent="0.35">
      <c r="A221" s="176" t="s">
        <v>211</v>
      </c>
      <c r="B221" s="185">
        <v>5315</v>
      </c>
      <c r="C221" s="185">
        <v>1951</v>
      </c>
      <c r="D221" s="197">
        <v>0.36707431796801504</v>
      </c>
      <c r="E221" s="198">
        <v>2.1077398199166777</v>
      </c>
      <c r="F221" s="223">
        <v>4.007688364941056</v>
      </c>
      <c r="G221" s="185">
        <v>62552</v>
      </c>
      <c r="H221" s="185">
        <v>131843.34121542802</v>
      </c>
      <c r="I221" s="195">
        <v>3.2996451145517566E-4</v>
      </c>
    </row>
    <row r="222" spans="1:9" x14ac:dyDescent="0.35">
      <c r="A222" s="177" t="s">
        <v>114</v>
      </c>
      <c r="B222" s="184">
        <v>10618</v>
      </c>
      <c r="C222" s="184">
        <v>5508</v>
      </c>
      <c r="D222" s="225">
        <v>0.51874175927669997</v>
      </c>
      <c r="E222" s="237">
        <v>1.7983382396469607</v>
      </c>
      <c r="F222" s="224">
        <v>4.368486746550472</v>
      </c>
      <c r="G222" s="184">
        <v>192493</v>
      </c>
      <c r="H222" s="184">
        <v>346167.52276436239</v>
      </c>
      <c r="I222" s="194">
        <v>8.6635393549344545E-4</v>
      </c>
    </row>
    <row r="223" spans="1:9" x14ac:dyDescent="0.35">
      <c r="A223" s="176" t="s">
        <v>206</v>
      </c>
      <c r="B223" s="185">
        <v>10618</v>
      </c>
      <c r="C223" s="185">
        <v>5508</v>
      </c>
      <c r="D223" s="197">
        <v>0.51874175927669997</v>
      </c>
      <c r="E223" s="198">
        <v>1.7983382396469607</v>
      </c>
      <c r="F223" s="223">
        <v>4.368486746550472</v>
      </c>
      <c r="G223" s="185">
        <v>192493</v>
      </c>
      <c r="H223" s="185">
        <v>346167.52276436239</v>
      </c>
      <c r="I223" s="195">
        <v>8.6635393549344545E-4</v>
      </c>
    </row>
    <row r="224" spans="1:9" x14ac:dyDescent="0.35">
      <c r="A224" s="177" t="s">
        <v>115</v>
      </c>
      <c r="B224" s="184">
        <v>8645</v>
      </c>
      <c r="C224" s="184">
        <v>1074</v>
      </c>
      <c r="D224" s="225">
        <v>0.12423366107576633</v>
      </c>
      <c r="E224" s="237">
        <v>2.4485714285714284</v>
      </c>
      <c r="F224" s="224">
        <v>3.8370577281191807</v>
      </c>
      <c r="G224" s="184">
        <v>32968</v>
      </c>
      <c r="H224" s="184">
        <v>80724.502857142856</v>
      </c>
      <c r="I224" s="194">
        <v>2.0202932436456003E-4</v>
      </c>
    </row>
    <row r="225" spans="1:9" x14ac:dyDescent="0.35">
      <c r="A225" s="176" t="s">
        <v>207</v>
      </c>
      <c r="B225" s="185">
        <v>8645</v>
      </c>
      <c r="C225" s="185">
        <v>1074</v>
      </c>
      <c r="D225" s="197">
        <v>0.12423366107576633</v>
      </c>
      <c r="E225" s="198">
        <v>2.4485714285714284</v>
      </c>
      <c r="F225" s="223">
        <v>3.8370577281191807</v>
      </c>
      <c r="G225" s="185">
        <v>32968</v>
      </c>
      <c r="H225" s="185">
        <v>80724.502857142856</v>
      </c>
      <c r="I225" s="195">
        <v>2.0202932436456003E-4</v>
      </c>
    </row>
    <row r="226" spans="1:9" x14ac:dyDescent="0.35">
      <c r="A226" s="177" t="s">
        <v>116</v>
      </c>
      <c r="B226" s="184">
        <v>133830</v>
      </c>
      <c r="C226" s="184">
        <v>26420</v>
      </c>
      <c r="D226" s="225">
        <v>0.19741463050138236</v>
      </c>
      <c r="E226" s="237">
        <v>2.4485714285714284</v>
      </c>
      <c r="F226" s="224">
        <v>4.0163370552611655</v>
      </c>
      <c r="G226" s="184">
        <v>848893</v>
      </c>
      <c r="H226" s="184">
        <v>2078575.1457142856</v>
      </c>
      <c r="I226" s="194">
        <v>5.2020528769656776E-3</v>
      </c>
    </row>
    <row r="227" spans="1:9" x14ac:dyDescent="0.35">
      <c r="A227" s="176" t="s">
        <v>204</v>
      </c>
      <c r="B227" s="185">
        <v>133830</v>
      </c>
      <c r="C227" s="185">
        <v>26420</v>
      </c>
      <c r="D227" s="197">
        <v>0.19741463050138236</v>
      </c>
      <c r="E227" s="198">
        <v>2.4485714285714284</v>
      </c>
      <c r="F227" s="223">
        <v>4.0163370552611655</v>
      </c>
      <c r="G227" s="185">
        <v>848893</v>
      </c>
      <c r="H227" s="185">
        <v>2078575.1457142856</v>
      </c>
      <c r="I227" s="195">
        <v>5.2020528769656776E-3</v>
      </c>
    </row>
    <row r="228" spans="1:9" x14ac:dyDescent="0.35">
      <c r="A228" s="177" t="s">
        <v>117</v>
      </c>
      <c r="B228" s="184">
        <v>28290</v>
      </c>
      <c r="C228" s="184">
        <v>12181</v>
      </c>
      <c r="D228" s="225">
        <v>0.43057617532697068</v>
      </c>
      <c r="E228" s="237">
        <v>1.9781960309044084</v>
      </c>
      <c r="F228" s="224">
        <v>4.2455668664313277</v>
      </c>
      <c r="G228" s="184">
        <v>413722</v>
      </c>
      <c r="H228" s="184">
        <v>818423.21829783369</v>
      </c>
      <c r="I228" s="194">
        <v>2.0482689144532733E-3</v>
      </c>
    </row>
    <row r="229" spans="1:9" x14ac:dyDescent="0.35">
      <c r="A229" s="176" t="s">
        <v>203</v>
      </c>
      <c r="B229" s="185">
        <v>28290</v>
      </c>
      <c r="C229" s="185">
        <v>12181</v>
      </c>
      <c r="D229" s="197">
        <v>0.43057617532697068</v>
      </c>
      <c r="E229" s="198">
        <v>1.9781960309044084</v>
      </c>
      <c r="F229" s="223">
        <v>4.2455668664313277</v>
      </c>
      <c r="G229" s="185">
        <v>413722</v>
      </c>
      <c r="H229" s="185">
        <v>818423.21829783369</v>
      </c>
      <c r="I229" s="195">
        <v>2.0482689144532733E-3</v>
      </c>
    </row>
    <row r="230" spans="1:9" x14ac:dyDescent="0.35">
      <c r="A230" s="177" t="s">
        <v>118</v>
      </c>
      <c r="B230" s="184">
        <v>434446</v>
      </c>
      <c r="C230" s="184">
        <v>84750</v>
      </c>
      <c r="D230" s="225">
        <v>0.1950760278607698</v>
      </c>
      <c r="E230" s="237">
        <v>2.4485714285714284</v>
      </c>
      <c r="F230" s="224">
        <v>4.0064174041297935</v>
      </c>
      <c r="G230" s="184">
        <v>2716351</v>
      </c>
      <c r="H230" s="184">
        <v>6651179.4485714277</v>
      </c>
      <c r="I230" s="194">
        <v>1.6645915956897506E-2</v>
      </c>
    </row>
    <row r="231" spans="1:9" x14ac:dyDescent="0.35">
      <c r="A231" s="176" t="s">
        <v>202</v>
      </c>
      <c r="B231" s="185">
        <v>434446</v>
      </c>
      <c r="C231" s="185">
        <v>84750</v>
      </c>
      <c r="D231" s="197">
        <v>0.1950760278607698</v>
      </c>
      <c r="E231" s="198">
        <v>2.4485714285714284</v>
      </c>
      <c r="F231" s="223">
        <v>4.0064174041297935</v>
      </c>
      <c r="G231" s="185">
        <v>2716351</v>
      </c>
      <c r="H231" s="185">
        <v>6651179.4485714277</v>
      </c>
      <c r="I231" s="195">
        <v>1.6645915956897506E-2</v>
      </c>
    </row>
    <row r="232" spans="1:9" x14ac:dyDescent="0.35">
      <c r="A232" s="177" t="s">
        <v>119</v>
      </c>
      <c r="B232" s="184">
        <v>19872</v>
      </c>
      <c r="C232" s="184">
        <v>4974</v>
      </c>
      <c r="D232" s="225">
        <v>0.25030193236714976</v>
      </c>
      <c r="E232" s="237">
        <v>2.3459554865424428</v>
      </c>
      <c r="F232" s="224">
        <v>4.3384851226377164</v>
      </c>
      <c r="G232" s="184">
        <v>172637</v>
      </c>
      <c r="H232" s="184">
        <v>404998.71733022772</v>
      </c>
      <c r="I232" s="194">
        <v>1.013590847075739E-3</v>
      </c>
    </row>
    <row r="233" spans="1:9" x14ac:dyDescent="0.35">
      <c r="A233" s="176" t="s">
        <v>201</v>
      </c>
      <c r="B233" s="185">
        <v>19872</v>
      </c>
      <c r="C233" s="185">
        <v>4974</v>
      </c>
      <c r="D233" s="197">
        <v>0.25030193236714976</v>
      </c>
      <c r="E233" s="198">
        <v>2.3459554865424428</v>
      </c>
      <c r="F233" s="223">
        <v>4.3384851226377164</v>
      </c>
      <c r="G233" s="185">
        <v>172637</v>
      </c>
      <c r="H233" s="185">
        <v>404998.71733022772</v>
      </c>
      <c r="I233" s="195">
        <v>1.013590847075739E-3</v>
      </c>
    </row>
    <row r="234" spans="1:9" x14ac:dyDescent="0.35">
      <c r="A234" s="177" t="s">
        <v>395</v>
      </c>
      <c r="B234" s="184">
        <v>6149</v>
      </c>
      <c r="C234" s="184">
        <v>2725</v>
      </c>
      <c r="D234" s="225">
        <v>0.44316148967311758</v>
      </c>
      <c r="E234" s="237">
        <v>1.9525219896382686</v>
      </c>
      <c r="F234" s="224">
        <v>4.1105963302752295</v>
      </c>
      <c r="G234" s="184">
        <v>89611</v>
      </c>
      <c r="H234" s="184">
        <v>174967.4480134749</v>
      </c>
      <c r="I234" s="194">
        <v>4.3789127287051263E-4</v>
      </c>
    </row>
    <row r="235" spans="1:9" x14ac:dyDescent="0.35">
      <c r="A235" s="176" t="s">
        <v>394</v>
      </c>
      <c r="B235" s="185">
        <v>6149</v>
      </c>
      <c r="C235" s="185">
        <v>2725</v>
      </c>
      <c r="D235" s="197">
        <v>0.44316148967311758</v>
      </c>
      <c r="E235" s="198">
        <v>1.9525219896382686</v>
      </c>
      <c r="F235" s="223">
        <v>4.1105963302752295</v>
      </c>
      <c r="G235" s="185">
        <v>89611</v>
      </c>
      <c r="H235" s="185">
        <v>174967.4480134749</v>
      </c>
      <c r="I235" s="195">
        <v>4.3789127287051263E-4</v>
      </c>
    </row>
    <row r="236" spans="1:9" ht="23" x14ac:dyDescent="0.35">
      <c r="A236" s="177" t="s">
        <v>459</v>
      </c>
      <c r="B236" s="184">
        <v>393040</v>
      </c>
      <c r="C236" s="184">
        <v>62667</v>
      </c>
      <c r="D236" s="225">
        <v>0.15944178709546103</v>
      </c>
      <c r="E236" s="237">
        <v>2.4485714285714284</v>
      </c>
      <c r="F236" s="224">
        <v>3.9208335328003576</v>
      </c>
      <c r="G236" s="184">
        <v>1965655</v>
      </c>
      <c r="H236" s="184">
        <v>4813046.6714285715</v>
      </c>
      <c r="I236" s="194">
        <v>1.2045618526565738E-2</v>
      </c>
    </row>
    <row r="237" spans="1:9" x14ac:dyDescent="0.35">
      <c r="A237" s="176" t="s">
        <v>200</v>
      </c>
      <c r="B237" s="185">
        <v>393040</v>
      </c>
      <c r="C237" s="185">
        <v>62667</v>
      </c>
      <c r="D237" s="197">
        <v>0.15944178709546103</v>
      </c>
      <c r="E237" s="198">
        <v>2.4485714285714284</v>
      </c>
      <c r="F237" s="223">
        <v>3.9208335328003576</v>
      </c>
      <c r="G237" s="185">
        <v>1965655</v>
      </c>
      <c r="H237" s="185">
        <v>4813046.6714285715</v>
      </c>
      <c r="I237" s="195">
        <v>1.2045618526565738E-2</v>
      </c>
    </row>
    <row r="238" spans="1:9" x14ac:dyDescent="0.35">
      <c r="A238" s="177" t="s">
        <v>121</v>
      </c>
      <c r="B238" s="184">
        <v>187909</v>
      </c>
      <c r="C238" s="184">
        <v>38391</v>
      </c>
      <c r="D238" s="225">
        <v>0.20430633977084653</v>
      </c>
      <c r="E238" s="237">
        <v>2.4397864954389012</v>
      </c>
      <c r="F238" s="224">
        <v>4.020672162746477</v>
      </c>
      <c r="G238" s="184">
        <v>1234861</v>
      </c>
      <c r="H238" s="184">
        <v>3012797.191544177</v>
      </c>
      <c r="I238" s="194">
        <v>7.5401316764040745E-3</v>
      </c>
    </row>
    <row r="239" spans="1:9" x14ac:dyDescent="0.35">
      <c r="A239" s="176" t="s">
        <v>199</v>
      </c>
      <c r="B239" s="185">
        <v>187909</v>
      </c>
      <c r="C239" s="185">
        <v>38391</v>
      </c>
      <c r="D239" s="197">
        <v>0.20430633977084653</v>
      </c>
      <c r="E239" s="198">
        <v>2.4397864954389012</v>
      </c>
      <c r="F239" s="223">
        <v>4.020672162746477</v>
      </c>
      <c r="G239" s="185">
        <v>1234861</v>
      </c>
      <c r="H239" s="185">
        <v>3012797.191544177</v>
      </c>
      <c r="I239" s="195">
        <v>7.5401316764040745E-3</v>
      </c>
    </row>
    <row r="240" spans="1:9" ht="23" x14ac:dyDescent="0.35">
      <c r="A240" s="177" t="s">
        <v>122</v>
      </c>
      <c r="B240" s="184">
        <v>138601</v>
      </c>
      <c r="C240" s="184">
        <v>38729</v>
      </c>
      <c r="D240" s="225">
        <v>0.27942799835499021</v>
      </c>
      <c r="E240" s="237">
        <v>2.2865383119272487</v>
      </c>
      <c r="F240" s="224">
        <v>4.2896666580598515</v>
      </c>
      <c r="G240" s="184">
        <v>1329076</v>
      </c>
      <c r="H240" s="184">
        <v>3038983.19346302</v>
      </c>
      <c r="I240" s="194">
        <v>7.6056674194341081E-3</v>
      </c>
    </row>
    <row r="241" spans="1:9" x14ac:dyDescent="0.35">
      <c r="A241" s="176" t="s">
        <v>198</v>
      </c>
      <c r="B241" s="185">
        <v>138601</v>
      </c>
      <c r="C241" s="185">
        <v>38729</v>
      </c>
      <c r="D241" s="197">
        <v>0.27942799835499021</v>
      </c>
      <c r="E241" s="198">
        <v>2.2865383119272487</v>
      </c>
      <c r="F241" s="223">
        <v>4.2896666580598515</v>
      </c>
      <c r="G241" s="185">
        <v>1329076</v>
      </c>
      <c r="H241" s="185">
        <v>3038983.19346302</v>
      </c>
      <c r="I241" s="195">
        <v>7.6056674194341081E-3</v>
      </c>
    </row>
    <row r="242" spans="1:9" ht="23" x14ac:dyDescent="0.35">
      <c r="A242" s="177" t="s">
        <v>524</v>
      </c>
      <c r="B242" s="184">
        <v>900</v>
      </c>
      <c r="C242" s="184">
        <v>611</v>
      </c>
      <c r="D242" s="225">
        <v>0.67888888888888888</v>
      </c>
      <c r="E242" s="237">
        <v>1.4716380952380952</v>
      </c>
      <c r="F242" s="224">
        <v>4.468698854337152</v>
      </c>
      <c r="G242" s="184">
        <v>21843</v>
      </c>
      <c r="H242" s="184">
        <v>32144.990914285714</v>
      </c>
      <c r="I242" s="194">
        <v>8.0449312987542623E-5</v>
      </c>
    </row>
    <row r="243" spans="1:9" x14ac:dyDescent="0.35">
      <c r="A243" s="176" t="s">
        <v>197</v>
      </c>
      <c r="B243" s="185">
        <v>900</v>
      </c>
      <c r="C243" s="185">
        <v>611</v>
      </c>
      <c r="D243" s="197">
        <v>0.67888888888888888</v>
      </c>
      <c r="E243" s="198">
        <v>1.4716380952380952</v>
      </c>
      <c r="F243" s="223">
        <v>4.468698854337152</v>
      </c>
      <c r="G243" s="185">
        <v>21843</v>
      </c>
      <c r="H243" s="185">
        <v>32144.990914285714</v>
      </c>
      <c r="I243" s="195">
        <v>8.0449312987542623E-5</v>
      </c>
    </row>
    <row r="244" spans="1:9" x14ac:dyDescent="0.35">
      <c r="A244" s="177" t="s">
        <v>125</v>
      </c>
      <c r="B244" s="184">
        <v>84526</v>
      </c>
      <c r="C244" s="184">
        <v>11899</v>
      </c>
      <c r="D244" s="225">
        <v>0.14077325320019876</v>
      </c>
      <c r="E244" s="237">
        <v>2.4485714285714284</v>
      </c>
      <c r="F244" s="224">
        <v>3.9955773594419699</v>
      </c>
      <c r="G244" s="184">
        <v>380347</v>
      </c>
      <c r="H244" s="184">
        <v>931306.7971428571</v>
      </c>
      <c r="I244" s="194">
        <v>2.3307828025384406E-3</v>
      </c>
    </row>
    <row r="245" spans="1:9" x14ac:dyDescent="0.35">
      <c r="A245" s="176" t="s">
        <v>191</v>
      </c>
      <c r="B245" s="185">
        <v>84526</v>
      </c>
      <c r="C245" s="185">
        <v>11899</v>
      </c>
      <c r="D245" s="197">
        <v>0.14077325320019876</v>
      </c>
      <c r="E245" s="198">
        <v>2.4485714285714284</v>
      </c>
      <c r="F245" s="223">
        <v>3.9955773594419699</v>
      </c>
      <c r="G245" s="185">
        <v>380347</v>
      </c>
      <c r="H245" s="185">
        <v>931306.7971428571</v>
      </c>
      <c r="I245" s="195">
        <v>2.3307828025384406E-3</v>
      </c>
    </row>
    <row r="246" spans="1:9" x14ac:dyDescent="0.35">
      <c r="A246" s="177" t="s">
        <v>126</v>
      </c>
      <c r="B246" s="184">
        <v>24692</v>
      </c>
      <c r="C246" s="184">
        <v>8705</v>
      </c>
      <c r="D246" s="225">
        <v>0.35254333387331932</v>
      </c>
      <c r="E246" s="237">
        <v>2.1373830274698573</v>
      </c>
      <c r="F246" s="224">
        <v>4.1469988512349225</v>
      </c>
      <c r="G246" s="184">
        <v>288797</v>
      </c>
      <c r="H246" s="184">
        <v>617269.80618421233</v>
      </c>
      <c r="I246" s="194">
        <v>1.5448419932016311E-3</v>
      </c>
    </row>
    <row r="247" spans="1:9" x14ac:dyDescent="0.35">
      <c r="A247" s="176" t="s">
        <v>190</v>
      </c>
      <c r="B247" s="185">
        <v>24692</v>
      </c>
      <c r="C247" s="185">
        <v>8705</v>
      </c>
      <c r="D247" s="197">
        <v>0.35254333387331932</v>
      </c>
      <c r="E247" s="198">
        <v>2.1373830274698573</v>
      </c>
      <c r="F247" s="223">
        <v>4.1469988512349225</v>
      </c>
      <c r="G247" s="185">
        <v>288797</v>
      </c>
      <c r="H247" s="185">
        <v>617269.80618421233</v>
      </c>
      <c r="I247" s="195">
        <v>1.5448419932016311E-3</v>
      </c>
    </row>
    <row r="248" spans="1:9" x14ac:dyDescent="0.35">
      <c r="A248" s="177" t="s">
        <v>127</v>
      </c>
      <c r="B248" s="184">
        <v>312423</v>
      </c>
      <c r="C248" s="184">
        <v>96925</v>
      </c>
      <c r="D248" s="225">
        <v>0.31023644225937269</v>
      </c>
      <c r="E248" s="237">
        <v>2.2236890863623082</v>
      </c>
      <c r="F248" s="224">
        <v>3.9432370389476401</v>
      </c>
      <c r="G248" s="184">
        <v>3057586</v>
      </c>
      <c r="H248" s="184">
        <v>6799120.6188141843</v>
      </c>
      <c r="I248" s="194">
        <v>1.7016168527207411E-2</v>
      </c>
    </row>
    <row r="249" spans="1:9" x14ac:dyDescent="0.35">
      <c r="A249" s="176" t="s">
        <v>185</v>
      </c>
      <c r="B249" s="185">
        <v>312423</v>
      </c>
      <c r="C249" s="185">
        <v>96925</v>
      </c>
      <c r="D249" s="197">
        <v>0.31023644225937269</v>
      </c>
      <c r="E249" s="198">
        <v>2.2236890863623082</v>
      </c>
      <c r="F249" s="223">
        <v>3.9432370389476401</v>
      </c>
      <c r="G249" s="185">
        <v>3057586</v>
      </c>
      <c r="H249" s="185">
        <v>6799120.6188141843</v>
      </c>
      <c r="I249" s="195">
        <v>1.7016168527207411E-2</v>
      </c>
    </row>
    <row r="250" spans="1:9" ht="23" x14ac:dyDescent="0.35">
      <c r="A250" s="177" t="s">
        <v>128</v>
      </c>
      <c r="B250" s="184">
        <v>209581</v>
      </c>
      <c r="C250" s="184">
        <v>62244</v>
      </c>
      <c r="D250" s="225">
        <v>0.29699257089144532</v>
      </c>
      <c r="E250" s="237">
        <v>2.2507065839528799</v>
      </c>
      <c r="F250" s="224">
        <v>3.8987111207505944</v>
      </c>
      <c r="G250" s="184">
        <v>1941371</v>
      </c>
      <c r="H250" s="184">
        <v>4369456.4915951863</v>
      </c>
      <c r="I250" s="194">
        <v>1.0935444773187676E-2</v>
      </c>
    </row>
    <row r="251" spans="1:9" x14ac:dyDescent="0.35">
      <c r="A251" s="176" t="s">
        <v>183</v>
      </c>
      <c r="B251" s="185">
        <v>209581</v>
      </c>
      <c r="C251" s="185">
        <v>62244</v>
      </c>
      <c r="D251" s="197">
        <v>0.29699257089144532</v>
      </c>
      <c r="E251" s="198">
        <v>2.2507065839528799</v>
      </c>
      <c r="F251" s="223">
        <v>3.8987111207505944</v>
      </c>
      <c r="G251" s="185">
        <v>1941371</v>
      </c>
      <c r="H251" s="185">
        <v>4369456.4915951863</v>
      </c>
      <c r="I251" s="195">
        <v>1.0935444773187676E-2</v>
      </c>
    </row>
    <row r="252" spans="1:9" x14ac:dyDescent="0.35">
      <c r="A252" s="40" t="s">
        <v>13</v>
      </c>
      <c r="B252" s="186">
        <v>23228532</v>
      </c>
      <c r="C252" s="186">
        <v>5253218</v>
      </c>
      <c r="D252" s="199">
        <v>0.22615368031006006</v>
      </c>
      <c r="E252" s="200">
        <v>2.3952179207389062</v>
      </c>
      <c r="F252" s="222">
        <v>4.0465073979416042</v>
      </c>
      <c r="G252" s="186">
        <v>170057484</v>
      </c>
      <c r="H252" s="186">
        <v>399568246.39712322</v>
      </c>
      <c r="I252" s="196">
        <v>1</v>
      </c>
    </row>
    <row r="254" spans="1:9" x14ac:dyDescent="0.35">
      <c r="A254" s="163" t="s">
        <v>448</v>
      </c>
    </row>
    <row r="255" spans="1:9" x14ac:dyDescent="0.35">
      <c r="A255" s="163" t="s">
        <v>527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G255"/>
  <sheetViews>
    <sheetView zoomScale="90" zoomScaleNormal="90" workbookViewId="0">
      <pane xSplit="1" ySplit="3" topLeftCell="B217" activePane="bottomRight" state="frozen"/>
      <selection pane="topRight" activeCell="B1" sqref="B1"/>
      <selection pane="bottomLeft" activeCell="A5" sqref="A5"/>
      <selection pane="bottomRight" activeCell="A2" sqref="A2"/>
    </sheetView>
  </sheetViews>
  <sheetFormatPr defaultColWidth="19.54296875" defaultRowHeight="14.5" x14ac:dyDescent="0.35"/>
  <cols>
    <col min="1" max="1" width="34.26953125" style="163" customWidth="1"/>
    <col min="2" max="7" width="17.453125" style="163" customWidth="1"/>
    <col min="8" max="16384" width="19.54296875" style="163"/>
  </cols>
  <sheetData>
    <row r="1" spans="1:7" ht="19.5" x14ac:dyDescent="0.45">
      <c r="A1" s="3" t="s">
        <v>598</v>
      </c>
    </row>
    <row r="2" spans="1:7" x14ac:dyDescent="0.35">
      <c r="A2" s="9" t="s">
        <v>593</v>
      </c>
    </row>
    <row r="3" spans="1:7" ht="23" x14ac:dyDescent="0.35">
      <c r="A3" s="226" t="s">
        <v>12</v>
      </c>
      <c r="B3" s="39" t="s">
        <v>418</v>
      </c>
      <c r="C3" s="39" t="s">
        <v>419</v>
      </c>
      <c r="D3" s="39" t="s">
        <v>420</v>
      </c>
      <c r="E3" s="39" t="s">
        <v>422</v>
      </c>
      <c r="F3" s="39" t="s">
        <v>423</v>
      </c>
      <c r="G3" s="39" t="s">
        <v>525</v>
      </c>
    </row>
    <row r="4" spans="1:7" x14ac:dyDescent="0.35">
      <c r="A4" s="177" t="s">
        <v>393</v>
      </c>
      <c r="B4" s="184">
        <v>1356447</v>
      </c>
      <c r="C4" s="184">
        <v>159305</v>
      </c>
      <c r="D4" s="225">
        <v>0.11744284885439682</v>
      </c>
      <c r="E4" s="224">
        <v>4.0546573832864281</v>
      </c>
      <c r="F4" s="184">
        <v>5813344.75</v>
      </c>
      <c r="G4" s="194">
        <v>3.0410168751963607E-2</v>
      </c>
    </row>
    <row r="5" spans="1:7" x14ac:dyDescent="0.35">
      <c r="A5" s="176" t="s">
        <v>392</v>
      </c>
      <c r="B5" s="185">
        <v>1356447</v>
      </c>
      <c r="C5" s="185">
        <v>159305</v>
      </c>
      <c r="D5" s="197">
        <v>0.11744284885439682</v>
      </c>
      <c r="E5" s="223">
        <v>4.0546573832864281</v>
      </c>
      <c r="F5" s="185">
        <v>5813344.75</v>
      </c>
      <c r="G5" s="195">
        <v>3.0410168751963607E-2</v>
      </c>
    </row>
    <row r="6" spans="1:7" x14ac:dyDescent="0.35">
      <c r="A6" s="177" t="s">
        <v>15</v>
      </c>
      <c r="B6" s="184">
        <v>39714</v>
      </c>
      <c r="C6" s="184">
        <v>18180</v>
      </c>
      <c r="D6" s="225">
        <v>0.45777307750415469</v>
      </c>
      <c r="E6" s="224">
        <v>4.3105243857719104</v>
      </c>
      <c r="F6" s="184">
        <v>705288</v>
      </c>
      <c r="G6" s="194">
        <v>3.6894297553460784E-3</v>
      </c>
    </row>
    <row r="7" spans="1:7" x14ac:dyDescent="0.35">
      <c r="A7" s="176" t="s">
        <v>332</v>
      </c>
      <c r="B7" s="185">
        <v>39714</v>
      </c>
      <c r="C7" s="185">
        <v>18180</v>
      </c>
      <c r="D7" s="197">
        <v>0.45777307750415469</v>
      </c>
      <c r="E7" s="223">
        <v>4.3105243857719104</v>
      </c>
      <c r="F7" s="185">
        <v>705288</v>
      </c>
      <c r="G7" s="195">
        <v>3.6894297553460784E-3</v>
      </c>
    </row>
    <row r="8" spans="1:7" x14ac:dyDescent="0.35">
      <c r="A8" s="177" t="s">
        <v>16</v>
      </c>
      <c r="B8" s="184">
        <v>1936</v>
      </c>
      <c r="C8" s="184">
        <v>562</v>
      </c>
      <c r="D8" s="225">
        <v>0.29028925619834711</v>
      </c>
      <c r="E8" s="224">
        <v>4.2396204033214708</v>
      </c>
      <c r="F8" s="184">
        <v>21444</v>
      </c>
      <c r="G8" s="194">
        <v>1.1217563842521253E-4</v>
      </c>
    </row>
    <row r="9" spans="1:7" x14ac:dyDescent="0.35">
      <c r="A9" s="176" t="s">
        <v>331</v>
      </c>
      <c r="B9" s="185">
        <v>1936</v>
      </c>
      <c r="C9" s="185">
        <v>562</v>
      </c>
      <c r="D9" s="197">
        <v>0.29028925619834711</v>
      </c>
      <c r="E9" s="223">
        <v>4.2396204033214708</v>
      </c>
      <c r="F9" s="185">
        <v>21444</v>
      </c>
      <c r="G9" s="195">
        <v>1.1217563842521253E-4</v>
      </c>
    </row>
    <row r="10" spans="1:7" x14ac:dyDescent="0.35">
      <c r="A10" s="177" t="s">
        <v>510</v>
      </c>
      <c r="B10" s="184">
        <v>108221</v>
      </c>
      <c r="C10" s="184">
        <v>16705</v>
      </c>
      <c r="D10" s="225">
        <v>0.15436005950785892</v>
      </c>
      <c r="E10" s="224">
        <v>4.0711895972596359</v>
      </c>
      <c r="F10" s="184">
        <v>612083</v>
      </c>
      <c r="G10" s="194">
        <v>3.2018653839870998E-3</v>
      </c>
    </row>
    <row r="11" spans="1:7" x14ac:dyDescent="0.35">
      <c r="A11" s="176" t="s">
        <v>509</v>
      </c>
      <c r="B11" s="185">
        <v>108221</v>
      </c>
      <c r="C11" s="185">
        <v>16705</v>
      </c>
      <c r="D11" s="197">
        <v>0.15436005950785892</v>
      </c>
      <c r="E11" s="223">
        <v>4.0711895972596359</v>
      </c>
      <c r="F11" s="185">
        <v>612083</v>
      </c>
      <c r="G11" s="195">
        <v>3.2018653839870998E-3</v>
      </c>
    </row>
    <row r="12" spans="1:7" x14ac:dyDescent="0.35">
      <c r="A12" s="177" t="s">
        <v>17</v>
      </c>
      <c r="B12" s="184">
        <v>59279</v>
      </c>
      <c r="C12" s="184">
        <v>15144</v>
      </c>
      <c r="D12" s="225">
        <v>0.25546989659069824</v>
      </c>
      <c r="E12" s="224">
        <v>4.1582951810764808</v>
      </c>
      <c r="F12" s="184">
        <v>566759</v>
      </c>
      <c r="G12" s="194">
        <v>2.9647711554856853E-3</v>
      </c>
    </row>
    <row r="13" spans="1:7" x14ac:dyDescent="0.35">
      <c r="A13" s="176" t="s">
        <v>330</v>
      </c>
      <c r="B13" s="185">
        <v>59279</v>
      </c>
      <c r="C13" s="185">
        <v>15144</v>
      </c>
      <c r="D13" s="197">
        <v>0.25546989659069824</v>
      </c>
      <c r="E13" s="223">
        <v>4.1582951810764808</v>
      </c>
      <c r="F13" s="185">
        <v>566759</v>
      </c>
      <c r="G13" s="195">
        <v>2.9647711554856853E-3</v>
      </c>
    </row>
    <row r="14" spans="1:7" x14ac:dyDescent="0.35">
      <c r="A14" s="177" t="s">
        <v>517</v>
      </c>
      <c r="B14" s="184">
        <v>75631</v>
      </c>
      <c r="C14" s="184">
        <v>22416</v>
      </c>
      <c r="D14" s="225">
        <v>0.29638640240113179</v>
      </c>
      <c r="E14" s="224">
        <v>4.3985099928622411</v>
      </c>
      <c r="F14" s="184">
        <v>887373</v>
      </c>
      <c r="G14" s="194">
        <v>4.6419340046771184E-3</v>
      </c>
    </row>
    <row r="15" spans="1:7" x14ac:dyDescent="0.35">
      <c r="A15" s="176" t="s">
        <v>328</v>
      </c>
      <c r="B15" s="185">
        <v>75631</v>
      </c>
      <c r="C15" s="185">
        <v>22416</v>
      </c>
      <c r="D15" s="197">
        <v>0.29638640240113179</v>
      </c>
      <c r="E15" s="223">
        <v>4.3985099928622411</v>
      </c>
      <c r="F15" s="185">
        <v>887373</v>
      </c>
      <c r="G15" s="195">
        <v>4.6419340046771184E-3</v>
      </c>
    </row>
    <row r="16" spans="1:7" x14ac:dyDescent="0.35">
      <c r="A16" s="177" t="s">
        <v>19</v>
      </c>
      <c r="B16" s="184">
        <v>141641</v>
      </c>
      <c r="C16" s="184">
        <v>35385</v>
      </c>
      <c r="D16" s="225">
        <v>0.24982173240798922</v>
      </c>
      <c r="E16" s="224">
        <v>3.9847549966244333</v>
      </c>
      <c r="F16" s="184">
        <v>1269005</v>
      </c>
      <c r="G16" s="194">
        <v>6.638287914558237E-3</v>
      </c>
    </row>
    <row r="17" spans="1:7" x14ac:dyDescent="0.35">
      <c r="A17" s="176" t="s">
        <v>327</v>
      </c>
      <c r="B17" s="185">
        <v>141641</v>
      </c>
      <c r="C17" s="185">
        <v>35385</v>
      </c>
      <c r="D17" s="197">
        <v>0.24982173240798922</v>
      </c>
      <c r="E17" s="223">
        <v>3.9847549966244333</v>
      </c>
      <c r="F17" s="185">
        <v>1269005</v>
      </c>
      <c r="G17" s="195">
        <v>6.638287914558237E-3</v>
      </c>
    </row>
    <row r="18" spans="1:7" x14ac:dyDescent="0.35">
      <c r="A18" s="177" t="s">
        <v>154</v>
      </c>
      <c r="B18" s="184">
        <v>488671</v>
      </c>
      <c r="C18" s="184">
        <v>104300</v>
      </c>
      <c r="D18" s="225">
        <v>0.21343603365045194</v>
      </c>
      <c r="E18" s="224">
        <v>4.1292922392670715</v>
      </c>
      <c r="F18" s="184">
        <v>3876166.625</v>
      </c>
      <c r="G18" s="194">
        <v>2.0276602583560736E-2</v>
      </c>
    </row>
    <row r="19" spans="1:7" x14ac:dyDescent="0.35">
      <c r="A19" s="176" t="s">
        <v>181</v>
      </c>
      <c r="B19" s="185">
        <v>488671</v>
      </c>
      <c r="C19" s="185">
        <v>104300</v>
      </c>
      <c r="D19" s="197">
        <v>0.21343603365045194</v>
      </c>
      <c r="E19" s="223">
        <v>4.1292922392670715</v>
      </c>
      <c r="F19" s="185">
        <v>3876166.625</v>
      </c>
      <c r="G19" s="195">
        <v>2.0276602583560736E-2</v>
      </c>
    </row>
    <row r="20" spans="1:7" x14ac:dyDescent="0.35">
      <c r="A20" s="177" t="s">
        <v>20</v>
      </c>
      <c r="B20" s="184">
        <v>385</v>
      </c>
      <c r="C20" s="184">
        <v>80</v>
      </c>
      <c r="D20" s="225">
        <v>0.20779220779220781</v>
      </c>
      <c r="E20" s="224">
        <v>3.3888888888888888</v>
      </c>
      <c r="F20" s="184">
        <v>2440</v>
      </c>
      <c r="G20" s="194">
        <v>1.2763876037936887E-5</v>
      </c>
    </row>
    <row r="21" spans="1:7" x14ac:dyDescent="0.35">
      <c r="A21" s="176" t="s">
        <v>326</v>
      </c>
      <c r="B21" s="185">
        <v>385</v>
      </c>
      <c r="C21" s="185">
        <v>80</v>
      </c>
      <c r="D21" s="197">
        <v>0.20779220779220781</v>
      </c>
      <c r="E21" s="223">
        <v>3.3888888888888888</v>
      </c>
      <c r="F21" s="185">
        <v>2440</v>
      </c>
      <c r="G21" s="195">
        <v>1.2763876037936887E-5</v>
      </c>
    </row>
    <row r="22" spans="1:7" ht="23" x14ac:dyDescent="0.35">
      <c r="A22" s="177" t="s">
        <v>21</v>
      </c>
      <c r="B22" s="184">
        <v>722812</v>
      </c>
      <c r="C22" s="184">
        <v>59094</v>
      </c>
      <c r="D22" s="225">
        <v>8.1755698577223396E-2</v>
      </c>
      <c r="E22" s="224">
        <v>3.8997846651098249</v>
      </c>
      <c r="F22" s="184">
        <v>2074084.875</v>
      </c>
      <c r="G22" s="194">
        <v>1.0849738621581895E-2</v>
      </c>
    </row>
    <row r="23" spans="1:7" x14ac:dyDescent="0.35">
      <c r="A23" s="176" t="s">
        <v>325</v>
      </c>
      <c r="B23" s="185">
        <v>722812</v>
      </c>
      <c r="C23" s="185">
        <v>59094</v>
      </c>
      <c r="D23" s="197">
        <v>8.1755698577223396E-2</v>
      </c>
      <c r="E23" s="223">
        <v>3.8997846651098249</v>
      </c>
      <c r="F23" s="185">
        <v>2074084.875</v>
      </c>
      <c r="G23" s="195">
        <v>1.0849738621581895E-2</v>
      </c>
    </row>
    <row r="24" spans="1:7" x14ac:dyDescent="0.35">
      <c r="A24" s="177" t="s">
        <v>22</v>
      </c>
      <c r="B24" s="184">
        <v>331374</v>
      </c>
      <c r="C24" s="184">
        <v>79470</v>
      </c>
      <c r="D24" s="225">
        <v>0.23981965996125224</v>
      </c>
      <c r="E24" s="224">
        <v>3.9061868210226081</v>
      </c>
      <c r="F24" s="184">
        <v>2793822</v>
      </c>
      <c r="G24" s="194">
        <v>1.4614753147565947E-2</v>
      </c>
    </row>
    <row r="25" spans="1:7" x14ac:dyDescent="0.35">
      <c r="A25" s="176" t="s">
        <v>324</v>
      </c>
      <c r="B25" s="185">
        <v>331374</v>
      </c>
      <c r="C25" s="185">
        <v>79470</v>
      </c>
      <c r="D25" s="197">
        <v>0.23981965996125224</v>
      </c>
      <c r="E25" s="223">
        <v>3.9061868210226081</v>
      </c>
      <c r="F25" s="185">
        <v>2793822</v>
      </c>
      <c r="G25" s="195">
        <v>1.4614753147565947E-2</v>
      </c>
    </row>
    <row r="26" spans="1:7" x14ac:dyDescent="0.35">
      <c r="A26" s="177" t="s">
        <v>23</v>
      </c>
      <c r="B26" s="184">
        <v>325068</v>
      </c>
      <c r="C26" s="184">
        <v>117279</v>
      </c>
      <c r="D26" s="225">
        <v>0.36078297463915243</v>
      </c>
      <c r="E26" s="224">
        <v>3.818364043576997</v>
      </c>
      <c r="F26" s="184">
        <v>4030325.25</v>
      </c>
      <c r="G26" s="194">
        <v>2.1083021263756965E-2</v>
      </c>
    </row>
    <row r="27" spans="1:7" x14ac:dyDescent="0.35">
      <c r="A27" s="176" t="s">
        <v>322</v>
      </c>
      <c r="B27" s="185">
        <v>325068</v>
      </c>
      <c r="C27" s="185">
        <v>117279</v>
      </c>
      <c r="D27" s="197">
        <v>0.36078297463915243</v>
      </c>
      <c r="E27" s="223">
        <v>3.818364043576997</v>
      </c>
      <c r="F27" s="185">
        <v>4030325.25</v>
      </c>
      <c r="G27" s="195">
        <v>2.1083021263756965E-2</v>
      </c>
    </row>
    <row r="28" spans="1:7" ht="23" x14ac:dyDescent="0.35">
      <c r="A28" s="177" t="s">
        <v>24</v>
      </c>
      <c r="B28" s="184">
        <v>958</v>
      </c>
      <c r="C28" s="184">
        <v>350</v>
      </c>
      <c r="D28" s="225">
        <v>0.3653444676409186</v>
      </c>
      <c r="E28" s="224">
        <v>4.2866666666666662</v>
      </c>
      <c r="F28" s="184">
        <v>13503</v>
      </c>
      <c r="G28" s="194">
        <v>7.06354992378122E-5</v>
      </c>
    </row>
    <row r="29" spans="1:7" x14ac:dyDescent="0.35">
      <c r="A29" s="176" t="s">
        <v>321</v>
      </c>
      <c r="B29" s="185">
        <v>958</v>
      </c>
      <c r="C29" s="185">
        <v>350</v>
      </c>
      <c r="D29" s="197">
        <v>0.3653444676409186</v>
      </c>
      <c r="E29" s="223">
        <v>4.2866666666666662</v>
      </c>
      <c r="F29" s="185">
        <v>13503</v>
      </c>
      <c r="G29" s="195">
        <v>7.06354992378122E-5</v>
      </c>
    </row>
    <row r="30" spans="1:7" x14ac:dyDescent="0.35">
      <c r="A30" s="177" t="s">
        <v>25</v>
      </c>
      <c r="B30" s="184">
        <v>4503</v>
      </c>
      <c r="C30" s="184">
        <v>126</v>
      </c>
      <c r="D30" s="225">
        <v>2.798134576948701E-2</v>
      </c>
      <c r="E30" s="224">
        <v>4.7883597883597879</v>
      </c>
      <c r="F30" s="184">
        <v>5430</v>
      </c>
      <c r="G30" s="194">
        <v>2.840485528114643E-5</v>
      </c>
    </row>
    <row r="31" spans="1:7" x14ac:dyDescent="0.35">
      <c r="A31" s="176" t="s">
        <v>320</v>
      </c>
      <c r="B31" s="185">
        <v>4503</v>
      </c>
      <c r="C31" s="185">
        <v>126</v>
      </c>
      <c r="D31" s="197">
        <v>2.798134576948701E-2</v>
      </c>
      <c r="E31" s="223">
        <v>4.7883597883597879</v>
      </c>
      <c r="F31" s="185">
        <v>5430</v>
      </c>
      <c r="G31" s="195">
        <v>2.840485528114643E-5</v>
      </c>
    </row>
    <row r="32" spans="1:7" ht="23" x14ac:dyDescent="0.35">
      <c r="A32" s="177" t="s">
        <v>518</v>
      </c>
      <c r="B32" s="184">
        <v>35046</v>
      </c>
      <c r="C32" s="184">
        <v>6110</v>
      </c>
      <c r="D32" s="225">
        <v>0.17434229298636078</v>
      </c>
      <c r="E32" s="224">
        <v>4.3305691943989819</v>
      </c>
      <c r="F32" s="184">
        <v>238138</v>
      </c>
      <c r="G32" s="194">
        <v>1.2457229147222189E-3</v>
      </c>
    </row>
    <row r="33" spans="1:7" x14ac:dyDescent="0.35">
      <c r="A33" s="176" t="s">
        <v>317</v>
      </c>
      <c r="B33" s="185">
        <v>35046</v>
      </c>
      <c r="C33" s="185">
        <v>6110</v>
      </c>
      <c r="D33" s="197">
        <v>0.17434229298636078</v>
      </c>
      <c r="E33" s="223">
        <v>4.3305691943989819</v>
      </c>
      <c r="F33" s="185">
        <v>238138</v>
      </c>
      <c r="G33" s="195">
        <v>1.2457229147222189E-3</v>
      </c>
    </row>
    <row r="34" spans="1:7" x14ac:dyDescent="0.35">
      <c r="A34" s="177" t="s">
        <v>27</v>
      </c>
      <c r="B34" s="184">
        <v>39085</v>
      </c>
      <c r="C34" s="184">
        <v>6985</v>
      </c>
      <c r="D34" s="225">
        <v>0.17871306127670461</v>
      </c>
      <c r="E34" s="224">
        <v>4.3469339059890242</v>
      </c>
      <c r="F34" s="184">
        <v>273270</v>
      </c>
      <c r="G34" s="194">
        <v>1.4295018052815627E-3</v>
      </c>
    </row>
    <row r="35" spans="1:7" x14ac:dyDescent="0.35">
      <c r="A35" s="176" t="s">
        <v>316</v>
      </c>
      <c r="B35" s="185">
        <v>39085</v>
      </c>
      <c r="C35" s="185">
        <v>6985</v>
      </c>
      <c r="D35" s="197">
        <v>0.17871306127670461</v>
      </c>
      <c r="E35" s="223">
        <v>4.3469339059890242</v>
      </c>
      <c r="F35" s="185">
        <v>273270</v>
      </c>
      <c r="G35" s="195">
        <v>1.4295018052815627E-3</v>
      </c>
    </row>
    <row r="36" spans="1:7" x14ac:dyDescent="0.35">
      <c r="A36" s="177" t="s">
        <v>147</v>
      </c>
      <c r="B36" s="184">
        <v>1603</v>
      </c>
      <c r="C36" s="184"/>
      <c r="D36" s="225"/>
      <c r="E36" s="224"/>
      <c r="F36" s="184"/>
      <c r="G36" s="194"/>
    </row>
    <row r="37" spans="1:7" x14ac:dyDescent="0.35">
      <c r="A37" s="176" t="s">
        <v>315</v>
      </c>
      <c r="B37" s="185">
        <v>1603</v>
      </c>
      <c r="C37" s="185"/>
      <c r="D37" s="197"/>
      <c r="E37" s="223"/>
      <c r="F37" s="185"/>
      <c r="G37" s="195"/>
    </row>
    <row r="38" spans="1:7" x14ac:dyDescent="0.35">
      <c r="A38" s="177" t="s">
        <v>28</v>
      </c>
      <c r="B38" s="184">
        <v>970532</v>
      </c>
      <c r="C38" s="184">
        <v>169610</v>
      </c>
      <c r="D38" s="225">
        <v>0.17475982244789456</v>
      </c>
      <c r="E38" s="224">
        <v>3.8580389488303228</v>
      </c>
      <c r="F38" s="184">
        <v>5889257.875</v>
      </c>
      <c r="G38" s="194">
        <v>3.0807277652435905E-2</v>
      </c>
    </row>
    <row r="39" spans="1:7" x14ac:dyDescent="0.35">
      <c r="A39" s="176" t="s">
        <v>314</v>
      </c>
      <c r="B39" s="185">
        <v>970532</v>
      </c>
      <c r="C39" s="185">
        <v>169610</v>
      </c>
      <c r="D39" s="197">
        <v>0.17475982244789456</v>
      </c>
      <c r="E39" s="223">
        <v>3.8580389488303228</v>
      </c>
      <c r="F39" s="185">
        <v>5889257.875</v>
      </c>
      <c r="G39" s="195">
        <v>3.0807277652435905E-2</v>
      </c>
    </row>
    <row r="40" spans="1:7" x14ac:dyDescent="0.35">
      <c r="A40" s="177" t="s">
        <v>29</v>
      </c>
      <c r="B40" s="184">
        <v>689</v>
      </c>
      <c r="C40" s="184">
        <v>69</v>
      </c>
      <c r="D40" s="225">
        <v>0.10014513788098693</v>
      </c>
      <c r="E40" s="224">
        <v>4.9162640901771333</v>
      </c>
      <c r="F40" s="184">
        <v>3053</v>
      </c>
      <c r="G40" s="194">
        <v>1.5970538337631686E-5</v>
      </c>
    </row>
    <row r="41" spans="1:7" x14ac:dyDescent="0.35">
      <c r="A41" s="176" t="s">
        <v>310</v>
      </c>
      <c r="B41" s="185">
        <v>689</v>
      </c>
      <c r="C41" s="185">
        <v>69</v>
      </c>
      <c r="D41" s="197">
        <v>0.10014513788098693</v>
      </c>
      <c r="E41" s="223">
        <v>4.9162640901771333</v>
      </c>
      <c r="F41" s="185">
        <v>3053</v>
      </c>
      <c r="G41" s="195">
        <v>1.5970538337631686E-5</v>
      </c>
    </row>
    <row r="42" spans="1:7" x14ac:dyDescent="0.35">
      <c r="A42" s="177" t="s">
        <v>30</v>
      </c>
      <c r="B42" s="184">
        <v>175908</v>
      </c>
      <c r="C42" s="184">
        <v>26997</v>
      </c>
      <c r="D42" s="225">
        <v>0.15347226959547036</v>
      </c>
      <c r="E42" s="224">
        <v>3.967216522000387</v>
      </c>
      <c r="F42" s="184">
        <v>963926.5</v>
      </c>
      <c r="G42" s="194">
        <v>5.0423927687222826E-3</v>
      </c>
    </row>
    <row r="43" spans="1:7" x14ac:dyDescent="0.35">
      <c r="A43" s="176" t="s">
        <v>313</v>
      </c>
      <c r="B43" s="185">
        <v>175908</v>
      </c>
      <c r="C43" s="185">
        <v>26997</v>
      </c>
      <c r="D43" s="197">
        <v>0.15347226959547036</v>
      </c>
      <c r="E43" s="223">
        <v>3.967216522000387</v>
      </c>
      <c r="F43" s="185">
        <v>963926.5</v>
      </c>
      <c r="G43" s="195">
        <v>5.0423927687222826E-3</v>
      </c>
    </row>
    <row r="44" spans="1:7" x14ac:dyDescent="0.35">
      <c r="A44" s="177" t="s">
        <v>32</v>
      </c>
      <c r="B44" s="184">
        <v>84314</v>
      </c>
      <c r="C44" s="184">
        <v>54506</v>
      </c>
      <c r="D44" s="225">
        <v>0.64646440686007067</v>
      </c>
      <c r="E44" s="224">
        <v>3.7446399886658757</v>
      </c>
      <c r="F44" s="184">
        <v>1836948.125</v>
      </c>
      <c r="G44" s="194">
        <v>9.6092533424674553E-3</v>
      </c>
    </row>
    <row r="45" spans="1:7" x14ac:dyDescent="0.35">
      <c r="A45" s="176" t="s">
        <v>311</v>
      </c>
      <c r="B45" s="185">
        <v>84314</v>
      </c>
      <c r="C45" s="185">
        <v>54506</v>
      </c>
      <c r="D45" s="197">
        <v>0.64646440686007067</v>
      </c>
      <c r="E45" s="223">
        <v>3.7446399886658757</v>
      </c>
      <c r="F45" s="185">
        <v>1836948.125</v>
      </c>
      <c r="G45" s="195">
        <v>9.6092533424674553E-3</v>
      </c>
    </row>
    <row r="46" spans="1:7" x14ac:dyDescent="0.35">
      <c r="A46" s="177" t="s">
        <v>33</v>
      </c>
      <c r="B46" s="184">
        <v>460792</v>
      </c>
      <c r="C46" s="184">
        <v>68249</v>
      </c>
      <c r="D46" s="225">
        <v>0.14811238042327124</v>
      </c>
      <c r="E46" s="224">
        <v>4.0495837545849263</v>
      </c>
      <c r="F46" s="184">
        <v>2487420.375</v>
      </c>
      <c r="G46" s="194">
        <v>1.3011936606860034E-2</v>
      </c>
    </row>
    <row r="47" spans="1:7" x14ac:dyDescent="0.35">
      <c r="A47" s="176" t="s">
        <v>308</v>
      </c>
      <c r="B47" s="185">
        <v>460792</v>
      </c>
      <c r="C47" s="185">
        <v>68249</v>
      </c>
      <c r="D47" s="197">
        <v>0.14811238042327124</v>
      </c>
      <c r="E47" s="223">
        <v>4.0495837545849263</v>
      </c>
      <c r="F47" s="185">
        <v>2487420.375</v>
      </c>
      <c r="G47" s="195">
        <v>1.3011936606860034E-2</v>
      </c>
    </row>
    <row r="48" spans="1:7" x14ac:dyDescent="0.35">
      <c r="A48" s="177" t="s">
        <v>34</v>
      </c>
      <c r="B48" s="184">
        <v>65442</v>
      </c>
      <c r="C48" s="184">
        <v>17865</v>
      </c>
      <c r="D48" s="225">
        <v>0.27298982304941782</v>
      </c>
      <c r="E48" s="224">
        <v>3.6167117579376185</v>
      </c>
      <c r="F48" s="184">
        <v>581513</v>
      </c>
      <c r="G48" s="194">
        <v>3.0419507567413084E-3</v>
      </c>
    </row>
    <row r="49" spans="1:7" x14ac:dyDescent="0.35">
      <c r="A49" s="176" t="s">
        <v>307</v>
      </c>
      <c r="B49" s="185">
        <v>65442</v>
      </c>
      <c r="C49" s="185">
        <v>17865</v>
      </c>
      <c r="D49" s="197">
        <v>0.27298982304941782</v>
      </c>
      <c r="E49" s="223">
        <v>3.6167117579376185</v>
      </c>
      <c r="F49" s="185">
        <v>581513</v>
      </c>
      <c r="G49" s="195">
        <v>3.0419507567413084E-3</v>
      </c>
    </row>
    <row r="50" spans="1:7" x14ac:dyDescent="0.35">
      <c r="A50" s="177" t="s">
        <v>35</v>
      </c>
      <c r="B50" s="184">
        <v>2003</v>
      </c>
      <c r="C50" s="184">
        <v>427</v>
      </c>
      <c r="D50" s="225">
        <v>0.21318022965551672</v>
      </c>
      <c r="E50" s="224">
        <v>4.4839968774395</v>
      </c>
      <c r="F50" s="184">
        <v>17232</v>
      </c>
      <c r="G50" s="194">
        <v>9.0142258969560835E-5</v>
      </c>
    </row>
    <row r="51" spans="1:7" x14ac:dyDescent="0.35">
      <c r="A51" s="176" t="s">
        <v>305</v>
      </c>
      <c r="B51" s="185">
        <v>2003</v>
      </c>
      <c r="C51" s="185">
        <v>427</v>
      </c>
      <c r="D51" s="197">
        <v>0.21318022965551672</v>
      </c>
      <c r="E51" s="223">
        <v>4.4839968774395</v>
      </c>
      <c r="F51" s="185">
        <v>17232</v>
      </c>
      <c r="G51" s="195">
        <v>9.0142258969560835E-5</v>
      </c>
    </row>
    <row r="52" spans="1:7" x14ac:dyDescent="0.35">
      <c r="A52" s="177" t="s">
        <v>36</v>
      </c>
      <c r="B52" s="184">
        <v>227159</v>
      </c>
      <c r="C52" s="184">
        <v>91915</v>
      </c>
      <c r="D52" s="225">
        <v>0.40462847608943514</v>
      </c>
      <c r="E52" s="224">
        <v>3.6459441694319028</v>
      </c>
      <c r="F52" s="184">
        <v>3016052.625</v>
      </c>
      <c r="G52" s="194">
        <v>1.5777263044833668E-2</v>
      </c>
    </row>
    <row r="53" spans="1:7" x14ac:dyDescent="0.35">
      <c r="A53" s="176" t="s">
        <v>304</v>
      </c>
      <c r="B53" s="185">
        <v>227159</v>
      </c>
      <c r="C53" s="185">
        <v>91915</v>
      </c>
      <c r="D53" s="197">
        <v>0.40462847608943514</v>
      </c>
      <c r="E53" s="223">
        <v>3.6459441694319028</v>
      </c>
      <c r="F53" s="185">
        <v>3016052.625</v>
      </c>
      <c r="G53" s="195">
        <v>1.5777263044833668E-2</v>
      </c>
    </row>
    <row r="54" spans="1:7" x14ac:dyDescent="0.35">
      <c r="A54" s="177" t="s">
        <v>37</v>
      </c>
      <c r="B54" s="184">
        <v>6663</v>
      </c>
      <c r="C54" s="184">
        <v>726</v>
      </c>
      <c r="D54" s="225">
        <v>0.10895992796037821</v>
      </c>
      <c r="E54" s="224">
        <v>4.419038873584328</v>
      </c>
      <c r="F54" s="184">
        <v>28874</v>
      </c>
      <c r="G54" s="194">
        <v>1.5104268718007773E-4</v>
      </c>
    </row>
    <row r="55" spans="1:7" x14ac:dyDescent="0.35">
      <c r="A55" s="176" t="s">
        <v>303</v>
      </c>
      <c r="B55" s="185">
        <v>6663</v>
      </c>
      <c r="C55" s="185">
        <v>726</v>
      </c>
      <c r="D55" s="197">
        <v>0.10895992796037821</v>
      </c>
      <c r="E55" s="223">
        <v>4.419038873584328</v>
      </c>
      <c r="F55" s="185">
        <v>28874</v>
      </c>
      <c r="G55" s="195">
        <v>1.5104268718007773E-4</v>
      </c>
    </row>
    <row r="56" spans="1:7" x14ac:dyDescent="0.35">
      <c r="A56" s="177" t="s">
        <v>38</v>
      </c>
      <c r="B56" s="184">
        <v>2184</v>
      </c>
      <c r="C56" s="184"/>
      <c r="D56" s="225"/>
      <c r="E56" s="224"/>
      <c r="F56" s="184"/>
      <c r="G56" s="194"/>
    </row>
    <row r="57" spans="1:7" x14ac:dyDescent="0.35">
      <c r="A57" s="176" t="s">
        <v>300</v>
      </c>
      <c r="B57" s="185">
        <v>2184</v>
      </c>
      <c r="C57" s="185"/>
      <c r="D57" s="197"/>
      <c r="E57" s="223"/>
      <c r="F57" s="185"/>
      <c r="G57" s="195"/>
    </row>
    <row r="58" spans="1:7" x14ac:dyDescent="0.35">
      <c r="A58" s="177" t="s">
        <v>39</v>
      </c>
      <c r="B58" s="184">
        <v>341618</v>
      </c>
      <c r="C58" s="184">
        <v>109051</v>
      </c>
      <c r="D58" s="225">
        <v>0.31921912779771555</v>
      </c>
      <c r="E58" s="224">
        <v>3.904610635798337</v>
      </c>
      <c r="F58" s="184">
        <v>3832215.25</v>
      </c>
      <c r="G58" s="194">
        <v>2.0046688689217752E-2</v>
      </c>
    </row>
    <row r="59" spans="1:7" x14ac:dyDescent="0.35">
      <c r="A59" s="176" t="s">
        <v>299</v>
      </c>
      <c r="B59" s="185">
        <v>341618</v>
      </c>
      <c r="C59" s="185">
        <v>109051</v>
      </c>
      <c r="D59" s="197">
        <v>0.31921912779771555</v>
      </c>
      <c r="E59" s="223">
        <v>3.904610635798337</v>
      </c>
      <c r="F59" s="185">
        <v>3832215.25</v>
      </c>
      <c r="G59" s="195">
        <v>2.0046688689217752E-2</v>
      </c>
    </row>
    <row r="60" spans="1:7" x14ac:dyDescent="0.35">
      <c r="A60" s="177" t="s">
        <v>40</v>
      </c>
      <c r="B60" s="184">
        <v>88331</v>
      </c>
      <c r="C60" s="184">
        <v>49230</v>
      </c>
      <c r="D60" s="225">
        <v>0.55733547678617923</v>
      </c>
      <c r="E60" s="224">
        <v>4.4311305211366152</v>
      </c>
      <c r="F60" s="184">
        <v>1963301</v>
      </c>
      <c r="G60" s="194">
        <v>1.0270217454572758E-2</v>
      </c>
    </row>
    <row r="61" spans="1:7" x14ac:dyDescent="0.35">
      <c r="A61" s="176" t="s">
        <v>298</v>
      </c>
      <c r="B61" s="185">
        <v>88331</v>
      </c>
      <c r="C61" s="185">
        <v>49230</v>
      </c>
      <c r="D61" s="197">
        <v>0.55733547678617923</v>
      </c>
      <c r="E61" s="223">
        <v>4.4311305211366152</v>
      </c>
      <c r="F61" s="185">
        <v>1963301</v>
      </c>
      <c r="G61" s="195">
        <v>1.0270217454572758E-2</v>
      </c>
    </row>
    <row r="62" spans="1:7" x14ac:dyDescent="0.35">
      <c r="A62" s="177" t="s">
        <v>460</v>
      </c>
      <c r="B62" s="184">
        <v>724612</v>
      </c>
      <c r="C62" s="184">
        <v>161638</v>
      </c>
      <c r="D62" s="225">
        <v>0.22306834554216601</v>
      </c>
      <c r="E62" s="224">
        <v>4.0467436837597326</v>
      </c>
      <c r="F62" s="184">
        <v>5886968</v>
      </c>
      <c r="G62" s="194">
        <v>3.079529909479559E-2</v>
      </c>
    </row>
    <row r="63" spans="1:7" x14ac:dyDescent="0.35">
      <c r="A63" s="176" t="s">
        <v>297</v>
      </c>
      <c r="B63" s="185">
        <v>724612</v>
      </c>
      <c r="C63" s="185">
        <v>161638</v>
      </c>
      <c r="D63" s="197">
        <v>0.22306834554216601</v>
      </c>
      <c r="E63" s="223">
        <v>4.0467436837597326</v>
      </c>
      <c r="F63" s="185">
        <v>5886968</v>
      </c>
      <c r="G63" s="195">
        <v>3.079529909479559E-2</v>
      </c>
    </row>
    <row r="64" spans="1:7" x14ac:dyDescent="0.35">
      <c r="A64" s="177" t="s">
        <v>41</v>
      </c>
      <c r="B64" s="184">
        <v>48676</v>
      </c>
      <c r="C64" s="184">
        <v>21038</v>
      </c>
      <c r="D64" s="225">
        <v>0.43220478264442436</v>
      </c>
      <c r="E64" s="224">
        <v>4.6100719861414801</v>
      </c>
      <c r="F64" s="184">
        <v>872880.25</v>
      </c>
      <c r="G64" s="194">
        <v>4.5661210274439996E-3</v>
      </c>
    </row>
    <row r="65" spans="1:7" x14ac:dyDescent="0.35">
      <c r="A65" s="176" t="s">
        <v>302</v>
      </c>
      <c r="B65" s="185">
        <v>48676</v>
      </c>
      <c r="C65" s="185">
        <v>21038</v>
      </c>
      <c r="D65" s="197">
        <v>0.43220478264442436</v>
      </c>
      <c r="E65" s="223">
        <v>4.6100719861414801</v>
      </c>
      <c r="F65" s="185">
        <v>872880.25</v>
      </c>
      <c r="G65" s="195">
        <v>4.5661210274439996E-3</v>
      </c>
    </row>
    <row r="66" spans="1:7" x14ac:dyDescent="0.35">
      <c r="A66" s="177" t="s">
        <v>42</v>
      </c>
      <c r="B66" s="184">
        <v>11553</v>
      </c>
      <c r="C66" s="184">
        <v>6524</v>
      </c>
      <c r="D66" s="225">
        <v>0.56470180905392542</v>
      </c>
      <c r="E66" s="224">
        <v>4.4402888480141698</v>
      </c>
      <c r="F66" s="184">
        <v>260716</v>
      </c>
      <c r="G66" s="194">
        <v>1.36383061684703E-3</v>
      </c>
    </row>
    <row r="67" spans="1:7" x14ac:dyDescent="0.35">
      <c r="A67" s="176" t="s">
        <v>301</v>
      </c>
      <c r="B67" s="185">
        <v>11553</v>
      </c>
      <c r="C67" s="185">
        <v>6524</v>
      </c>
      <c r="D67" s="197">
        <v>0.56470180905392542</v>
      </c>
      <c r="E67" s="223">
        <v>4.4402888480141698</v>
      </c>
      <c r="F67" s="185">
        <v>260716</v>
      </c>
      <c r="G67" s="195">
        <v>1.36383061684703E-3</v>
      </c>
    </row>
    <row r="68" spans="1:7" x14ac:dyDescent="0.35">
      <c r="A68" s="177" t="s">
        <v>43</v>
      </c>
      <c r="B68" s="184">
        <v>54455</v>
      </c>
      <c r="C68" s="184">
        <v>12615</v>
      </c>
      <c r="D68" s="225">
        <v>0.23165916812046644</v>
      </c>
      <c r="E68" s="224">
        <v>4.0752367111463421</v>
      </c>
      <c r="F68" s="184">
        <v>462682</v>
      </c>
      <c r="G68" s="194">
        <v>2.4203343004035715E-3</v>
      </c>
    </row>
    <row r="69" spans="1:7" x14ac:dyDescent="0.35">
      <c r="A69" s="176" t="s">
        <v>296</v>
      </c>
      <c r="B69" s="185">
        <v>54455</v>
      </c>
      <c r="C69" s="185">
        <v>12615</v>
      </c>
      <c r="D69" s="197">
        <v>0.23165916812046644</v>
      </c>
      <c r="E69" s="223">
        <v>4.0752367111463421</v>
      </c>
      <c r="F69" s="185">
        <v>462682</v>
      </c>
      <c r="G69" s="195">
        <v>2.4203343004035715E-3</v>
      </c>
    </row>
    <row r="70" spans="1:7" x14ac:dyDescent="0.35">
      <c r="A70" s="177" t="s">
        <v>44</v>
      </c>
      <c r="B70" s="184">
        <v>615239</v>
      </c>
      <c r="C70" s="184">
        <v>208740</v>
      </c>
      <c r="D70" s="225">
        <v>0.33928278278847734</v>
      </c>
      <c r="E70" s="224">
        <v>4.1199540496949956</v>
      </c>
      <c r="F70" s="184">
        <v>7739992.875</v>
      </c>
      <c r="G70" s="194">
        <v>4.0488651471727352E-2</v>
      </c>
    </row>
    <row r="71" spans="1:7" x14ac:dyDescent="0.35">
      <c r="A71" s="176" t="s">
        <v>295</v>
      </c>
      <c r="B71" s="185">
        <v>615239</v>
      </c>
      <c r="C71" s="185">
        <v>208740</v>
      </c>
      <c r="D71" s="197">
        <v>0.33928278278847734</v>
      </c>
      <c r="E71" s="223">
        <v>4.1199540496949956</v>
      </c>
      <c r="F71" s="185">
        <v>7739992.875</v>
      </c>
      <c r="G71" s="195">
        <v>4.0488651471727352E-2</v>
      </c>
    </row>
    <row r="72" spans="1:7" ht="23" x14ac:dyDescent="0.35">
      <c r="A72" s="177" t="s">
        <v>155</v>
      </c>
      <c r="B72" s="184">
        <v>14018</v>
      </c>
      <c r="C72" s="184">
        <v>5245</v>
      </c>
      <c r="D72" s="225">
        <v>0.37416179198173777</v>
      </c>
      <c r="E72" s="224">
        <v>4.3882215866963241</v>
      </c>
      <c r="F72" s="184">
        <v>207146</v>
      </c>
      <c r="G72" s="194">
        <v>1.083600764653473E-3</v>
      </c>
    </row>
    <row r="73" spans="1:7" x14ac:dyDescent="0.35">
      <c r="A73" s="176" t="s">
        <v>294</v>
      </c>
      <c r="B73" s="185">
        <v>14018</v>
      </c>
      <c r="C73" s="185">
        <v>5245</v>
      </c>
      <c r="D73" s="197">
        <v>0.37416179198173777</v>
      </c>
      <c r="E73" s="223">
        <v>4.3882215866963241</v>
      </c>
      <c r="F73" s="185">
        <v>207146</v>
      </c>
      <c r="G73" s="195">
        <v>1.083600764653473E-3</v>
      </c>
    </row>
    <row r="74" spans="1:7" ht="23" x14ac:dyDescent="0.35">
      <c r="A74" s="177" t="s">
        <v>519</v>
      </c>
      <c r="B74" s="184">
        <v>15109</v>
      </c>
      <c r="C74" s="184">
        <v>2564</v>
      </c>
      <c r="D74" s="225">
        <v>0.16970017870143622</v>
      </c>
      <c r="E74" s="224">
        <v>3.6864707921650202</v>
      </c>
      <c r="F74" s="184">
        <v>85069</v>
      </c>
      <c r="G74" s="194">
        <v>4.4500416830789056E-4</v>
      </c>
    </row>
    <row r="75" spans="1:7" x14ac:dyDescent="0.35">
      <c r="A75" s="176" t="s">
        <v>293</v>
      </c>
      <c r="B75" s="185">
        <v>15109</v>
      </c>
      <c r="C75" s="185">
        <v>2564</v>
      </c>
      <c r="D75" s="197">
        <v>0.16970017870143622</v>
      </c>
      <c r="E75" s="223">
        <v>3.6864707921650202</v>
      </c>
      <c r="F75" s="185">
        <v>85069</v>
      </c>
      <c r="G75" s="195">
        <v>4.4500416830789056E-4</v>
      </c>
    </row>
    <row r="76" spans="1:7" x14ac:dyDescent="0.35">
      <c r="A76" s="177" t="s">
        <v>47</v>
      </c>
      <c r="B76" s="184">
        <v>1857</v>
      </c>
      <c r="C76" s="184">
        <v>473</v>
      </c>
      <c r="D76" s="225">
        <v>0.25471190091545504</v>
      </c>
      <c r="E76" s="224">
        <v>4</v>
      </c>
      <c r="F76" s="184">
        <v>17028</v>
      </c>
      <c r="G76" s="194">
        <v>8.9075115235241512E-5</v>
      </c>
    </row>
    <row r="77" spans="1:7" x14ac:dyDescent="0.35">
      <c r="A77" s="176" t="s">
        <v>292</v>
      </c>
      <c r="B77" s="185">
        <v>1857</v>
      </c>
      <c r="C77" s="185">
        <v>473</v>
      </c>
      <c r="D77" s="197">
        <v>0.25471190091545504</v>
      </c>
      <c r="E77" s="223">
        <v>4</v>
      </c>
      <c r="F77" s="185">
        <v>17028</v>
      </c>
      <c r="G77" s="195">
        <v>8.9075115235241512E-5</v>
      </c>
    </row>
    <row r="78" spans="1:7" ht="23" x14ac:dyDescent="0.35">
      <c r="A78" s="177" t="s">
        <v>520</v>
      </c>
      <c r="B78" s="184">
        <v>1911</v>
      </c>
      <c r="C78" s="184">
        <v>1208</v>
      </c>
      <c r="D78" s="225">
        <v>0.6321297749869178</v>
      </c>
      <c r="E78" s="224">
        <v>4.5336644591611481</v>
      </c>
      <c r="F78" s="184">
        <v>49290</v>
      </c>
      <c r="G78" s="194">
        <v>2.5784075815979884E-4</v>
      </c>
    </row>
    <row r="79" spans="1:7" x14ac:dyDescent="0.35">
      <c r="A79" s="176" t="s">
        <v>291</v>
      </c>
      <c r="B79" s="185">
        <v>1911</v>
      </c>
      <c r="C79" s="185">
        <v>1208</v>
      </c>
      <c r="D79" s="197">
        <v>0.6321297749869178</v>
      </c>
      <c r="E79" s="223">
        <v>4.5336644591611481</v>
      </c>
      <c r="F79" s="185">
        <v>49290</v>
      </c>
      <c r="G79" s="195">
        <v>2.5784075815979884E-4</v>
      </c>
    </row>
    <row r="80" spans="1:7" x14ac:dyDescent="0.35">
      <c r="A80" s="177" t="s">
        <v>49</v>
      </c>
      <c r="B80" s="184">
        <v>1857</v>
      </c>
      <c r="C80" s="184">
        <v>1277</v>
      </c>
      <c r="D80" s="225">
        <v>0.68766828217555198</v>
      </c>
      <c r="E80" s="224">
        <v>4.6330810058296352</v>
      </c>
      <c r="F80" s="184">
        <v>53248</v>
      </c>
      <c r="G80" s="194">
        <v>2.7854543904428823E-4</v>
      </c>
    </row>
    <row r="81" spans="1:7" x14ac:dyDescent="0.35">
      <c r="A81" s="176" t="s">
        <v>289</v>
      </c>
      <c r="B81" s="185">
        <v>1857</v>
      </c>
      <c r="C81" s="185">
        <v>1277</v>
      </c>
      <c r="D81" s="197">
        <v>0.68766828217555198</v>
      </c>
      <c r="E81" s="223">
        <v>4.6330810058296352</v>
      </c>
      <c r="F81" s="185">
        <v>53248</v>
      </c>
      <c r="G81" s="195">
        <v>2.7854543904428823E-4</v>
      </c>
    </row>
    <row r="82" spans="1:7" ht="23" x14ac:dyDescent="0.35">
      <c r="A82" s="177" t="s">
        <v>50</v>
      </c>
      <c r="B82" s="184">
        <v>279069</v>
      </c>
      <c r="C82" s="184">
        <v>83867</v>
      </c>
      <c r="D82" s="225">
        <v>0.3005242431083352</v>
      </c>
      <c r="E82" s="224">
        <v>4.2515451051466409</v>
      </c>
      <c r="F82" s="184">
        <v>3209079</v>
      </c>
      <c r="G82" s="194">
        <v>1.678700268522396E-2</v>
      </c>
    </row>
    <row r="83" spans="1:7" x14ac:dyDescent="0.35">
      <c r="A83" s="176" t="s">
        <v>288</v>
      </c>
      <c r="B83" s="185">
        <v>279069</v>
      </c>
      <c r="C83" s="185">
        <v>83867</v>
      </c>
      <c r="D83" s="197">
        <v>0.3005242431083352</v>
      </c>
      <c r="E83" s="223">
        <v>4.2515451051466409</v>
      </c>
      <c r="F83" s="185">
        <v>3209079</v>
      </c>
      <c r="G83" s="195">
        <v>1.678700268522396E-2</v>
      </c>
    </row>
    <row r="84" spans="1:7" x14ac:dyDescent="0.35">
      <c r="A84" s="177" t="s">
        <v>52</v>
      </c>
      <c r="B84" s="184">
        <v>522437</v>
      </c>
      <c r="C84" s="184">
        <v>294250</v>
      </c>
      <c r="D84" s="225">
        <v>0.56322580521670551</v>
      </c>
      <c r="E84" s="224">
        <v>4.3711742660247337</v>
      </c>
      <c r="F84" s="184">
        <v>11575962.25</v>
      </c>
      <c r="G84" s="194">
        <v>6.0554978351982362E-2</v>
      </c>
    </row>
    <row r="85" spans="1:7" x14ac:dyDescent="0.35">
      <c r="A85" s="176" t="s">
        <v>276</v>
      </c>
      <c r="B85" s="185">
        <v>522437</v>
      </c>
      <c r="C85" s="185">
        <v>294250</v>
      </c>
      <c r="D85" s="197">
        <v>0.56322580521670551</v>
      </c>
      <c r="E85" s="223">
        <v>4.3711742660247337</v>
      </c>
      <c r="F85" s="185">
        <v>11575962.25</v>
      </c>
      <c r="G85" s="195">
        <v>6.0554978351982362E-2</v>
      </c>
    </row>
    <row r="86" spans="1:7" x14ac:dyDescent="0.35">
      <c r="A86" s="177" t="s">
        <v>53</v>
      </c>
      <c r="B86" s="184">
        <v>414581</v>
      </c>
      <c r="C86" s="184">
        <v>76947</v>
      </c>
      <c r="D86" s="225">
        <v>0.18560184861341933</v>
      </c>
      <c r="E86" s="224">
        <v>4.1144063085269371</v>
      </c>
      <c r="F86" s="184">
        <v>2849321</v>
      </c>
      <c r="G86" s="194">
        <v>1.4905073785364905E-2</v>
      </c>
    </row>
    <row r="87" spans="1:7" x14ac:dyDescent="0.35">
      <c r="A87" s="176" t="s">
        <v>270</v>
      </c>
      <c r="B87" s="185">
        <v>414581</v>
      </c>
      <c r="C87" s="185">
        <v>76947</v>
      </c>
      <c r="D87" s="197">
        <v>0.18560184861341933</v>
      </c>
      <c r="E87" s="223">
        <v>4.1144063085269371</v>
      </c>
      <c r="F87" s="185">
        <v>2849321</v>
      </c>
      <c r="G87" s="195">
        <v>1.4905073785364905E-2</v>
      </c>
    </row>
    <row r="88" spans="1:7" x14ac:dyDescent="0.35">
      <c r="A88" s="177" t="s">
        <v>54</v>
      </c>
      <c r="B88" s="184">
        <v>2193</v>
      </c>
      <c r="C88" s="184"/>
      <c r="D88" s="225"/>
      <c r="E88" s="224"/>
      <c r="F88" s="184"/>
      <c r="G88" s="194"/>
    </row>
    <row r="89" spans="1:7" x14ac:dyDescent="0.35">
      <c r="A89" s="176" t="s">
        <v>287</v>
      </c>
      <c r="B89" s="185">
        <v>2193</v>
      </c>
      <c r="C89" s="185"/>
      <c r="D89" s="197"/>
      <c r="E89" s="223"/>
      <c r="F89" s="185"/>
      <c r="G89" s="195"/>
    </row>
    <row r="90" spans="1:7" x14ac:dyDescent="0.35">
      <c r="A90" s="177" t="s">
        <v>55</v>
      </c>
      <c r="B90" s="184">
        <v>65057</v>
      </c>
      <c r="C90" s="184">
        <v>17212</v>
      </c>
      <c r="D90" s="225">
        <v>0.26456799422045285</v>
      </c>
      <c r="E90" s="224">
        <v>4.0517532987321507</v>
      </c>
      <c r="F90" s="184">
        <v>627649</v>
      </c>
      <c r="G90" s="194">
        <v>3.2832926357930529E-3</v>
      </c>
    </row>
    <row r="91" spans="1:7" x14ac:dyDescent="0.35">
      <c r="A91" s="176" t="s">
        <v>286</v>
      </c>
      <c r="B91" s="185">
        <v>65057</v>
      </c>
      <c r="C91" s="185">
        <v>17212</v>
      </c>
      <c r="D91" s="197">
        <v>0.26456799422045285</v>
      </c>
      <c r="E91" s="223">
        <v>4.0517532987321507</v>
      </c>
      <c r="F91" s="185">
        <v>627649</v>
      </c>
      <c r="G91" s="195">
        <v>3.2832926357930529E-3</v>
      </c>
    </row>
    <row r="92" spans="1:7" x14ac:dyDescent="0.35">
      <c r="A92" s="177" t="s">
        <v>56</v>
      </c>
      <c r="B92" s="184">
        <v>321214</v>
      </c>
      <c r="C92" s="184">
        <v>57293</v>
      </c>
      <c r="D92" s="225">
        <v>0.17836395673912095</v>
      </c>
      <c r="E92" s="224">
        <v>4.0647422508470106</v>
      </c>
      <c r="F92" s="184">
        <v>2095931.5</v>
      </c>
      <c r="G92" s="194">
        <v>1.0964020430330785E-2</v>
      </c>
    </row>
    <row r="93" spans="1:7" x14ac:dyDescent="0.35">
      <c r="A93" s="176" t="s">
        <v>285</v>
      </c>
      <c r="B93" s="185">
        <v>321214</v>
      </c>
      <c r="C93" s="185">
        <v>57293</v>
      </c>
      <c r="D93" s="197">
        <v>0.17836395673912095</v>
      </c>
      <c r="E93" s="223">
        <v>4.0647422508470106</v>
      </c>
      <c r="F93" s="185">
        <v>2095931.5</v>
      </c>
      <c r="G93" s="195">
        <v>1.0964020430330785E-2</v>
      </c>
    </row>
    <row r="94" spans="1:7" ht="23" x14ac:dyDescent="0.35">
      <c r="A94" s="177" t="s">
        <v>58</v>
      </c>
      <c r="B94" s="184">
        <v>2495</v>
      </c>
      <c r="C94" s="184">
        <v>2119</v>
      </c>
      <c r="D94" s="225">
        <v>0.84929859719438883</v>
      </c>
      <c r="E94" s="224">
        <v>4.5058990089664936</v>
      </c>
      <c r="F94" s="184">
        <v>85932</v>
      </c>
      <c r="G94" s="194">
        <v>4.4951860479180023E-4</v>
      </c>
    </row>
    <row r="95" spans="1:7" x14ac:dyDescent="0.35">
      <c r="A95" s="176" t="s">
        <v>283</v>
      </c>
      <c r="B95" s="185">
        <v>2495</v>
      </c>
      <c r="C95" s="185">
        <v>2119</v>
      </c>
      <c r="D95" s="197">
        <v>0.84929859719438883</v>
      </c>
      <c r="E95" s="223">
        <v>4.5058990089664936</v>
      </c>
      <c r="F95" s="185">
        <v>85932</v>
      </c>
      <c r="G95" s="195">
        <v>4.4951860479180023E-4</v>
      </c>
    </row>
    <row r="96" spans="1:7" x14ac:dyDescent="0.35">
      <c r="A96" s="177" t="s">
        <v>515</v>
      </c>
      <c r="B96" s="184">
        <v>61827</v>
      </c>
      <c r="C96" s="184">
        <v>28197</v>
      </c>
      <c r="D96" s="225">
        <v>0.45606288514726578</v>
      </c>
      <c r="E96" s="224">
        <v>4.620794962427051</v>
      </c>
      <c r="F96" s="184">
        <v>1172633</v>
      </c>
      <c r="G96" s="194">
        <v>6.1341566598336252E-3</v>
      </c>
    </row>
    <row r="97" spans="1:7" x14ac:dyDescent="0.35">
      <c r="A97" s="176" t="s">
        <v>511</v>
      </c>
      <c r="B97" s="185">
        <v>61827</v>
      </c>
      <c r="C97" s="185">
        <v>28197</v>
      </c>
      <c r="D97" s="197">
        <v>0.45606288514726578</v>
      </c>
      <c r="E97" s="223">
        <v>4.620794962427051</v>
      </c>
      <c r="F97" s="185">
        <v>1172633</v>
      </c>
      <c r="G97" s="195">
        <v>6.1341566598336252E-3</v>
      </c>
    </row>
    <row r="98" spans="1:7" x14ac:dyDescent="0.35">
      <c r="A98" s="177" t="s">
        <v>132</v>
      </c>
      <c r="B98" s="184">
        <v>9446</v>
      </c>
      <c r="C98" s="184">
        <v>8519</v>
      </c>
      <c r="D98" s="225">
        <v>0.90186322252805418</v>
      </c>
      <c r="E98" s="224">
        <v>4.7777777777777777</v>
      </c>
      <c r="F98" s="184">
        <v>366317</v>
      </c>
      <c r="G98" s="194">
        <v>1.9162396633561174E-3</v>
      </c>
    </row>
    <row r="99" spans="1:7" x14ac:dyDescent="0.35">
      <c r="A99" s="176" t="s">
        <v>282</v>
      </c>
      <c r="B99" s="185">
        <v>9446</v>
      </c>
      <c r="C99" s="185">
        <v>8519</v>
      </c>
      <c r="D99" s="197">
        <v>0.90186322252805418</v>
      </c>
      <c r="E99" s="223">
        <v>4.7777777777777777</v>
      </c>
      <c r="F99" s="185">
        <v>366317</v>
      </c>
      <c r="G99" s="195">
        <v>1.9162396633561174E-3</v>
      </c>
    </row>
    <row r="100" spans="1:7" x14ac:dyDescent="0.35">
      <c r="A100" s="177" t="s">
        <v>59</v>
      </c>
      <c r="B100" s="184">
        <v>17393</v>
      </c>
      <c r="C100" s="184">
        <v>8222</v>
      </c>
      <c r="D100" s="225">
        <v>0.47271890990628412</v>
      </c>
      <c r="E100" s="224">
        <v>4.4256601529771071</v>
      </c>
      <c r="F100" s="184">
        <v>327490</v>
      </c>
      <c r="G100" s="194">
        <v>1.7131318703540782E-3</v>
      </c>
    </row>
    <row r="101" spans="1:7" x14ac:dyDescent="0.35">
      <c r="A101" s="176" t="s">
        <v>281</v>
      </c>
      <c r="B101" s="185">
        <v>17393</v>
      </c>
      <c r="C101" s="185">
        <v>8222</v>
      </c>
      <c r="D101" s="197">
        <v>0.47271890990628412</v>
      </c>
      <c r="E101" s="223">
        <v>4.4256601529771071</v>
      </c>
      <c r="F101" s="185">
        <v>327490</v>
      </c>
      <c r="G101" s="195">
        <v>1.7131318703540782E-3</v>
      </c>
    </row>
    <row r="102" spans="1:7" ht="23" x14ac:dyDescent="0.35">
      <c r="A102" s="177" t="s">
        <v>60</v>
      </c>
      <c r="B102" s="184">
        <v>260396</v>
      </c>
      <c r="C102" s="184">
        <v>91774</v>
      </c>
      <c r="D102" s="225">
        <v>0.35244012964868893</v>
      </c>
      <c r="E102" s="224">
        <v>4.024091790703249</v>
      </c>
      <c r="F102" s="184">
        <v>3323763</v>
      </c>
      <c r="G102" s="194">
        <v>1.7386925783393941E-2</v>
      </c>
    </row>
    <row r="103" spans="1:7" x14ac:dyDescent="0.35">
      <c r="A103" s="176" t="s">
        <v>280</v>
      </c>
      <c r="B103" s="185">
        <v>260396</v>
      </c>
      <c r="C103" s="185">
        <v>91774</v>
      </c>
      <c r="D103" s="197">
        <v>0.35244012964868893</v>
      </c>
      <c r="E103" s="223">
        <v>4.024091790703249</v>
      </c>
      <c r="F103" s="185">
        <v>3323763</v>
      </c>
      <c r="G103" s="195">
        <v>1.7386925783393941E-2</v>
      </c>
    </row>
    <row r="104" spans="1:7" x14ac:dyDescent="0.35">
      <c r="A104" s="177" t="s">
        <v>61</v>
      </c>
      <c r="B104" s="184">
        <v>1100795</v>
      </c>
      <c r="C104" s="184">
        <v>207628</v>
      </c>
      <c r="D104" s="225">
        <v>0.18861640904982307</v>
      </c>
      <c r="E104" s="224">
        <v>3.9490684327525938</v>
      </c>
      <c r="F104" s="184">
        <v>7379434.625</v>
      </c>
      <c r="G104" s="194">
        <v>3.860253638670462E-2</v>
      </c>
    </row>
    <row r="105" spans="1:7" x14ac:dyDescent="0.35">
      <c r="A105" s="176" t="s">
        <v>279</v>
      </c>
      <c r="B105" s="185">
        <v>1100795</v>
      </c>
      <c r="C105" s="185">
        <v>207628</v>
      </c>
      <c r="D105" s="197">
        <v>0.18861640904982307</v>
      </c>
      <c r="E105" s="223">
        <v>3.9490684327525938</v>
      </c>
      <c r="F105" s="185">
        <v>7379434.625</v>
      </c>
      <c r="G105" s="195">
        <v>3.860253638670462E-2</v>
      </c>
    </row>
    <row r="106" spans="1:7" x14ac:dyDescent="0.35">
      <c r="A106" s="177" t="s">
        <v>490</v>
      </c>
      <c r="B106" s="184">
        <v>95211</v>
      </c>
      <c r="C106" s="184">
        <v>16822</v>
      </c>
      <c r="D106" s="225">
        <v>0.17668126582012583</v>
      </c>
      <c r="E106" s="224">
        <v>3.9946894939166961</v>
      </c>
      <c r="F106" s="184">
        <v>604788</v>
      </c>
      <c r="G106" s="194">
        <v>3.1637045332917105E-3</v>
      </c>
    </row>
    <row r="107" spans="1:7" x14ac:dyDescent="0.35">
      <c r="A107" s="176" t="s">
        <v>239</v>
      </c>
      <c r="B107" s="185">
        <v>95211</v>
      </c>
      <c r="C107" s="185">
        <v>16822</v>
      </c>
      <c r="D107" s="197">
        <v>0.17668126582012583</v>
      </c>
      <c r="E107" s="223">
        <v>3.9946894939166961</v>
      </c>
      <c r="F107" s="185">
        <v>604788</v>
      </c>
      <c r="G107" s="195">
        <v>3.1637045332917105E-3</v>
      </c>
    </row>
    <row r="108" spans="1:7" x14ac:dyDescent="0.35">
      <c r="A108" s="177" t="s">
        <v>458</v>
      </c>
      <c r="B108" s="184">
        <v>874550</v>
      </c>
      <c r="C108" s="184">
        <v>225403</v>
      </c>
      <c r="D108" s="225">
        <v>0.25773597850323021</v>
      </c>
      <c r="E108" s="224">
        <v>4.0369576935533242</v>
      </c>
      <c r="F108" s="184">
        <v>8189481.375</v>
      </c>
      <c r="G108" s="194">
        <v>4.2839969297333164E-2</v>
      </c>
    </row>
    <row r="109" spans="1:7" x14ac:dyDescent="0.35">
      <c r="A109" s="176" t="s">
        <v>253</v>
      </c>
      <c r="B109" s="185">
        <v>874550</v>
      </c>
      <c r="C109" s="185">
        <v>225403</v>
      </c>
      <c r="D109" s="197">
        <v>0.25773597850323021</v>
      </c>
      <c r="E109" s="223">
        <v>4.0369576935533242</v>
      </c>
      <c r="F109" s="185">
        <v>8189481.375</v>
      </c>
      <c r="G109" s="195">
        <v>4.2839969297333164E-2</v>
      </c>
    </row>
    <row r="110" spans="1:7" x14ac:dyDescent="0.35">
      <c r="A110" s="177" t="s">
        <v>62</v>
      </c>
      <c r="B110" s="184">
        <v>382109</v>
      </c>
      <c r="C110" s="184">
        <v>105063</v>
      </c>
      <c r="D110" s="225">
        <v>0.27495557550332494</v>
      </c>
      <c r="E110" s="224">
        <v>4.145827979402835</v>
      </c>
      <c r="F110" s="184">
        <v>3920158.125</v>
      </c>
      <c r="G110" s="194">
        <v>2.0506726375660284E-2</v>
      </c>
    </row>
    <row r="111" spans="1:7" x14ac:dyDescent="0.35">
      <c r="A111" s="176" t="s">
        <v>278</v>
      </c>
      <c r="B111" s="185">
        <v>382109</v>
      </c>
      <c r="C111" s="185">
        <v>105063</v>
      </c>
      <c r="D111" s="197">
        <v>0.27495557550332494</v>
      </c>
      <c r="E111" s="223">
        <v>4.145827979402835</v>
      </c>
      <c r="F111" s="185">
        <v>3920158.125</v>
      </c>
      <c r="G111" s="195">
        <v>2.0506726375660284E-2</v>
      </c>
    </row>
    <row r="112" spans="1:7" x14ac:dyDescent="0.35">
      <c r="A112" s="177" t="s">
        <v>494</v>
      </c>
      <c r="B112" s="184">
        <v>302713</v>
      </c>
      <c r="C112" s="184">
        <v>99644</v>
      </c>
      <c r="D112" s="225">
        <v>0.32916987377482965</v>
      </c>
      <c r="E112" s="224">
        <v>4.1616446215192759</v>
      </c>
      <c r="F112" s="184">
        <v>3732146.25</v>
      </c>
      <c r="G112" s="194">
        <v>1.9523218069856969E-2</v>
      </c>
    </row>
    <row r="113" spans="1:7" x14ac:dyDescent="0.35">
      <c r="A113" s="176" t="s">
        <v>493</v>
      </c>
      <c r="B113" s="185">
        <v>302713</v>
      </c>
      <c r="C113" s="185">
        <v>99644</v>
      </c>
      <c r="D113" s="197">
        <v>0.32916987377482965</v>
      </c>
      <c r="E113" s="223">
        <v>4.1616446215192759</v>
      </c>
      <c r="F113" s="185">
        <v>3732146.25</v>
      </c>
      <c r="G113" s="195">
        <v>1.9523218069856969E-2</v>
      </c>
    </row>
    <row r="114" spans="1:7" x14ac:dyDescent="0.35">
      <c r="A114" s="177" t="s">
        <v>63</v>
      </c>
      <c r="B114" s="184">
        <v>24419</v>
      </c>
      <c r="C114" s="184">
        <v>13001</v>
      </c>
      <c r="D114" s="225">
        <v>0.53241328473729477</v>
      </c>
      <c r="E114" s="224">
        <v>4.5001495611448696</v>
      </c>
      <c r="F114" s="184">
        <v>526558</v>
      </c>
      <c r="G114" s="194">
        <v>2.7544758355672011E-3</v>
      </c>
    </row>
    <row r="115" spans="1:7" x14ac:dyDescent="0.35">
      <c r="A115" s="176" t="s">
        <v>274</v>
      </c>
      <c r="B115" s="185">
        <v>24419</v>
      </c>
      <c r="C115" s="185">
        <v>13001</v>
      </c>
      <c r="D115" s="197">
        <v>0.53241328473729477</v>
      </c>
      <c r="E115" s="223">
        <v>4.5001495611448696</v>
      </c>
      <c r="F115" s="185">
        <v>526558</v>
      </c>
      <c r="G115" s="195">
        <v>2.7544758355672011E-3</v>
      </c>
    </row>
    <row r="116" spans="1:7" ht="23" x14ac:dyDescent="0.35">
      <c r="A116" s="177" t="s">
        <v>521</v>
      </c>
      <c r="B116" s="184">
        <v>51</v>
      </c>
      <c r="C116" s="184">
        <v>8</v>
      </c>
      <c r="D116" s="225">
        <v>0.15686274509803921</v>
      </c>
      <c r="E116" s="224">
        <v>4.2222222222222223</v>
      </c>
      <c r="F116" s="184">
        <v>304</v>
      </c>
      <c r="G116" s="194">
        <v>1.5902534080052514E-6</v>
      </c>
    </row>
    <row r="117" spans="1:7" x14ac:dyDescent="0.35">
      <c r="A117" s="176" t="s">
        <v>273</v>
      </c>
      <c r="B117" s="185">
        <v>51</v>
      </c>
      <c r="C117" s="185">
        <v>8</v>
      </c>
      <c r="D117" s="197">
        <v>0.15686274509803921</v>
      </c>
      <c r="E117" s="223">
        <v>4.2222222222222223</v>
      </c>
      <c r="F117" s="185">
        <v>304</v>
      </c>
      <c r="G117" s="195">
        <v>1.5902534080052514E-6</v>
      </c>
    </row>
    <row r="118" spans="1:7" ht="23" x14ac:dyDescent="0.35">
      <c r="A118" s="177" t="s">
        <v>369</v>
      </c>
      <c r="B118" s="184">
        <v>13084</v>
      </c>
      <c r="C118" s="184">
        <v>4434</v>
      </c>
      <c r="D118" s="225">
        <v>0.33888719046163251</v>
      </c>
      <c r="E118" s="224">
        <v>4.3896907733172954</v>
      </c>
      <c r="F118" s="184">
        <v>175175</v>
      </c>
      <c r="G118" s="194">
        <v>9.163573708793418E-4</v>
      </c>
    </row>
    <row r="119" spans="1:7" x14ac:dyDescent="0.35">
      <c r="A119" s="176" t="s">
        <v>272</v>
      </c>
      <c r="B119" s="185">
        <v>13084</v>
      </c>
      <c r="C119" s="185">
        <v>4434</v>
      </c>
      <c r="D119" s="197">
        <v>0.33888719046163251</v>
      </c>
      <c r="E119" s="223">
        <v>4.3896907733172954</v>
      </c>
      <c r="F119" s="185">
        <v>175175</v>
      </c>
      <c r="G119" s="195">
        <v>9.163573708793418E-4</v>
      </c>
    </row>
    <row r="120" spans="1:7" x14ac:dyDescent="0.35">
      <c r="A120" s="177" t="s">
        <v>66</v>
      </c>
      <c r="B120" s="184">
        <v>15042</v>
      </c>
      <c r="C120" s="184">
        <v>2835</v>
      </c>
      <c r="D120" s="225">
        <v>0.18847227762265656</v>
      </c>
      <c r="E120" s="224">
        <v>4.4035273368606704</v>
      </c>
      <c r="F120" s="184">
        <v>112356</v>
      </c>
      <c r="G120" s="194">
        <v>5.8774510496657252E-4</v>
      </c>
    </row>
    <row r="121" spans="1:7" x14ac:dyDescent="0.35">
      <c r="A121" s="176" t="s">
        <v>271</v>
      </c>
      <c r="B121" s="185">
        <v>15042</v>
      </c>
      <c r="C121" s="185">
        <v>2835</v>
      </c>
      <c r="D121" s="197">
        <v>0.18847227762265656</v>
      </c>
      <c r="E121" s="223">
        <v>4.4035273368606704</v>
      </c>
      <c r="F121" s="185">
        <v>112356</v>
      </c>
      <c r="G121" s="195">
        <v>5.8774510496657252E-4</v>
      </c>
    </row>
    <row r="122" spans="1:7" x14ac:dyDescent="0.35">
      <c r="A122" s="177" t="s">
        <v>148</v>
      </c>
      <c r="B122" s="184">
        <v>227</v>
      </c>
      <c r="C122" s="184">
        <v>49</v>
      </c>
      <c r="D122" s="225">
        <v>0.21585903083700442</v>
      </c>
      <c r="E122" s="224">
        <v>4.5034013605442178</v>
      </c>
      <c r="F122" s="184">
        <v>1986</v>
      </c>
      <c r="G122" s="194">
        <v>1.0388958119402728E-5</v>
      </c>
    </row>
    <row r="123" spans="1:7" x14ac:dyDescent="0.35">
      <c r="A123" s="176" t="s">
        <v>269</v>
      </c>
      <c r="B123" s="185">
        <v>227</v>
      </c>
      <c r="C123" s="185">
        <v>49</v>
      </c>
      <c r="D123" s="197">
        <v>0.21585903083700442</v>
      </c>
      <c r="E123" s="223">
        <v>4.5034013605442178</v>
      </c>
      <c r="F123" s="185">
        <v>1986</v>
      </c>
      <c r="G123" s="195">
        <v>1.0388958119402728E-5</v>
      </c>
    </row>
    <row r="124" spans="1:7" x14ac:dyDescent="0.35">
      <c r="A124" s="177" t="s">
        <v>67</v>
      </c>
      <c r="B124" s="184">
        <v>1470</v>
      </c>
      <c r="C124" s="184"/>
      <c r="D124" s="225"/>
      <c r="E124" s="224"/>
      <c r="F124" s="184"/>
      <c r="G124" s="194"/>
    </row>
    <row r="125" spans="1:7" x14ac:dyDescent="0.35">
      <c r="A125" s="176" t="s">
        <v>309</v>
      </c>
      <c r="B125" s="185">
        <v>1470</v>
      </c>
      <c r="C125" s="185"/>
      <c r="D125" s="197"/>
      <c r="E125" s="223"/>
      <c r="F125" s="185"/>
      <c r="G125" s="195"/>
    </row>
    <row r="126" spans="1:7" x14ac:dyDescent="0.35">
      <c r="A126" s="177" t="s">
        <v>68</v>
      </c>
      <c r="B126" s="184">
        <v>3006</v>
      </c>
      <c r="C126" s="184">
        <v>1894</v>
      </c>
      <c r="D126" s="225">
        <v>0.6300731869594145</v>
      </c>
      <c r="E126" s="224">
        <v>4.5297870468145014</v>
      </c>
      <c r="F126" s="184">
        <v>77214.75</v>
      </c>
      <c r="G126" s="194">
        <v>4.0391782676241277E-4</v>
      </c>
    </row>
    <row r="127" spans="1:7" x14ac:dyDescent="0.35">
      <c r="A127" s="176" t="s">
        <v>268</v>
      </c>
      <c r="B127" s="185">
        <v>3006</v>
      </c>
      <c r="C127" s="185">
        <v>1894</v>
      </c>
      <c r="D127" s="197">
        <v>0.6300731869594145</v>
      </c>
      <c r="E127" s="223">
        <v>4.5297870468145014</v>
      </c>
      <c r="F127" s="185">
        <v>77214.75</v>
      </c>
      <c r="G127" s="195">
        <v>4.0391782676241277E-4</v>
      </c>
    </row>
    <row r="128" spans="1:7" x14ac:dyDescent="0.35">
      <c r="A128" s="177" t="s">
        <v>69</v>
      </c>
      <c r="B128" s="184">
        <v>384</v>
      </c>
      <c r="C128" s="184">
        <v>384</v>
      </c>
      <c r="D128" s="225">
        <v>1</v>
      </c>
      <c r="E128" s="224">
        <v>4.666666666666667</v>
      </c>
      <c r="F128" s="184">
        <v>16128</v>
      </c>
      <c r="G128" s="194">
        <v>8.4367128172068079E-5</v>
      </c>
    </row>
    <row r="129" spans="1:7" x14ac:dyDescent="0.35">
      <c r="A129" s="176" t="s">
        <v>267</v>
      </c>
      <c r="B129" s="185">
        <v>384</v>
      </c>
      <c r="C129" s="185">
        <v>384</v>
      </c>
      <c r="D129" s="197">
        <v>1</v>
      </c>
      <c r="E129" s="223">
        <v>4.666666666666667</v>
      </c>
      <c r="F129" s="185">
        <v>16128</v>
      </c>
      <c r="G129" s="195">
        <v>8.4367128172068079E-5</v>
      </c>
    </row>
    <row r="130" spans="1:7" x14ac:dyDescent="0.35">
      <c r="A130" s="177" t="s">
        <v>489</v>
      </c>
      <c r="B130" s="184">
        <v>42205</v>
      </c>
      <c r="C130" s="184">
        <v>8244</v>
      </c>
      <c r="D130" s="225">
        <v>0.19533230659874423</v>
      </c>
      <c r="E130" s="224">
        <v>4.2014394306970724</v>
      </c>
      <c r="F130" s="184">
        <v>311730</v>
      </c>
      <c r="G130" s="194">
        <v>1.6306897857811743E-3</v>
      </c>
    </row>
    <row r="131" spans="1:7" x14ac:dyDescent="0.35">
      <c r="A131" s="176" t="s">
        <v>306</v>
      </c>
      <c r="B131" s="185">
        <v>42205</v>
      </c>
      <c r="C131" s="185">
        <v>8244</v>
      </c>
      <c r="D131" s="197">
        <v>0.19533230659874423</v>
      </c>
      <c r="E131" s="223">
        <v>4.2014394306970724</v>
      </c>
      <c r="F131" s="185">
        <v>311730</v>
      </c>
      <c r="G131" s="195">
        <v>1.6306897857811743E-3</v>
      </c>
    </row>
    <row r="132" spans="1:7" x14ac:dyDescent="0.35">
      <c r="A132" s="177" t="s">
        <v>70</v>
      </c>
      <c r="B132" s="184">
        <v>242634</v>
      </c>
      <c r="C132" s="184">
        <v>56387</v>
      </c>
      <c r="D132" s="225">
        <v>0.23239529497102632</v>
      </c>
      <c r="E132" s="224">
        <v>4.0544853226610549</v>
      </c>
      <c r="F132" s="184">
        <v>2057582.375</v>
      </c>
      <c r="G132" s="194">
        <v>1.0763412447681872E-2</v>
      </c>
    </row>
    <row r="133" spans="1:7" x14ac:dyDescent="0.35">
      <c r="A133" s="176" t="s">
        <v>266</v>
      </c>
      <c r="B133" s="185">
        <v>242634</v>
      </c>
      <c r="C133" s="185">
        <v>56387</v>
      </c>
      <c r="D133" s="197">
        <v>0.23239529497102632</v>
      </c>
      <c r="E133" s="223">
        <v>4.0544853226610549</v>
      </c>
      <c r="F133" s="185">
        <v>2057582.375</v>
      </c>
      <c r="G133" s="195">
        <v>1.0763412447681872E-2</v>
      </c>
    </row>
    <row r="134" spans="1:7" x14ac:dyDescent="0.35">
      <c r="A134" s="177" t="s">
        <v>71</v>
      </c>
      <c r="B134" s="184">
        <v>158438</v>
      </c>
      <c r="C134" s="184">
        <v>52557</v>
      </c>
      <c r="D134" s="225">
        <v>0.33171966321210822</v>
      </c>
      <c r="E134" s="224">
        <v>4.0083782052501729</v>
      </c>
      <c r="F134" s="184">
        <v>1896015</v>
      </c>
      <c r="G134" s="194">
        <v>9.9182378795364366E-3</v>
      </c>
    </row>
    <row r="135" spans="1:7" x14ac:dyDescent="0.35">
      <c r="A135" s="176" t="s">
        <v>264</v>
      </c>
      <c r="B135" s="185">
        <v>158438</v>
      </c>
      <c r="C135" s="185">
        <v>52557</v>
      </c>
      <c r="D135" s="197">
        <v>0.33171966321210822</v>
      </c>
      <c r="E135" s="223">
        <v>4.0083782052501729</v>
      </c>
      <c r="F135" s="185">
        <v>1896015</v>
      </c>
      <c r="G135" s="195">
        <v>9.9182378795364366E-3</v>
      </c>
    </row>
    <row r="136" spans="1:7" ht="23" x14ac:dyDescent="0.35">
      <c r="A136" s="177" t="s">
        <v>72</v>
      </c>
      <c r="B136" s="184">
        <v>270658</v>
      </c>
      <c r="C136" s="184">
        <v>33595</v>
      </c>
      <c r="D136" s="225">
        <v>0.1241234325237015</v>
      </c>
      <c r="E136" s="224">
        <v>3.9862144664384584</v>
      </c>
      <c r="F136" s="184">
        <v>1205251.875</v>
      </c>
      <c r="G136" s="194">
        <v>6.3047891504061492E-3</v>
      </c>
    </row>
    <row r="137" spans="1:7" x14ac:dyDescent="0.35">
      <c r="A137" s="176" t="s">
        <v>263</v>
      </c>
      <c r="B137" s="185">
        <v>270658</v>
      </c>
      <c r="C137" s="185">
        <v>33595</v>
      </c>
      <c r="D137" s="197">
        <v>0.1241234325237015</v>
      </c>
      <c r="E137" s="223">
        <v>3.9862144664384584</v>
      </c>
      <c r="F137" s="185">
        <v>1205251.875</v>
      </c>
      <c r="G137" s="195">
        <v>6.3047891504061492E-3</v>
      </c>
    </row>
    <row r="138" spans="1:7" x14ac:dyDescent="0.35">
      <c r="A138" s="177" t="s">
        <v>73</v>
      </c>
      <c r="B138" s="184">
        <v>25137</v>
      </c>
      <c r="C138" s="184">
        <v>2568</v>
      </c>
      <c r="D138" s="225">
        <v>0.10216016231053825</v>
      </c>
      <c r="E138" s="224">
        <v>4.1573208722741439</v>
      </c>
      <c r="F138" s="184">
        <v>96084</v>
      </c>
      <c r="G138" s="194">
        <v>5.026246988643966E-4</v>
      </c>
    </row>
    <row r="139" spans="1:7" x14ac:dyDescent="0.35">
      <c r="A139" s="176" t="s">
        <v>262</v>
      </c>
      <c r="B139" s="185">
        <v>25137</v>
      </c>
      <c r="C139" s="185">
        <v>2568</v>
      </c>
      <c r="D139" s="197">
        <v>0.10216016231053825</v>
      </c>
      <c r="E139" s="223">
        <v>4.1573208722741439</v>
      </c>
      <c r="F139" s="185">
        <v>96084</v>
      </c>
      <c r="G139" s="195">
        <v>5.026246988643966E-4</v>
      </c>
    </row>
    <row r="140" spans="1:7" ht="23" x14ac:dyDescent="0.35">
      <c r="A140" s="177" t="s">
        <v>522</v>
      </c>
      <c r="B140" s="184">
        <v>14543</v>
      </c>
      <c r="C140" s="184">
        <v>1068</v>
      </c>
      <c r="D140" s="225">
        <v>7.3437392559994499E-2</v>
      </c>
      <c r="E140" s="224">
        <v>4.5070744902205577</v>
      </c>
      <c r="F140" s="184">
        <v>43322</v>
      </c>
      <c r="G140" s="194">
        <v>2.2662157283422204E-4</v>
      </c>
    </row>
    <row r="141" spans="1:7" x14ac:dyDescent="0.35">
      <c r="A141" s="176" t="s">
        <v>260</v>
      </c>
      <c r="B141" s="185">
        <v>14543</v>
      </c>
      <c r="C141" s="185">
        <v>1068</v>
      </c>
      <c r="D141" s="197">
        <v>7.3437392559994499E-2</v>
      </c>
      <c r="E141" s="223">
        <v>4.5070744902205577</v>
      </c>
      <c r="F141" s="185">
        <v>43322</v>
      </c>
      <c r="G141" s="195">
        <v>2.2662157283422204E-4</v>
      </c>
    </row>
    <row r="142" spans="1:7" x14ac:dyDescent="0.35">
      <c r="A142" s="177" t="s">
        <v>75</v>
      </c>
      <c r="B142" s="184">
        <v>55379</v>
      </c>
      <c r="C142" s="184">
        <v>12351</v>
      </c>
      <c r="D142" s="225">
        <v>0.22302677910399249</v>
      </c>
      <c r="E142" s="224">
        <v>4.0149335636340737</v>
      </c>
      <c r="F142" s="184">
        <v>446296</v>
      </c>
      <c r="G142" s="194">
        <v>2.3346175492733939E-3</v>
      </c>
    </row>
    <row r="143" spans="1:7" x14ac:dyDescent="0.35">
      <c r="A143" s="176" t="s">
        <v>256</v>
      </c>
      <c r="B143" s="185">
        <v>55379</v>
      </c>
      <c r="C143" s="185">
        <v>12351</v>
      </c>
      <c r="D143" s="197">
        <v>0.22302677910399249</v>
      </c>
      <c r="E143" s="223">
        <v>4.0149335636340737</v>
      </c>
      <c r="F143" s="185">
        <v>446296</v>
      </c>
      <c r="G143" s="195">
        <v>2.3346175492733939E-3</v>
      </c>
    </row>
    <row r="144" spans="1:7" x14ac:dyDescent="0.35">
      <c r="A144" s="177" t="s">
        <v>76</v>
      </c>
      <c r="B144" s="184">
        <v>49097</v>
      </c>
      <c r="C144" s="184">
        <v>25043</v>
      </c>
      <c r="D144" s="225">
        <v>0.51007189848666923</v>
      </c>
      <c r="E144" s="224">
        <v>4.4906849108422398</v>
      </c>
      <c r="F144" s="184">
        <v>1012142</v>
      </c>
      <c r="G144" s="194">
        <v>5.2946127134383264E-3</v>
      </c>
    </row>
    <row r="145" spans="1:7" x14ac:dyDescent="0.35">
      <c r="A145" s="176" t="s">
        <v>258</v>
      </c>
      <c r="B145" s="185">
        <v>49097</v>
      </c>
      <c r="C145" s="185">
        <v>25043</v>
      </c>
      <c r="D145" s="197">
        <v>0.51007189848666923</v>
      </c>
      <c r="E145" s="223">
        <v>4.4906849108422398</v>
      </c>
      <c r="F145" s="185">
        <v>1012142</v>
      </c>
      <c r="G145" s="195">
        <v>5.2946127134383264E-3</v>
      </c>
    </row>
    <row r="146" spans="1:7" x14ac:dyDescent="0.35">
      <c r="A146" s="177" t="s">
        <v>461</v>
      </c>
      <c r="B146" s="184">
        <v>161543</v>
      </c>
      <c r="C146" s="184">
        <v>38512</v>
      </c>
      <c r="D146" s="225">
        <v>0.23840092111697814</v>
      </c>
      <c r="E146" s="224">
        <v>4.0467127129206482</v>
      </c>
      <c r="F146" s="184">
        <v>1402623</v>
      </c>
      <c r="G146" s="194">
        <v>7.3372565983439138E-3</v>
      </c>
    </row>
    <row r="147" spans="1:7" x14ac:dyDescent="0.35">
      <c r="A147" s="176" t="s">
        <v>290</v>
      </c>
      <c r="B147" s="185">
        <v>161543</v>
      </c>
      <c r="C147" s="185">
        <v>38512</v>
      </c>
      <c r="D147" s="197">
        <v>0.23840092111697814</v>
      </c>
      <c r="E147" s="223">
        <v>4.0467127129206482</v>
      </c>
      <c r="F147" s="185">
        <v>1402623</v>
      </c>
      <c r="G147" s="195">
        <v>7.3372565983439138E-3</v>
      </c>
    </row>
    <row r="148" spans="1:7" x14ac:dyDescent="0.35">
      <c r="A148" s="177" t="s">
        <v>77</v>
      </c>
      <c r="B148" s="184">
        <v>209147</v>
      </c>
      <c r="C148" s="184">
        <v>48343</v>
      </c>
      <c r="D148" s="225">
        <v>0.23114364537860929</v>
      </c>
      <c r="E148" s="224">
        <v>4.1908101138393015</v>
      </c>
      <c r="F148" s="184">
        <v>1823367</v>
      </c>
      <c r="G148" s="194">
        <v>9.5382091637970772E-3</v>
      </c>
    </row>
    <row r="149" spans="1:7" x14ac:dyDescent="0.35">
      <c r="A149" s="176" t="s">
        <v>255</v>
      </c>
      <c r="B149" s="185">
        <v>209147</v>
      </c>
      <c r="C149" s="185">
        <v>48343</v>
      </c>
      <c r="D149" s="197">
        <v>0.23114364537860929</v>
      </c>
      <c r="E149" s="223">
        <v>4.1908101138393015</v>
      </c>
      <c r="F149" s="185">
        <v>1823367</v>
      </c>
      <c r="G149" s="195">
        <v>9.5382091637970772E-3</v>
      </c>
    </row>
    <row r="150" spans="1:7" x14ac:dyDescent="0.35">
      <c r="A150" s="177" t="s">
        <v>80</v>
      </c>
      <c r="B150" s="184">
        <v>4841</v>
      </c>
      <c r="C150" s="184">
        <v>1963</v>
      </c>
      <c r="D150" s="225">
        <v>0.40549473249328649</v>
      </c>
      <c r="E150" s="224">
        <v>4.2849380200373579</v>
      </c>
      <c r="F150" s="184">
        <v>75702</v>
      </c>
      <c r="G150" s="194">
        <v>3.9600448517372876E-4</v>
      </c>
    </row>
    <row r="151" spans="1:7" x14ac:dyDescent="0.35">
      <c r="A151" s="176" t="s">
        <v>249</v>
      </c>
      <c r="B151" s="185">
        <v>4841</v>
      </c>
      <c r="C151" s="185">
        <v>1963</v>
      </c>
      <c r="D151" s="197">
        <v>0.40549473249328649</v>
      </c>
      <c r="E151" s="223">
        <v>4.2849380200373579</v>
      </c>
      <c r="F151" s="185">
        <v>75702</v>
      </c>
      <c r="G151" s="195">
        <v>3.9600448517372876E-4</v>
      </c>
    </row>
    <row r="152" spans="1:7" x14ac:dyDescent="0.35">
      <c r="A152" s="177" t="s">
        <v>81</v>
      </c>
      <c r="B152" s="184">
        <v>9265</v>
      </c>
      <c r="C152" s="184">
        <v>1991</v>
      </c>
      <c r="D152" s="225">
        <v>0.21489476524554776</v>
      </c>
      <c r="E152" s="224">
        <v>3.7603660918578043</v>
      </c>
      <c r="F152" s="184">
        <v>67382</v>
      </c>
      <c r="G152" s="194">
        <v>3.5248176032305872E-4</v>
      </c>
    </row>
    <row r="153" spans="1:7" x14ac:dyDescent="0.35">
      <c r="A153" s="176" t="s">
        <v>248</v>
      </c>
      <c r="B153" s="185">
        <v>9265</v>
      </c>
      <c r="C153" s="185">
        <v>1991</v>
      </c>
      <c r="D153" s="197">
        <v>0.21489476524554776</v>
      </c>
      <c r="E153" s="223">
        <v>3.7603660918578043</v>
      </c>
      <c r="F153" s="185">
        <v>67382</v>
      </c>
      <c r="G153" s="195">
        <v>3.5248176032305872E-4</v>
      </c>
    </row>
    <row r="154" spans="1:7" x14ac:dyDescent="0.35">
      <c r="A154" s="177" t="s">
        <v>82</v>
      </c>
      <c r="B154" s="184">
        <v>105743</v>
      </c>
      <c r="C154" s="184">
        <v>12772</v>
      </c>
      <c r="D154" s="225">
        <v>0.1207834088308446</v>
      </c>
      <c r="E154" s="224">
        <v>3.7906618644952506</v>
      </c>
      <c r="F154" s="184">
        <v>435729</v>
      </c>
      <c r="G154" s="194">
        <v>2.2793405500550006E-3</v>
      </c>
    </row>
    <row r="155" spans="1:7" x14ac:dyDescent="0.35">
      <c r="A155" s="176" t="s">
        <v>247</v>
      </c>
      <c r="B155" s="185">
        <v>105743</v>
      </c>
      <c r="C155" s="185">
        <v>12772</v>
      </c>
      <c r="D155" s="197">
        <v>0.1207834088308446</v>
      </c>
      <c r="E155" s="223">
        <v>3.7906618644952506</v>
      </c>
      <c r="F155" s="185">
        <v>435729</v>
      </c>
      <c r="G155" s="195">
        <v>2.2793405500550006E-3</v>
      </c>
    </row>
    <row r="156" spans="1:7" x14ac:dyDescent="0.35">
      <c r="A156" s="177" t="s">
        <v>83</v>
      </c>
      <c r="B156" s="184">
        <v>126580</v>
      </c>
      <c r="C156" s="184">
        <v>72295</v>
      </c>
      <c r="D156" s="225">
        <v>0.5711407805340496</v>
      </c>
      <c r="E156" s="224">
        <v>4.2932306675580758</v>
      </c>
      <c r="F156" s="184">
        <v>2793412</v>
      </c>
      <c r="G156" s="194">
        <v>1.4612608397903834E-2</v>
      </c>
    </row>
    <row r="157" spans="1:7" x14ac:dyDescent="0.35">
      <c r="A157" s="176" t="s">
        <v>246</v>
      </c>
      <c r="B157" s="185">
        <v>126580</v>
      </c>
      <c r="C157" s="185">
        <v>72295</v>
      </c>
      <c r="D157" s="197">
        <v>0.5711407805340496</v>
      </c>
      <c r="E157" s="223">
        <v>4.2932306675580758</v>
      </c>
      <c r="F157" s="185">
        <v>2793412</v>
      </c>
      <c r="G157" s="195">
        <v>1.4612608397903834E-2</v>
      </c>
    </row>
    <row r="158" spans="1:7" ht="23" x14ac:dyDescent="0.35">
      <c r="A158" s="177" t="s">
        <v>523</v>
      </c>
      <c r="B158" s="184">
        <v>6321</v>
      </c>
      <c r="C158" s="184">
        <v>2239</v>
      </c>
      <c r="D158" s="225">
        <v>0.35421610504666984</v>
      </c>
      <c r="E158" s="224">
        <v>3.95414619621855</v>
      </c>
      <c r="F158" s="184">
        <v>79680</v>
      </c>
      <c r="G158" s="194">
        <v>4.1681378799295537E-4</v>
      </c>
    </row>
    <row r="159" spans="1:7" x14ac:dyDescent="0.35">
      <c r="A159" s="176" t="s">
        <v>245</v>
      </c>
      <c r="B159" s="185">
        <v>6321</v>
      </c>
      <c r="C159" s="185">
        <v>2239</v>
      </c>
      <c r="D159" s="197">
        <v>0.35421610504666984</v>
      </c>
      <c r="E159" s="223">
        <v>3.95414619621855</v>
      </c>
      <c r="F159" s="185">
        <v>79680</v>
      </c>
      <c r="G159" s="195">
        <v>4.1681378799295537E-4</v>
      </c>
    </row>
    <row r="160" spans="1:7" x14ac:dyDescent="0.35">
      <c r="A160" s="177" t="s">
        <v>85</v>
      </c>
      <c r="B160" s="184">
        <v>791706</v>
      </c>
      <c r="C160" s="184">
        <v>89770</v>
      </c>
      <c r="D160" s="225">
        <v>0.11338805061474841</v>
      </c>
      <c r="E160" s="224">
        <v>4.2321177267832617</v>
      </c>
      <c r="F160" s="184">
        <v>3419254.875</v>
      </c>
      <c r="G160" s="194">
        <v>1.7886453019103025E-2</v>
      </c>
    </row>
    <row r="161" spans="1:7" x14ac:dyDescent="0.35">
      <c r="A161" s="176" t="s">
        <v>252</v>
      </c>
      <c r="B161" s="185">
        <v>791706</v>
      </c>
      <c r="C161" s="185">
        <v>89770</v>
      </c>
      <c r="D161" s="197">
        <v>0.11338805061474841</v>
      </c>
      <c r="E161" s="223">
        <v>4.2321177267832617</v>
      </c>
      <c r="F161" s="185">
        <v>3419254.875</v>
      </c>
      <c r="G161" s="195">
        <v>1.7886453019103025E-2</v>
      </c>
    </row>
    <row r="162" spans="1:7" ht="23" x14ac:dyDescent="0.35">
      <c r="A162" s="177" t="s">
        <v>516</v>
      </c>
      <c r="B162" s="184">
        <v>30162</v>
      </c>
      <c r="C162" s="184">
        <v>8728</v>
      </c>
      <c r="D162" s="225">
        <v>0.28937073138386049</v>
      </c>
      <c r="E162" s="224">
        <v>3.8262679498930643</v>
      </c>
      <c r="F162" s="184">
        <v>300561</v>
      </c>
      <c r="G162" s="194">
        <v>1.5722636663271919E-3</v>
      </c>
    </row>
    <row r="163" spans="1:7" x14ac:dyDescent="0.35">
      <c r="A163" s="176" t="s">
        <v>242</v>
      </c>
      <c r="B163" s="185">
        <v>30162</v>
      </c>
      <c r="C163" s="185">
        <v>8728</v>
      </c>
      <c r="D163" s="197">
        <v>0.28937073138386049</v>
      </c>
      <c r="E163" s="223">
        <v>3.8262679498930643</v>
      </c>
      <c r="F163" s="185">
        <v>300561</v>
      </c>
      <c r="G163" s="195">
        <v>1.5722636663271919E-3</v>
      </c>
    </row>
    <row r="164" spans="1:7" x14ac:dyDescent="0.35">
      <c r="A164" s="177" t="s">
        <v>87</v>
      </c>
      <c r="B164" s="184">
        <v>2514</v>
      </c>
      <c r="C164" s="184">
        <v>218</v>
      </c>
      <c r="D164" s="225">
        <v>8.6714399363564038E-2</v>
      </c>
      <c r="E164" s="224">
        <v>3.5749235474006116</v>
      </c>
      <c r="F164" s="184">
        <v>7014</v>
      </c>
      <c r="G164" s="194">
        <v>3.6690912512331691E-5</v>
      </c>
    </row>
    <row r="165" spans="1:7" x14ac:dyDescent="0.35">
      <c r="A165" s="176" t="s">
        <v>241</v>
      </c>
      <c r="B165" s="185">
        <v>2514</v>
      </c>
      <c r="C165" s="185">
        <v>218</v>
      </c>
      <c r="D165" s="197">
        <v>8.6714399363564038E-2</v>
      </c>
      <c r="E165" s="223">
        <v>3.5749235474006116</v>
      </c>
      <c r="F165" s="185">
        <v>7014</v>
      </c>
      <c r="G165" s="195">
        <v>3.6690912512331691E-5</v>
      </c>
    </row>
    <row r="166" spans="1:7" ht="23" x14ac:dyDescent="0.35">
      <c r="A166" s="177" t="s">
        <v>88</v>
      </c>
      <c r="B166" s="184">
        <v>18207</v>
      </c>
      <c r="C166" s="184">
        <v>4560</v>
      </c>
      <c r="D166" s="225">
        <v>0.25045312242544077</v>
      </c>
      <c r="E166" s="224">
        <v>4.0444444444444443</v>
      </c>
      <c r="F166" s="184">
        <v>165984</v>
      </c>
      <c r="G166" s="194">
        <v>8.6827836077086728E-4</v>
      </c>
    </row>
    <row r="167" spans="1:7" x14ac:dyDescent="0.35">
      <c r="A167" s="176" t="s">
        <v>240</v>
      </c>
      <c r="B167" s="185">
        <v>18207</v>
      </c>
      <c r="C167" s="185">
        <v>4560</v>
      </c>
      <c r="D167" s="197">
        <v>0.25045312242544077</v>
      </c>
      <c r="E167" s="223">
        <v>4.0444444444444443</v>
      </c>
      <c r="F167" s="185">
        <v>165984</v>
      </c>
      <c r="G167" s="195">
        <v>8.6827836077086728E-4</v>
      </c>
    </row>
    <row r="168" spans="1:7" x14ac:dyDescent="0.35">
      <c r="A168" s="177" t="s">
        <v>89</v>
      </c>
      <c r="B168" s="184">
        <v>10175</v>
      </c>
      <c r="C168" s="184">
        <v>7823</v>
      </c>
      <c r="D168" s="225">
        <v>0.76884520884520879</v>
      </c>
      <c r="E168" s="224">
        <v>4.8426292840200551</v>
      </c>
      <c r="F168" s="184">
        <v>340955</v>
      </c>
      <c r="G168" s="194">
        <v>1.7835685879158897E-3</v>
      </c>
    </row>
    <row r="169" spans="1:7" x14ac:dyDescent="0.35">
      <c r="A169" s="176" t="s">
        <v>244</v>
      </c>
      <c r="B169" s="185">
        <v>10175</v>
      </c>
      <c r="C169" s="185">
        <v>7823</v>
      </c>
      <c r="D169" s="197">
        <v>0.76884520884520879</v>
      </c>
      <c r="E169" s="223">
        <v>4.8426292840200551</v>
      </c>
      <c r="F169" s="185">
        <v>340955</v>
      </c>
      <c r="G169" s="195">
        <v>1.7835685879158897E-3</v>
      </c>
    </row>
    <row r="170" spans="1:7" x14ac:dyDescent="0.35">
      <c r="A170" s="177" t="s">
        <v>90</v>
      </c>
      <c r="B170" s="184">
        <v>3704</v>
      </c>
      <c r="C170" s="184">
        <v>1001</v>
      </c>
      <c r="D170" s="225">
        <v>0.27024838012958963</v>
      </c>
      <c r="E170" s="224">
        <v>4.2486402486402488</v>
      </c>
      <c r="F170" s="184">
        <v>38276</v>
      </c>
      <c r="G170" s="194">
        <v>2.0022545870002962E-4</v>
      </c>
    </row>
    <row r="171" spans="1:7" x14ac:dyDescent="0.35">
      <c r="A171" s="176" t="s">
        <v>243</v>
      </c>
      <c r="B171" s="185">
        <v>3704</v>
      </c>
      <c r="C171" s="185">
        <v>1001</v>
      </c>
      <c r="D171" s="197">
        <v>0.27024838012958963</v>
      </c>
      <c r="E171" s="223">
        <v>4.2486402486402488</v>
      </c>
      <c r="F171" s="185">
        <v>38276</v>
      </c>
      <c r="G171" s="195">
        <v>2.0022545870002962E-4</v>
      </c>
    </row>
    <row r="172" spans="1:7" ht="23" x14ac:dyDescent="0.35">
      <c r="A172" s="177" t="s">
        <v>91</v>
      </c>
      <c r="B172" s="184">
        <v>28855</v>
      </c>
      <c r="C172" s="184">
        <v>12277</v>
      </c>
      <c r="D172" s="225">
        <v>0.42547218852885116</v>
      </c>
      <c r="E172" s="224">
        <v>4.2211429683328356</v>
      </c>
      <c r="F172" s="184">
        <v>466406.75</v>
      </c>
      <c r="G172" s="194">
        <v>2.4398188279741886E-3</v>
      </c>
    </row>
    <row r="173" spans="1:7" x14ac:dyDescent="0.35">
      <c r="A173" s="176" t="s">
        <v>238</v>
      </c>
      <c r="B173" s="185">
        <v>28855</v>
      </c>
      <c r="C173" s="185">
        <v>12277</v>
      </c>
      <c r="D173" s="197">
        <v>0.42547218852885116</v>
      </c>
      <c r="E173" s="223">
        <v>4.2211429683328356</v>
      </c>
      <c r="F173" s="185">
        <v>466406.75</v>
      </c>
      <c r="G173" s="195">
        <v>2.4398188279741886E-3</v>
      </c>
    </row>
    <row r="174" spans="1:7" x14ac:dyDescent="0.35">
      <c r="A174" s="177" t="s">
        <v>92</v>
      </c>
      <c r="B174" s="184">
        <v>234762</v>
      </c>
      <c r="C174" s="184">
        <v>56514</v>
      </c>
      <c r="D174" s="225">
        <v>0.24072890842640632</v>
      </c>
      <c r="E174" s="224">
        <v>4.0386647064837424</v>
      </c>
      <c r="F174" s="184">
        <v>2054169.875</v>
      </c>
      <c r="G174" s="194">
        <v>1.074556133006734E-2</v>
      </c>
    </row>
    <row r="175" spans="1:7" x14ac:dyDescent="0.35">
      <c r="A175" s="176" t="s">
        <v>237</v>
      </c>
      <c r="B175" s="185">
        <v>234762</v>
      </c>
      <c r="C175" s="185">
        <v>56514</v>
      </c>
      <c r="D175" s="197">
        <v>0.24072890842640632</v>
      </c>
      <c r="E175" s="223">
        <v>4.0386647064837424</v>
      </c>
      <c r="F175" s="185">
        <v>2054169.875</v>
      </c>
      <c r="G175" s="195">
        <v>1.074556133006734E-2</v>
      </c>
    </row>
    <row r="176" spans="1:7" x14ac:dyDescent="0.35">
      <c r="A176" s="177" t="s">
        <v>93</v>
      </c>
      <c r="B176" s="184">
        <v>3963</v>
      </c>
      <c r="C176" s="184"/>
      <c r="D176" s="225"/>
      <c r="E176" s="224"/>
      <c r="F176" s="184"/>
      <c r="G176" s="194"/>
    </row>
    <row r="177" spans="1:7" x14ac:dyDescent="0.35">
      <c r="A177" s="176" t="s">
        <v>236</v>
      </c>
      <c r="B177" s="185">
        <v>3963</v>
      </c>
      <c r="C177" s="185"/>
      <c r="D177" s="197"/>
      <c r="E177" s="223"/>
      <c r="F177" s="185"/>
      <c r="G177" s="195"/>
    </row>
    <row r="178" spans="1:7" x14ac:dyDescent="0.35">
      <c r="A178" s="177" t="s">
        <v>456</v>
      </c>
      <c r="B178" s="184">
        <v>380793</v>
      </c>
      <c r="C178" s="184">
        <v>34584</v>
      </c>
      <c r="D178" s="225">
        <v>9.0820997234718079E-2</v>
      </c>
      <c r="E178" s="224">
        <v>4.322467277739225</v>
      </c>
      <c r="F178" s="184">
        <v>1345393.875</v>
      </c>
      <c r="G178" s="194">
        <v>7.037885509303096E-3</v>
      </c>
    </row>
    <row r="179" spans="1:7" x14ac:dyDescent="0.35">
      <c r="A179" s="176" t="s">
        <v>259</v>
      </c>
      <c r="B179" s="185">
        <v>380793</v>
      </c>
      <c r="C179" s="185">
        <v>34584</v>
      </c>
      <c r="D179" s="197">
        <v>9.0820997234718079E-2</v>
      </c>
      <c r="E179" s="223">
        <v>4.322467277739225</v>
      </c>
      <c r="F179" s="185">
        <v>1345393.875</v>
      </c>
      <c r="G179" s="195">
        <v>7.037885509303096E-3</v>
      </c>
    </row>
    <row r="180" spans="1:7" x14ac:dyDescent="0.35">
      <c r="A180" s="177" t="s">
        <v>94</v>
      </c>
      <c r="B180" s="184">
        <v>10392</v>
      </c>
      <c r="C180" s="184">
        <v>5307</v>
      </c>
      <c r="D180" s="225">
        <v>0.51068129330254042</v>
      </c>
      <c r="E180" s="224">
        <v>4.6097606934237803</v>
      </c>
      <c r="F180" s="184">
        <v>220176</v>
      </c>
      <c r="G180" s="194">
        <v>1.1517619551347509E-3</v>
      </c>
    </row>
    <row r="181" spans="1:7" x14ac:dyDescent="0.35">
      <c r="A181" s="176" t="s">
        <v>235</v>
      </c>
      <c r="B181" s="185">
        <v>10392</v>
      </c>
      <c r="C181" s="185">
        <v>5307</v>
      </c>
      <c r="D181" s="197">
        <v>0.51068129330254042</v>
      </c>
      <c r="E181" s="223">
        <v>4.6097606934237803</v>
      </c>
      <c r="F181" s="185">
        <v>220176</v>
      </c>
      <c r="G181" s="195">
        <v>1.1517619551347509E-3</v>
      </c>
    </row>
    <row r="182" spans="1:7" x14ac:dyDescent="0.35">
      <c r="A182" s="177" t="s">
        <v>95</v>
      </c>
      <c r="B182" s="184">
        <v>5064</v>
      </c>
      <c r="C182" s="184">
        <v>858</v>
      </c>
      <c r="D182" s="225">
        <v>0.16943127962085308</v>
      </c>
      <c r="E182" s="224">
        <v>3.6947681947681952</v>
      </c>
      <c r="F182" s="184">
        <v>28531</v>
      </c>
      <c r="G182" s="194">
        <v>1.4924842099933497E-4</v>
      </c>
    </row>
    <row r="183" spans="1:7" x14ac:dyDescent="0.35">
      <c r="A183" s="176" t="s">
        <v>234</v>
      </c>
      <c r="B183" s="185">
        <v>5064</v>
      </c>
      <c r="C183" s="185">
        <v>858</v>
      </c>
      <c r="D183" s="197">
        <v>0.16943127962085308</v>
      </c>
      <c r="E183" s="223">
        <v>3.6947681947681952</v>
      </c>
      <c r="F183" s="185">
        <v>28531</v>
      </c>
      <c r="G183" s="195">
        <v>1.4924842099933497E-4</v>
      </c>
    </row>
    <row r="184" spans="1:7" x14ac:dyDescent="0.35">
      <c r="A184" s="177" t="s">
        <v>96</v>
      </c>
      <c r="B184" s="184">
        <v>417984</v>
      </c>
      <c r="C184" s="184">
        <v>91601</v>
      </c>
      <c r="D184" s="225">
        <v>0.21914953682437605</v>
      </c>
      <c r="E184" s="224">
        <v>3.764187132843043</v>
      </c>
      <c r="F184" s="184">
        <v>3103229.75</v>
      </c>
      <c r="G184" s="194">
        <v>1.6233295018949948E-2</v>
      </c>
    </row>
    <row r="185" spans="1:7" x14ac:dyDescent="0.35">
      <c r="A185" s="176" t="s">
        <v>233</v>
      </c>
      <c r="B185" s="185">
        <v>417984</v>
      </c>
      <c r="C185" s="185">
        <v>91601</v>
      </c>
      <c r="D185" s="197">
        <v>0.21914953682437605</v>
      </c>
      <c r="E185" s="223">
        <v>3.764187132843043</v>
      </c>
      <c r="F185" s="185">
        <v>3103229.75</v>
      </c>
      <c r="G185" s="195">
        <v>1.6233295018949948E-2</v>
      </c>
    </row>
    <row r="186" spans="1:7" x14ac:dyDescent="0.35">
      <c r="A186" s="177" t="s">
        <v>97</v>
      </c>
      <c r="B186" s="184">
        <v>231910</v>
      </c>
      <c r="C186" s="184">
        <v>23563</v>
      </c>
      <c r="D186" s="225">
        <v>0.10160407054460782</v>
      </c>
      <c r="E186" s="224">
        <v>4.1918450301084089</v>
      </c>
      <c r="F186" s="184">
        <v>888952</v>
      </c>
      <c r="G186" s="194">
        <v>4.6501939064246189E-3</v>
      </c>
    </row>
    <row r="187" spans="1:7" x14ac:dyDescent="0.35">
      <c r="A187" s="176" t="s">
        <v>231</v>
      </c>
      <c r="B187" s="185">
        <v>231910</v>
      </c>
      <c r="C187" s="185">
        <v>23563</v>
      </c>
      <c r="D187" s="197">
        <v>0.10160407054460782</v>
      </c>
      <c r="E187" s="223">
        <v>4.1918450301084089</v>
      </c>
      <c r="F187" s="185">
        <v>888952</v>
      </c>
      <c r="G187" s="195">
        <v>4.6501939064246189E-3</v>
      </c>
    </row>
    <row r="188" spans="1:7" x14ac:dyDescent="0.35">
      <c r="A188" s="177" t="s">
        <v>98</v>
      </c>
      <c r="B188" s="184">
        <v>605820</v>
      </c>
      <c r="C188" s="184">
        <v>73598</v>
      </c>
      <c r="D188" s="225">
        <v>0.12148492951701825</v>
      </c>
      <c r="E188" s="224">
        <v>3.9889087792240736</v>
      </c>
      <c r="F188" s="184">
        <v>2642181.375</v>
      </c>
      <c r="G188" s="194">
        <v>1.3821506368953129E-2</v>
      </c>
    </row>
    <row r="189" spans="1:7" x14ac:dyDescent="0.35">
      <c r="A189" s="176" t="s">
        <v>230</v>
      </c>
      <c r="B189" s="185">
        <v>605820</v>
      </c>
      <c r="C189" s="185">
        <v>73598</v>
      </c>
      <c r="D189" s="197">
        <v>0.12148492951701825</v>
      </c>
      <c r="E189" s="223">
        <v>3.9889087792240736</v>
      </c>
      <c r="F189" s="185">
        <v>2642181.375</v>
      </c>
      <c r="G189" s="195">
        <v>1.3821506368953129E-2</v>
      </c>
    </row>
    <row r="190" spans="1:7" x14ac:dyDescent="0.35">
      <c r="A190" s="177" t="s">
        <v>99</v>
      </c>
      <c r="B190" s="184">
        <v>551142</v>
      </c>
      <c r="C190" s="184">
        <v>135587</v>
      </c>
      <c r="D190" s="225">
        <v>0.2460110098667857</v>
      </c>
      <c r="E190" s="224">
        <v>4.3288496397966698</v>
      </c>
      <c r="F190" s="184">
        <v>5282421.625</v>
      </c>
      <c r="G190" s="194">
        <v>2.7632858525252921E-2</v>
      </c>
    </row>
    <row r="191" spans="1:7" x14ac:dyDescent="0.35">
      <c r="A191" s="176" t="s">
        <v>229</v>
      </c>
      <c r="B191" s="185">
        <v>551142</v>
      </c>
      <c r="C191" s="185">
        <v>135587</v>
      </c>
      <c r="D191" s="197">
        <v>0.2460110098667857</v>
      </c>
      <c r="E191" s="223">
        <v>4.3288496397966698</v>
      </c>
      <c r="F191" s="185">
        <v>5282421.625</v>
      </c>
      <c r="G191" s="195">
        <v>2.7632858525252921E-2</v>
      </c>
    </row>
    <row r="192" spans="1:7" x14ac:dyDescent="0.35">
      <c r="A192" s="177" t="s">
        <v>100</v>
      </c>
      <c r="B192" s="184">
        <v>1124442</v>
      </c>
      <c r="C192" s="184">
        <v>226160</v>
      </c>
      <c r="D192" s="225">
        <v>0.20113087202363483</v>
      </c>
      <c r="E192" s="224">
        <v>4.0218331171638564</v>
      </c>
      <c r="F192" s="184">
        <v>8186200</v>
      </c>
      <c r="G192" s="194">
        <v>4.2822804107278255E-2</v>
      </c>
    </row>
    <row r="193" spans="1:7" x14ac:dyDescent="0.35">
      <c r="A193" s="176" t="s">
        <v>228</v>
      </c>
      <c r="B193" s="185">
        <v>1124442</v>
      </c>
      <c r="C193" s="185">
        <v>226160</v>
      </c>
      <c r="D193" s="197">
        <v>0.20113087202363483</v>
      </c>
      <c r="E193" s="223">
        <v>4.0218331171638564</v>
      </c>
      <c r="F193" s="185">
        <v>8186200</v>
      </c>
      <c r="G193" s="195">
        <v>4.2822804107278255E-2</v>
      </c>
    </row>
    <row r="194" spans="1:7" x14ac:dyDescent="0.35">
      <c r="A194" s="177" t="s">
        <v>101</v>
      </c>
      <c r="B194" s="184">
        <v>649660</v>
      </c>
      <c r="C194" s="184">
        <v>137881</v>
      </c>
      <c r="D194" s="225">
        <v>0.21223563094541761</v>
      </c>
      <c r="E194" s="224">
        <v>4.1443418600097184</v>
      </c>
      <c r="F194" s="184">
        <v>5142834</v>
      </c>
      <c r="G194" s="194">
        <v>2.6902662155609471E-2</v>
      </c>
    </row>
    <row r="195" spans="1:7" x14ac:dyDescent="0.35">
      <c r="A195" s="176" t="s">
        <v>227</v>
      </c>
      <c r="B195" s="185">
        <v>649660</v>
      </c>
      <c r="C195" s="185">
        <v>137881</v>
      </c>
      <c r="D195" s="197">
        <v>0.21223563094541761</v>
      </c>
      <c r="E195" s="223">
        <v>4.1443418600097184</v>
      </c>
      <c r="F195" s="185">
        <v>5142834</v>
      </c>
      <c r="G195" s="195">
        <v>2.6902662155609471E-2</v>
      </c>
    </row>
    <row r="196" spans="1:7" x14ac:dyDescent="0.35">
      <c r="A196" s="177" t="s">
        <v>102</v>
      </c>
      <c r="B196" s="184">
        <v>388728</v>
      </c>
      <c r="C196" s="184">
        <v>113480</v>
      </c>
      <c r="D196" s="225">
        <v>0.29192648844436214</v>
      </c>
      <c r="E196" s="224">
        <v>4.2152420397133126</v>
      </c>
      <c r="F196" s="184">
        <v>4305111</v>
      </c>
      <c r="G196" s="194">
        <v>2.252045210391742E-2</v>
      </c>
    </row>
    <row r="197" spans="1:7" x14ac:dyDescent="0.35">
      <c r="A197" s="176" t="s">
        <v>226</v>
      </c>
      <c r="B197" s="185">
        <v>388728</v>
      </c>
      <c r="C197" s="185">
        <v>113480</v>
      </c>
      <c r="D197" s="197">
        <v>0.29192648844436214</v>
      </c>
      <c r="E197" s="223">
        <v>4.2152420397133126</v>
      </c>
      <c r="F197" s="185">
        <v>4305111</v>
      </c>
      <c r="G197" s="195">
        <v>2.252045210391742E-2</v>
      </c>
    </row>
    <row r="198" spans="1:7" ht="23" x14ac:dyDescent="0.35">
      <c r="A198" s="177" t="s">
        <v>133</v>
      </c>
      <c r="B198" s="184">
        <v>515</v>
      </c>
      <c r="C198" s="184">
        <v>262</v>
      </c>
      <c r="D198" s="225">
        <v>0.50873786407766985</v>
      </c>
      <c r="E198" s="224">
        <v>4.7150127226463106</v>
      </c>
      <c r="F198" s="184">
        <v>11118</v>
      </c>
      <c r="G198" s="194">
        <v>5.8159333520402583E-5</v>
      </c>
    </row>
    <row r="199" spans="1:7" x14ac:dyDescent="0.35">
      <c r="A199" s="176" t="s">
        <v>222</v>
      </c>
      <c r="B199" s="185">
        <v>515</v>
      </c>
      <c r="C199" s="185">
        <v>262</v>
      </c>
      <c r="D199" s="197">
        <v>0.50873786407766985</v>
      </c>
      <c r="E199" s="223">
        <v>4.7150127226463106</v>
      </c>
      <c r="F199" s="185">
        <v>11118</v>
      </c>
      <c r="G199" s="195">
        <v>5.8159333520402583E-5</v>
      </c>
    </row>
    <row r="200" spans="1:7" ht="23" x14ac:dyDescent="0.35">
      <c r="A200" s="177" t="s">
        <v>488</v>
      </c>
      <c r="B200" s="184">
        <v>15467</v>
      </c>
      <c r="C200" s="184">
        <v>4874</v>
      </c>
      <c r="D200" s="225">
        <v>0.31512251891123039</v>
      </c>
      <c r="E200" s="224">
        <v>3.6792048511375555</v>
      </c>
      <c r="F200" s="184">
        <v>161392</v>
      </c>
      <c r="G200" s="194">
        <v>8.4425716455520904E-4</v>
      </c>
    </row>
    <row r="201" spans="1:7" x14ac:dyDescent="0.35">
      <c r="A201" s="176" t="s">
        <v>221</v>
      </c>
      <c r="B201" s="185">
        <v>15467</v>
      </c>
      <c r="C201" s="185">
        <v>4874</v>
      </c>
      <c r="D201" s="197">
        <v>0.31512251891123039</v>
      </c>
      <c r="E201" s="223">
        <v>3.6792048511375555</v>
      </c>
      <c r="F201" s="185">
        <v>161392</v>
      </c>
      <c r="G201" s="195">
        <v>8.4425716455520904E-4</v>
      </c>
    </row>
    <row r="202" spans="1:7" ht="23" x14ac:dyDescent="0.35">
      <c r="A202" s="177" t="s">
        <v>105</v>
      </c>
      <c r="B202" s="184">
        <v>34107</v>
      </c>
      <c r="C202" s="184">
        <v>10396</v>
      </c>
      <c r="D202" s="225">
        <v>0.30480546515378076</v>
      </c>
      <c r="E202" s="224">
        <v>4.0627484930101323</v>
      </c>
      <c r="F202" s="184">
        <v>380127</v>
      </c>
      <c r="G202" s="194">
        <v>1.9884811092921455E-3</v>
      </c>
    </row>
    <row r="203" spans="1:7" x14ac:dyDescent="0.35">
      <c r="A203" s="176" t="s">
        <v>220</v>
      </c>
      <c r="B203" s="185">
        <v>34107</v>
      </c>
      <c r="C203" s="185">
        <v>10396</v>
      </c>
      <c r="D203" s="197">
        <v>0.30480546515378076</v>
      </c>
      <c r="E203" s="223">
        <v>4.0627484930101323</v>
      </c>
      <c r="F203" s="185">
        <v>380127</v>
      </c>
      <c r="G203" s="195">
        <v>1.9884811092921455E-3</v>
      </c>
    </row>
    <row r="204" spans="1:7" x14ac:dyDescent="0.35">
      <c r="A204" s="177" t="s">
        <v>106</v>
      </c>
      <c r="B204" s="184">
        <v>62665</v>
      </c>
      <c r="C204" s="184">
        <v>11427</v>
      </c>
      <c r="D204" s="225">
        <v>0.18235059443070295</v>
      </c>
      <c r="E204" s="224">
        <v>3.999314489075581</v>
      </c>
      <c r="F204" s="184">
        <v>411301.5</v>
      </c>
      <c r="G204" s="194">
        <v>2.151557934515368E-3</v>
      </c>
    </row>
    <row r="205" spans="1:7" x14ac:dyDescent="0.35">
      <c r="A205" s="176" t="s">
        <v>219</v>
      </c>
      <c r="B205" s="185">
        <v>62665</v>
      </c>
      <c r="C205" s="185">
        <v>11427</v>
      </c>
      <c r="D205" s="197">
        <v>0.18235059443070295</v>
      </c>
      <c r="E205" s="223">
        <v>3.999314489075581</v>
      </c>
      <c r="F205" s="185">
        <v>411301.5</v>
      </c>
      <c r="G205" s="195">
        <v>2.151557934515368E-3</v>
      </c>
    </row>
    <row r="206" spans="1:7" x14ac:dyDescent="0.35">
      <c r="A206" s="177" t="s">
        <v>453</v>
      </c>
      <c r="B206" s="184">
        <v>19816</v>
      </c>
      <c r="C206" s="184">
        <v>709</v>
      </c>
      <c r="D206" s="225">
        <v>3.5779168348809044E-2</v>
      </c>
      <c r="E206" s="224">
        <v>3.8363892806770101</v>
      </c>
      <c r="F206" s="184">
        <v>24480</v>
      </c>
      <c r="G206" s="194">
        <v>1.2805724811831761E-4</v>
      </c>
    </row>
    <row r="207" spans="1:7" x14ac:dyDescent="0.35">
      <c r="A207" s="176" t="s">
        <v>218</v>
      </c>
      <c r="B207" s="185">
        <v>19816</v>
      </c>
      <c r="C207" s="185">
        <v>709</v>
      </c>
      <c r="D207" s="197">
        <v>3.5779168348809044E-2</v>
      </c>
      <c r="E207" s="223">
        <v>3.8363892806770101</v>
      </c>
      <c r="F207" s="185">
        <v>24480</v>
      </c>
      <c r="G207" s="195">
        <v>1.2805724811831761E-4</v>
      </c>
    </row>
    <row r="208" spans="1:7" x14ac:dyDescent="0.35">
      <c r="A208" s="177" t="s">
        <v>107</v>
      </c>
      <c r="B208" s="184">
        <v>41120</v>
      </c>
      <c r="C208" s="184">
        <v>9646</v>
      </c>
      <c r="D208" s="225">
        <v>0.23458171206225681</v>
      </c>
      <c r="E208" s="224">
        <v>3.7811873660930266</v>
      </c>
      <c r="F208" s="184">
        <v>328260</v>
      </c>
      <c r="G208" s="194">
        <v>1.7171598148414599E-3</v>
      </c>
    </row>
    <row r="209" spans="1:7" x14ac:dyDescent="0.35">
      <c r="A209" s="176" t="s">
        <v>217</v>
      </c>
      <c r="B209" s="185">
        <v>41120</v>
      </c>
      <c r="C209" s="185">
        <v>9646</v>
      </c>
      <c r="D209" s="197">
        <v>0.23458171206225681</v>
      </c>
      <c r="E209" s="223">
        <v>3.7811873660930266</v>
      </c>
      <c r="F209" s="185">
        <v>328260</v>
      </c>
      <c r="G209" s="195">
        <v>1.7171598148414599E-3</v>
      </c>
    </row>
    <row r="210" spans="1:7" ht="23" x14ac:dyDescent="0.35">
      <c r="A210" s="177" t="s">
        <v>108</v>
      </c>
      <c r="B210" s="184">
        <v>58073</v>
      </c>
      <c r="C210" s="184">
        <v>9497</v>
      </c>
      <c r="D210" s="225">
        <v>0.16353555008351559</v>
      </c>
      <c r="E210" s="224">
        <v>3.9106969452341676</v>
      </c>
      <c r="F210" s="184">
        <v>334259</v>
      </c>
      <c r="G210" s="194">
        <v>1.7485411641658794E-3</v>
      </c>
    </row>
    <row r="211" spans="1:7" x14ac:dyDescent="0.35">
      <c r="A211" s="176" t="s">
        <v>216</v>
      </c>
      <c r="B211" s="185">
        <v>58073</v>
      </c>
      <c r="C211" s="185">
        <v>9497</v>
      </c>
      <c r="D211" s="197">
        <v>0.16353555008351559</v>
      </c>
      <c r="E211" s="223">
        <v>3.9106969452341676</v>
      </c>
      <c r="F211" s="185">
        <v>334259</v>
      </c>
      <c r="G211" s="195">
        <v>1.7485411641658794E-3</v>
      </c>
    </row>
    <row r="212" spans="1:7" ht="23" x14ac:dyDescent="0.35">
      <c r="A212" s="177" t="s">
        <v>109</v>
      </c>
      <c r="B212" s="184">
        <v>212271</v>
      </c>
      <c r="C212" s="184">
        <v>51000</v>
      </c>
      <c r="D212" s="225">
        <v>0.24025891431236485</v>
      </c>
      <c r="E212" s="224">
        <v>3.8839428104575169</v>
      </c>
      <c r="F212" s="184">
        <v>1782729.75</v>
      </c>
      <c r="G212" s="194">
        <v>9.3256317779271385E-3</v>
      </c>
    </row>
    <row r="213" spans="1:7" x14ac:dyDescent="0.35">
      <c r="A213" s="176" t="s">
        <v>215</v>
      </c>
      <c r="B213" s="185">
        <v>212271</v>
      </c>
      <c r="C213" s="185">
        <v>51000</v>
      </c>
      <c r="D213" s="197">
        <v>0.24025891431236485</v>
      </c>
      <c r="E213" s="223">
        <v>3.8839428104575169</v>
      </c>
      <c r="F213" s="185">
        <v>1782729.75</v>
      </c>
      <c r="G213" s="195">
        <v>9.3256317779271385E-3</v>
      </c>
    </row>
    <row r="214" spans="1:7" x14ac:dyDescent="0.35">
      <c r="A214" s="177" t="s">
        <v>110</v>
      </c>
      <c r="B214" s="184">
        <v>240072</v>
      </c>
      <c r="C214" s="184">
        <v>48599</v>
      </c>
      <c r="D214" s="225">
        <v>0.20243510280249258</v>
      </c>
      <c r="E214" s="224">
        <v>4.3430706164507278</v>
      </c>
      <c r="F214" s="184">
        <v>1899620</v>
      </c>
      <c r="G214" s="194">
        <v>9.9370959832728156E-3</v>
      </c>
    </row>
    <row r="215" spans="1:7" x14ac:dyDescent="0.35">
      <c r="A215" s="176" t="s">
        <v>214</v>
      </c>
      <c r="B215" s="185">
        <v>240072</v>
      </c>
      <c r="C215" s="185">
        <v>48599</v>
      </c>
      <c r="D215" s="197">
        <v>0.20243510280249258</v>
      </c>
      <c r="E215" s="223">
        <v>4.3430706164507278</v>
      </c>
      <c r="F215" s="185">
        <v>1899620</v>
      </c>
      <c r="G215" s="195">
        <v>9.9370959832728156E-3</v>
      </c>
    </row>
    <row r="216" spans="1:7" x14ac:dyDescent="0.35">
      <c r="A216" s="177" t="s">
        <v>111</v>
      </c>
      <c r="B216" s="184">
        <v>1094656</v>
      </c>
      <c r="C216" s="184">
        <v>198213</v>
      </c>
      <c r="D216" s="225">
        <v>0.18107332349158092</v>
      </c>
      <c r="E216" s="224">
        <v>4.0667561887688723</v>
      </c>
      <c r="F216" s="184">
        <v>7254755.5</v>
      </c>
      <c r="G216" s="194">
        <v>3.7950327822762635E-2</v>
      </c>
    </row>
    <row r="217" spans="1:7" x14ac:dyDescent="0.35">
      <c r="A217" s="176" t="s">
        <v>213</v>
      </c>
      <c r="B217" s="185">
        <v>1094656</v>
      </c>
      <c r="C217" s="185">
        <v>198213</v>
      </c>
      <c r="D217" s="197">
        <v>0.18107332349158092</v>
      </c>
      <c r="E217" s="223">
        <v>4.0667561887688723</v>
      </c>
      <c r="F217" s="185">
        <v>7254755.5</v>
      </c>
      <c r="G217" s="195">
        <v>3.7950327822762635E-2</v>
      </c>
    </row>
    <row r="218" spans="1:7" x14ac:dyDescent="0.35">
      <c r="A218" s="177" t="s">
        <v>112</v>
      </c>
      <c r="B218" s="184">
        <v>89</v>
      </c>
      <c r="C218" s="184"/>
      <c r="D218" s="225"/>
      <c r="E218" s="224"/>
      <c r="F218" s="184"/>
      <c r="G218" s="194"/>
    </row>
    <row r="219" spans="1:7" x14ac:dyDescent="0.35">
      <c r="A219" s="176" t="s">
        <v>212</v>
      </c>
      <c r="B219" s="185">
        <v>89</v>
      </c>
      <c r="C219" s="185"/>
      <c r="D219" s="197"/>
      <c r="E219" s="223"/>
      <c r="F219" s="185"/>
      <c r="G219" s="195"/>
    </row>
    <row r="220" spans="1:7" x14ac:dyDescent="0.35">
      <c r="A220" s="177" t="s">
        <v>113</v>
      </c>
      <c r="B220" s="184">
        <v>5315</v>
      </c>
      <c r="C220" s="184">
        <v>1457</v>
      </c>
      <c r="D220" s="225">
        <v>0.27412982126058327</v>
      </c>
      <c r="E220" s="224">
        <v>4.053763440860215</v>
      </c>
      <c r="F220" s="184">
        <v>53157</v>
      </c>
      <c r="G220" s="194">
        <v>2.7806940924123404E-4</v>
      </c>
    </row>
    <row r="221" spans="1:7" x14ac:dyDescent="0.35">
      <c r="A221" s="176" t="s">
        <v>211</v>
      </c>
      <c r="B221" s="185">
        <v>5315</v>
      </c>
      <c r="C221" s="185">
        <v>1457</v>
      </c>
      <c r="D221" s="197">
        <v>0.27412982126058327</v>
      </c>
      <c r="E221" s="223">
        <v>4.053763440860215</v>
      </c>
      <c r="F221" s="185">
        <v>53157</v>
      </c>
      <c r="G221" s="195">
        <v>2.7806940924123404E-4</v>
      </c>
    </row>
    <row r="222" spans="1:7" x14ac:dyDescent="0.35">
      <c r="A222" s="177" t="s">
        <v>114</v>
      </c>
      <c r="B222" s="184">
        <v>10618</v>
      </c>
      <c r="C222" s="184">
        <v>3069</v>
      </c>
      <c r="D222" s="225">
        <v>0.28903748351855341</v>
      </c>
      <c r="E222" s="224">
        <v>3.9638318670576731</v>
      </c>
      <c r="F222" s="184">
        <v>109485</v>
      </c>
      <c r="G222" s="194">
        <v>5.7272662623504924E-4</v>
      </c>
    </row>
    <row r="223" spans="1:7" x14ac:dyDescent="0.35">
      <c r="A223" s="176" t="s">
        <v>206</v>
      </c>
      <c r="B223" s="185">
        <v>10618</v>
      </c>
      <c r="C223" s="185">
        <v>3069</v>
      </c>
      <c r="D223" s="197">
        <v>0.28903748351855341</v>
      </c>
      <c r="E223" s="223">
        <v>3.9638318670576731</v>
      </c>
      <c r="F223" s="185">
        <v>109485</v>
      </c>
      <c r="G223" s="195">
        <v>5.7272662623504924E-4</v>
      </c>
    </row>
    <row r="224" spans="1:7" x14ac:dyDescent="0.35">
      <c r="A224" s="177" t="s">
        <v>115</v>
      </c>
      <c r="B224" s="184">
        <v>8645</v>
      </c>
      <c r="C224" s="184">
        <v>1342</v>
      </c>
      <c r="D224" s="225">
        <v>0.15523423944476575</v>
      </c>
      <c r="E224" s="224">
        <v>4.0892531876138438</v>
      </c>
      <c r="F224" s="184">
        <v>49390</v>
      </c>
      <c r="G224" s="194">
        <v>2.5836386783348477E-4</v>
      </c>
    </row>
    <row r="225" spans="1:7" x14ac:dyDescent="0.35">
      <c r="A225" s="176" t="s">
        <v>207</v>
      </c>
      <c r="B225" s="185">
        <v>8645</v>
      </c>
      <c r="C225" s="185">
        <v>1342</v>
      </c>
      <c r="D225" s="197">
        <v>0.15523423944476575</v>
      </c>
      <c r="E225" s="223">
        <v>4.0892531876138438</v>
      </c>
      <c r="F225" s="185">
        <v>49390</v>
      </c>
      <c r="G225" s="195">
        <v>2.5836386783348477E-4</v>
      </c>
    </row>
    <row r="226" spans="1:7" x14ac:dyDescent="0.35">
      <c r="A226" s="177" t="s">
        <v>116</v>
      </c>
      <c r="B226" s="184">
        <v>133830</v>
      </c>
      <c r="C226" s="184">
        <v>11725</v>
      </c>
      <c r="D226" s="225">
        <v>8.7611148471942013E-2</v>
      </c>
      <c r="E226" s="224">
        <v>4.4915612414119881</v>
      </c>
      <c r="F226" s="184">
        <v>473972</v>
      </c>
      <c r="G226" s="194">
        <v>2.479393382562714E-3</v>
      </c>
    </row>
    <row r="227" spans="1:7" x14ac:dyDescent="0.35">
      <c r="A227" s="176" t="s">
        <v>204</v>
      </c>
      <c r="B227" s="185">
        <v>133830</v>
      </c>
      <c r="C227" s="185">
        <v>11725</v>
      </c>
      <c r="D227" s="197">
        <v>8.7611148471942013E-2</v>
      </c>
      <c r="E227" s="223">
        <v>4.4915612414119881</v>
      </c>
      <c r="F227" s="185">
        <v>473972</v>
      </c>
      <c r="G227" s="195">
        <v>2.479393382562714E-3</v>
      </c>
    </row>
    <row r="228" spans="1:7" x14ac:dyDescent="0.35">
      <c r="A228" s="177" t="s">
        <v>117</v>
      </c>
      <c r="B228" s="184">
        <v>28290</v>
      </c>
      <c r="C228" s="184">
        <v>6694</v>
      </c>
      <c r="D228" s="225">
        <v>0.23662071403322729</v>
      </c>
      <c r="E228" s="224">
        <v>4.4709026325399197</v>
      </c>
      <c r="F228" s="184">
        <v>269354</v>
      </c>
      <c r="G228" s="194">
        <v>1.4090168304600214E-3</v>
      </c>
    </row>
    <row r="229" spans="1:7" x14ac:dyDescent="0.35">
      <c r="A229" s="176" t="s">
        <v>203</v>
      </c>
      <c r="B229" s="185">
        <v>28290</v>
      </c>
      <c r="C229" s="185">
        <v>6694</v>
      </c>
      <c r="D229" s="197">
        <v>0.23662071403322729</v>
      </c>
      <c r="E229" s="223">
        <v>4.4709026325399197</v>
      </c>
      <c r="F229" s="185">
        <v>269354</v>
      </c>
      <c r="G229" s="195">
        <v>1.4090168304600214E-3</v>
      </c>
    </row>
    <row r="230" spans="1:7" x14ac:dyDescent="0.35">
      <c r="A230" s="177" t="s">
        <v>118</v>
      </c>
      <c r="B230" s="184">
        <v>429058</v>
      </c>
      <c r="C230" s="184">
        <v>61370</v>
      </c>
      <c r="D230" s="225">
        <v>0.14303427508635197</v>
      </c>
      <c r="E230" s="224">
        <v>3.8083948907356109</v>
      </c>
      <c r="F230" s="184">
        <v>2103490.75</v>
      </c>
      <c r="G230" s="194">
        <v>1.100356359833889E-2</v>
      </c>
    </row>
    <row r="231" spans="1:7" x14ac:dyDescent="0.35">
      <c r="A231" s="176" t="s">
        <v>202</v>
      </c>
      <c r="B231" s="185">
        <v>429058</v>
      </c>
      <c r="C231" s="185">
        <v>61370</v>
      </c>
      <c r="D231" s="197">
        <v>0.14303427508635197</v>
      </c>
      <c r="E231" s="223">
        <v>3.8083948907356109</v>
      </c>
      <c r="F231" s="185">
        <v>2103490.75</v>
      </c>
      <c r="G231" s="195">
        <v>1.100356359833889E-2</v>
      </c>
    </row>
    <row r="232" spans="1:7" x14ac:dyDescent="0.35">
      <c r="A232" s="177" t="s">
        <v>119</v>
      </c>
      <c r="B232" s="184">
        <v>19767</v>
      </c>
      <c r="C232" s="184">
        <v>3508</v>
      </c>
      <c r="D232" s="225">
        <v>0.17746749633227096</v>
      </c>
      <c r="E232" s="224">
        <v>4.1781958697580137</v>
      </c>
      <c r="F232" s="184">
        <v>131914</v>
      </c>
      <c r="G232" s="194">
        <v>6.9005489494606827E-4</v>
      </c>
    </row>
    <row r="233" spans="1:7" x14ac:dyDescent="0.35">
      <c r="A233" s="176" t="s">
        <v>201</v>
      </c>
      <c r="B233" s="185">
        <v>19767</v>
      </c>
      <c r="C233" s="185">
        <v>3508</v>
      </c>
      <c r="D233" s="197">
        <v>0.17746749633227096</v>
      </c>
      <c r="E233" s="223">
        <v>4.1781958697580137</v>
      </c>
      <c r="F233" s="185">
        <v>131914</v>
      </c>
      <c r="G233" s="195">
        <v>6.9005489494606827E-4</v>
      </c>
    </row>
    <row r="234" spans="1:7" x14ac:dyDescent="0.35">
      <c r="A234" s="177" t="s">
        <v>395</v>
      </c>
      <c r="B234" s="184">
        <v>6149</v>
      </c>
      <c r="C234" s="184">
        <v>1948</v>
      </c>
      <c r="D234" s="225">
        <v>0.31679947959017729</v>
      </c>
      <c r="E234" s="224">
        <v>4.6629021218343603</v>
      </c>
      <c r="F234" s="184">
        <v>81750</v>
      </c>
      <c r="G234" s="194">
        <v>4.2764215823825431E-4</v>
      </c>
    </row>
    <row r="235" spans="1:7" x14ac:dyDescent="0.35">
      <c r="A235" s="176" t="s">
        <v>394</v>
      </c>
      <c r="B235" s="185">
        <v>6149</v>
      </c>
      <c r="C235" s="185">
        <v>1948</v>
      </c>
      <c r="D235" s="197">
        <v>0.31679947959017729</v>
      </c>
      <c r="E235" s="223">
        <v>4.6629021218343603</v>
      </c>
      <c r="F235" s="185">
        <v>81750</v>
      </c>
      <c r="G235" s="195">
        <v>4.2764215823825431E-4</v>
      </c>
    </row>
    <row r="236" spans="1:7" ht="23" x14ac:dyDescent="0.35">
      <c r="A236" s="177" t="s">
        <v>459</v>
      </c>
      <c r="B236" s="184">
        <v>392965</v>
      </c>
      <c r="C236" s="184">
        <v>45722</v>
      </c>
      <c r="D236" s="225">
        <v>0.1163513289987658</v>
      </c>
      <c r="E236" s="224">
        <v>3.8579081793836179</v>
      </c>
      <c r="F236" s="184">
        <v>1587521.5</v>
      </c>
      <c r="G236" s="194">
        <v>8.3044785383441077E-3</v>
      </c>
    </row>
    <row r="237" spans="1:7" x14ac:dyDescent="0.35">
      <c r="A237" s="176" t="s">
        <v>200</v>
      </c>
      <c r="B237" s="185">
        <v>392965</v>
      </c>
      <c r="C237" s="185">
        <v>45722</v>
      </c>
      <c r="D237" s="197">
        <v>0.1163513289987658</v>
      </c>
      <c r="E237" s="223">
        <v>3.8579081793836179</v>
      </c>
      <c r="F237" s="185">
        <v>1587521.5</v>
      </c>
      <c r="G237" s="195">
        <v>8.3044785383441077E-3</v>
      </c>
    </row>
    <row r="238" spans="1:7" x14ac:dyDescent="0.35">
      <c r="A238" s="177" t="s">
        <v>121</v>
      </c>
      <c r="B238" s="184">
        <v>186853</v>
      </c>
      <c r="C238" s="184">
        <v>21670</v>
      </c>
      <c r="D238" s="225">
        <v>0.11597351929056531</v>
      </c>
      <c r="E238" s="224">
        <v>4.0511421319796952</v>
      </c>
      <c r="F238" s="184">
        <v>790094.25</v>
      </c>
      <c r="G238" s="194">
        <v>4.1330594529863591E-3</v>
      </c>
    </row>
    <row r="239" spans="1:7" x14ac:dyDescent="0.35">
      <c r="A239" s="176" t="s">
        <v>199</v>
      </c>
      <c r="B239" s="185">
        <v>186853</v>
      </c>
      <c r="C239" s="185">
        <v>21670</v>
      </c>
      <c r="D239" s="197">
        <v>0.11597351929056531</v>
      </c>
      <c r="E239" s="223">
        <v>4.0511421319796952</v>
      </c>
      <c r="F239" s="185">
        <v>790094.25</v>
      </c>
      <c r="G239" s="195">
        <v>4.1330594529863591E-3</v>
      </c>
    </row>
    <row r="240" spans="1:7" ht="23" x14ac:dyDescent="0.35">
      <c r="A240" s="177" t="s">
        <v>122</v>
      </c>
      <c r="B240" s="184">
        <v>138221</v>
      </c>
      <c r="C240" s="184">
        <v>34909</v>
      </c>
      <c r="D240" s="225">
        <v>0.25255930719644626</v>
      </c>
      <c r="E240" s="224">
        <v>4.3422963196374065</v>
      </c>
      <c r="F240" s="184">
        <v>1364267</v>
      </c>
      <c r="G240" s="194">
        <v>7.1366126519049351E-3</v>
      </c>
    </row>
    <row r="241" spans="1:7" x14ac:dyDescent="0.35">
      <c r="A241" s="176" t="s">
        <v>198</v>
      </c>
      <c r="B241" s="185">
        <v>138221</v>
      </c>
      <c r="C241" s="185">
        <v>34909</v>
      </c>
      <c r="D241" s="197">
        <v>0.25255930719644626</v>
      </c>
      <c r="E241" s="223">
        <v>4.3422963196374065</v>
      </c>
      <c r="F241" s="185">
        <v>1364267</v>
      </c>
      <c r="G241" s="195">
        <v>7.1366126519049351E-3</v>
      </c>
    </row>
    <row r="242" spans="1:7" ht="23" x14ac:dyDescent="0.35">
      <c r="A242" s="177" t="s">
        <v>524</v>
      </c>
      <c r="B242" s="184">
        <v>900</v>
      </c>
      <c r="C242" s="184">
        <v>344</v>
      </c>
      <c r="D242" s="225">
        <v>0.38222222222222224</v>
      </c>
      <c r="E242" s="224">
        <v>3.9479974160206717</v>
      </c>
      <c r="F242" s="184">
        <v>12223</v>
      </c>
      <c r="G242" s="194">
        <v>6.3939695414632196E-5</v>
      </c>
    </row>
    <row r="243" spans="1:7" x14ac:dyDescent="0.35">
      <c r="A243" s="176" t="s">
        <v>197</v>
      </c>
      <c r="B243" s="185">
        <v>900</v>
      </c>
      <c r="C243" s="185">
        <v>344</v>
      </c>
      <c r="D243" s="197">
        <v>0.38222222222222224</v>
      </c>
      <c r="E243" s="223">
        <v>3.9479974160206717</v>
      </c>
      <c r="F243" s="185">
        <v>12223</v>
      </c>
      <c r="G243" s="195">
        <v>6.3939695414632196E-5</v>
      </c>
    </row>
    <row r="244" spans="1:7" x14ac:dyDescent="0.35">
      <c r="A244" s="177" t="s">
        <v>125</v>
      </c>
      <c r="B244" s="184">
        <v>84382</v>
      </c>
      <c r="C244" s="184">
        <v>4247</v>
      </c>
      <c r="D244" s="225">
        <v>5.0330639235855991E-2</v>
      </c>
      <c r="E244" s="224">
        <v>3.7330403160400802</v>
      </c>
      <c r="F244" s="184">
        <v>142688</v>
      </c>
      <c r="G244" s="194">
        <v>7.4641473118899112E-4</v>
      </c>
    </row>
    <row r="245" spans="1:7" x14ac:dyDescent="0.35">
      <c r="A245" s="176" t="s">
        <v>191</v>
      </c>
      <c r="B245" s="185">
        <v>84382</v>
      </c>
      <c r="C245" s="185">
        <v>4247</v>
      </c>
      <c r="D245" s="197">
        <v>5.0330639235855991E-2</v>
      </c>
      <c r="E245" s="223">
        <v>3.7330403160400802</v>
      </c>
      <c r="F245" s="185">
        <v>142688</v>
      </c>
      <c r="G245" s="195">
        <v>7.4641473118899112E-4</v>
      </c>
    </row>
    <row r="246" spans="1:7" x14ac:dyDescent="0.35">
      <c r="A246" s="177" t="s">
        <v>126</v>
      </c>
      <c r="B246" s="184">
        <v>24692</v>
      </c>
      <c r="C246" s="184">
        <v>9577</v>
      </c>
      <c r="D246" s="225">
        <v>0.38785841568119228</v>
      </c>
      <c r="E246" s="224">
        <v>4.1516132400542967</v>
      </c>
      <c r="F246" s="184">
        <v>357840</v>
      </c>
      <c r="G246" s="194">
        <v>1.8718956563177605E-3</v>
      </c>
    </row>
    <row r="247" spans="1:7" x14ac:dyDescent="0.35">
      <c r="A247" s="176" t="s">
        <v>190</v>
      </c>
      <c r="B247" s="185">
        <v>24692</v>
      </c>
      <c r="C247" s="185">
        <v>9577</v>
      </c>
      <c r="D247" s="197">
        <v>0.38785841568119228</v>
      </c>
      <c r="E247" s="223">
        <v>4.1516132400542967</v>
      </c>
      <c r="F247" s="185">
        <v>357840</v>
      </c>
      <c r="G247" s="195">
        <v>1.8718956563177605E-3</v>
      </c>
    </row>
    <row r="248" spans="1:7" x14ac:dyDescent="0.35">
      <c r="A248" s="177" t="s">
        <v>127</v>
      </c>
      <c r="B248" s="184">
        <v>312195</v>
      </c>
      <c r="C248" s="184">
        <v>179829</v>
      </c>
      <c r="D248" s="225">
        <v>0.57601499063085571</v>
      </c>
      <c r="E248" s="224">
        <v>4.0073857973717004</v>
      </c>
      <c r="F248" s="184">
        <v>6485797.625</v>
      </c>
      <c r="G248" s="194">
        <v>3.3927834792067818E-2</v>
      </c>
    </row>
    <row r="249" spans="1:7" x14ac:dyDescent="0.35">
      <c r="A249" s="176" t="s">
        <v>185</v>
      </c>
      <c r="B249" s="185">
        <v>312195</v>
      </c>
      <c r="C249" s="185">
        <v>179829</v>
      </c>
      <c r="D249" s="197">
        <v>0.57601499063085571</v>
      </c>
      <c r="E249" s="223">
        <v>4.0073857973717004</v>
      </c>
      <c r="F249" s="185">
        <v>6485797.625</v>
      </c>
      <c r="G249" s="195">
        <v>3.3927834792067818E-2</v>
      </c>
    </row>
    <row r="250" spans="1:7" ht="23" x14ac:dyDescent="0.35">
      <c r="A250" s="177" t="s">
        <v>128</v>
      </c>
      <c r="B250" s="184">
        <v>209272</v>
      </c>
      <c r="C250" s="184">
        <v>84036</v>
      </c>
      <c r="D250" s="225">
        <v>0.40156351542490154</v>
      </c>
      <c r="E250" s="224">
        <v>4.0623410072931705</v>
      </c>
      <c r="F250" s="184">
        <v>3072446</v>
      </c>
      <c r="G250" s="194">
        <v>1.6072262244776654E-2</v>
      </c>
    </row>
    <row r="251" spans="1:7" x14ac:dyDescent="0.35">
      <c r="A251" s="176" t="s">
        <v>183</v>
      </c>
      <c r="B251" s="185">
        <v>209272</v>
      </c>
      <c r="C251" s="185">
        <v>84036</v>
      </c>
      <c r="D251" s="197">
        <v>0.40156351542490154</v>
      </c>
      <c r="E251" s="223">
        <v>4.0623410072931705</v>
      </c>
      <c r="F251" s="185">
        <v>3072446</v>
      </c>
      <c r="G251" s="195">
        <v>1.6072262244776654E-2</v>
      </c>
    </row>
    <row r="252" spans="1:7" x14ac:dyDescent="0.35">
      <c r="A252" s="40" t="s">
        <v>13</v>
      </c>
      <c r="B252" s="186">
        <v>23157982</v>
      </c>
      <c r="C252" s="186">
        <v>5206531</v>
      </c>
      <c r="D252" s="199">
        <v>0.22482662781238882</v>
      </c>
      <c r="E252" s="222">
        <v>4.0795877651869681</v>
      </c>
      <c r="F252" s="186">
        <v>191164501.5</v>
      </c>
      <c r="G252" s="196">
        <v>1</v>
      </c>
    </row>
    <row r="254" spans="1:7" x14ac:dyDescent="0.35">
      <c r="A254" s="163" t="s">
        <v>448</v>
      </c>
    </row>
    <row r="255" spans="1:7" x14ac:dyDescent="0.35">
      <c r="A255" s="163" t="s">
        <v>526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AD150"/>
  <sheetViews>
    <sheetView workbookViewId="0"/>
  </sheetViews>
  <sheetFormatPr defaultColWidth="9.1796875" defaultRowHeight="13" x14ac:dyDescent="0.3"/>
  <cols>
    <col min="1" max="1" width="39.7265625" style="19" customWidth="1"/>
    <col min="2" max="2" width="9.54296875" style="19" customWidth="1"/>
    <col min="3" max="3" width="12.7265625" style="19" customWidth="1"/>
    <col min="4" max="5" width="11.7265625" style="19" customWidth="1"/>
    <col min="6" max="6" width="14.7265625" style="19" customWidth="1"/>
    <col min="7" max="8" width="12.7265625" style="19" customWidth="1"/>
    <col min="9" max="9" width="10.7265625" style="19" customWidth="1"/>
    <col min="10" max="11" width="12.7265625" style="19" customWidth="1"/>
    <col min="12" max="12" width="13.7265625" style="19" customWidth="1"/>
    <col min="13" max="13" width="14.7265625" style="19" customWidth="1"/>
    <col min="14" max="14" width="12.7265625" style="19" customWidth="1"/>
    <col min="15" max="15" width="6.7265625" style="19" hidden="1" customWidth="1"/>
    <col min="16" max="16" width="39.7265625" style="19" customWidth="1"/>
    <col min="17" max="17" width="9.54296875" style="19" customWidth="1"/>
    <col min="18" max="18" width="11.7265625" style="19" customWidth="1"/>
    <col min="19" max="19" width="14.7265625" style="19" customWidth="1"/>
    <col min="20" max="21" width="11.7265625" style="19" customWidth="1"/>
    <col min="22" max="23" width="14.7265625" style="19" customWidth="1"/>
    <col min="24" max="24" width="11.7265625" style="19" customWidth="1"/>
    <col min="25" max="25" width="14.7265625" style="19" customWidth="1"/>
    <col min="26" max="27" width="11.7265625" style="19" customWidth="1"/>
    <col min="28" max="28" width="12.7265625" style="19" customWidth="1"/>
    <col min="29" max="29" width="11.7265625" style="19" customWidth="1"/>
    <col min="30" max="16384" width="9.1796875" style="19"/>
  </cols>
  <sheetData>
    <row r="1" spans="1:30" ht="15.5" x14ac:dyDescent="0.35">
      <c r="A1" s="4" t="s">
        <v>513</v>
      </c>
    </row>
    <row r="3" spans="1:30" x14ac:dyDescent="0.3">
      <c r="A3" s="215" t="s">
        <v>514</v>
      </c>
    </row>
    <row r="4" spans="1:30" s="163" customFormat="1" ht="15" customHeight="1" x14ac:dyDescent="0.35"/>
    <row r="5" spans="1:30" s="93" customFormat="1" ht="16" customHeight="1" x14ac:dyDescent="0.3">
      <c r="A5" s="310" t="s">
        <v>508</v>
      </c>
      <c r="B5" s="311"/>
      <c r="C5" s="311"/>
      <c r="D5" s="311"/>
      <c r="E5" s="311"/>
      <c r="F5" s="311"/>
      <c r="G5" s="311"/>
      <c r="H5" s="311"/>
      <c r="I5" s="311"/>
      <c r="J5" s="311"/>
      <c r="K5" s="311"/>
      <c r="L5" s="311"/>
      <c r="M5" s="311"/>
      <c r="N5" s="312"/>
      <c r="O5" s="216"/>
      <c r="P5" s="310" t="s">
        <v>508</v>
      </c>
      <c r="Q5" s="311"/>
      <c r="R5" s="311"/>
      <c r="S5" s="311"/>
      <c r="T5" s="311"/>
      <c r="U5" s="311"/>
      <c r="V5" s="311"/>
      <c r="W5" s="311"/>
      <c r="X5" s="311"/>
      <c r="Y5" s="311"/>
      <c r="Z5" s="311"/>
      <c r="AA5" s="311"/>
      <c r="AB5" s="311"/>
      <c r="AC5" s="312"/>
      <c r="AD5" s="7"/>
    </row>
    <row r="6" spans="1:30" s="93" customFormat="1" ht="12.75" customHeight="1" x14ac:dyDescent="0.3">
      <c r="A6" s="217"/>
      <c r="B6" s="218"/>
      <c r="C6" s="219">
        <v>1</v>
      </c>
      <c r="D6" s="219">
        <v>2</v>
      </c>
      <c r="E6" s="219">
        <v>3</v>
      </c>
      <c r="F6" s="219">
        <v>4</v>
      </c>
      <c r="G6" s="219">
        <v>5</v>
      </c>
      <c r="H6" s="219">
        <v>6</v>
      </c>
      <c r="I6" s="219">
        <v>7</v>
      </c>
      <c r="J6" s="219">
        <v>8</v>
      </c>
      <c r="K6" s="219">
        <v>9</v>
      </c>
      <c r="L6" s="219">
        <v>10</v>
      </c>
      <c r="M6" s="219">
        <v>11</v>
      </c>
      <c r="N6" s="220">
        <v>12</v>
      </c>
      <c r="O6" s="216"/>
      <c r="P6" s="217"/>
      <c r="Q6" s="218"/>
      <c r="R6" s="219">
        <v>13</v>
      </c>
      <c r="S6" s="219">
        <v>14</v>
      </c>
      <c r="T6" s="219">
        <v>15</v>
      </c>
      <c r="U6" s="219">
        <v>16</v>
      </c>
      <c r="V6" s="219">
        <v>17</v>
      </c>
      <c r="W6" s="219">
        <v>18</v>
      </c>
      <c r="X6" s="219">
        <v>19</v>
      </c>
      <c r="Y6" s="219">
        <v>20</v>
      </c>
      <c r="Z6" s="219">
        <v>21</v>
      </c>
      <c r="AA6" s="219">
        <v>22</v>
      </c>
      <c r="AB6" s="219">
        <v>23</v>
      </c>
      <c r="AC6" s="220">
        <v>24</v>
      </c>
      <c r="AD6" s="7"/>
    </row>
    <row r="7" spans="1:30" s="93" customFormat="1" ht="54.75" customHeight="1" x14ac:dyDescent="0.3">
      <c r="A7" s="210" t="s">
        <v>0</v>
      </c>
      <c r="B7" s="221" t="s">
        <v>397</v>
      </c>
      <c r="C7" s="211" t="s">
        <v>414</v>
      </c>
      <c r="D7" s="212" t="s">
        <v>411</v>
      </c>
      <c r="E7" s="211" t="s">
        <v>146</v>
      </c>
      <c r="F7" s="211" t="s">
        <v>398</v>
      </c>
      <c r="G7" s="211" t="s">
        <v>413</v>
      </c>
      <c r="H7" s="211" t="s">
        <v>399</v>
      </c>
      <c r="I7" s="211" t="s">
        <v>400</v>
      </c>
      <c r="J7" s="211" t="s">
        <v>401</v>
      </c>
      <c r="K7" s="211" t="s">
        <v>402</v>
      </c>
      <c r="L7" s="211" t="s">
        <v>403</v>
      </c>
      <c r="M7" s="211" t="s">
        <v>11</v>
      </c>
      <c r="N7" s="213" t="s">
        <v>415</v>
      </c>
      <c r="O7" s="214"/>
      <c r="P7" s="210" t="s">
        <v>0</v>
      </c>
      <c r="Q7" s="221" t="s">
        <v>397</v>
      </c>
      <c r="R7" s="211" t="s">
        <v>404</v>
      </c>
      <c r="S7" s="211" t="s">
        <v>405</v>
      </c>
      <c r="T7" s="211" t="s">
        <v>406</v>
      </c>
      <c r="U7" s="211" t="s">
        <v>407</v>
      </c>
      <c r="V7" s="211" t="s">
        <v>408</v>
      </c>
      <c r="W7" s="211" t="s">
        <v>486</v>
      </c>
      <c r="X7" s="211" t="s">
        <v>409</v>
      </c>
      <c r="Y7" s="211" t="s">
        <v>410</v>
      </c>
      <c r="Z7" s="211" t="s">
        <v>416</v>
      </c>
      <c r="AA7" s="211" t="s">
        <v>417</v>
      </c>
      <c r="AB7" s="211" t="s">
        <v>487</v>
      </c>
      <c r="AC7" s="213" t="s">
        <v>485</v>
      </c>
      <c r="AD7" s="7"/>
    </row>
    <row r="8" spans="1:30" ht="15" customHeight="1" x14ac:dyDescent="0.3">
      <c r="A8" s="150" t="s">
        <v>393</v>
      </c>
      <c r="B8" s="6" t="s">
        <v>392</v>
      </c>
      <c r="C8" s="14">
        <v>4318</v>
      </c>
      <c r="D8" s="14">
        <v>700</v>
      </c>
      <c r="E8" s="77">
        <v>0.86140647231690626</v>
      </c>
      <c r="F8" s="78">
        <v>3719.6</v>
      </c>
      <c r="G8" s="14">
        <v>139000</v>
      </c>
      <c r="H8" s="14">
        <v>22854039</v>
      </c>
      <c r="I8" s="14">
        <v>2275</v>
      </c>
      <c r="J8" s="78">
        <v>49949.9612879997</v>
      </c>
      <c r="K8" s="78">
        <v>421419.64285706001</v>
      </c>
      <c r="L8" s="78">
        <v>281025.94792852824</v>
      </c>
      <c r="M8" s="78">
        <v>330975.90000000002</v>
      </c>
      <c r="N8" s="20">
        <v>8628869</v>
      </c>
      <c r="O8" s="14"/>
      <c r="P8" s="150" t="s">
        <v>393</v>
      </c>
      <c r="Q8" s="6" t="s">
        <v>392</v>
      </c>
      <c r="R8" s="14">
        <v>3501</v>
      </c>
      <c r="S8" s="78">
        <v>7406.6</v>
      </c>
      <c r="T8" s="14">
        <v>2986693</v>
      </c>
      <c r="U8" s="14">
        <v>15608.981012658227</v>
      </c>
      <c r="V8" s="78">
        <v>37439.599999999999</v>
      </c>
      <c r="W8" s="14">
        <v>251415</v>
      </c>
      <c r="X8" s="14">
        <v>50150.621781842805</v>
      </c>
      <c r="Y8" s="78">
        <v>273345.09999999998</v>
      </c>
      <c r="Z8" s="14">
        <v>1073196</v>
      </c>
      <c r="AA8" s="14">
        <v>4311304</v>
      </c>
      <c r="AB8" s="14">
        <v>35794212</v>
      </c>
      <c r="AC8" s="20">
        <v>2681031</v>
      </c>
      <c r="AD8" s="6"/>
    </row>
    <row r="9" spans="1:30" ht="15" customHeight="1" x14ac:dyDescent="0.3">
      <c r="A9" s="150" t="s">
        <v>15</v>
      </c>
      <c r="B9" s="6" t="s">
        <v>332</v>
      </c>
      <c r="C9" s="14">
        <v>329</v>
      </c>
      <c r="D9" s="14">
        <v>0</v>
      </c>
      <c r="E9" s="77">
        <v>1.1238211233692001</v>
      </c>
      <c r="F9" s="78">
        <v>369.7</v>
      </c>
      <c r="G9" s="14">
        <v>10000</v>
      </c>
      <c r="H9" s="14">
        <v>2267702</v>
      </c>
      <c r="I9" s="14">
        <v>156</v>
      </c>
      <c r="J9" s="78">
        <v>6580.9302639999969</v>
      </c>
      <c r="K9" s="78">
        <v>26895.5</v>
      </c>
      <c r="L9" s="78">
        <v>27304.176250000019</v>
      </c>
      <c r="M9" s="78">
        <v>33885.1</v>
      </c>
      <c r="N9" s="20">
        <v>883418</v>
      </c>
      <c r="O9" s="14"/>
      <c r="P9" s="150" t="s">
        <v>15</v>
      </c>
      <c r="Q9" s="6" t="s">
        <v>332</v>
      </c>
      <c r="R9" s="14">
        <v>256</v>
      </c>
      <c r="S9" s="78">
        <v>671.4</v>
      </c>
      <c r="T9" s="14">
        <v>270740</v>
      </c>
      <c r="U9" s="14">
        <v>619</v>
      </c>
      <c r="V9" s="78">
        <v>1515.7</v>
      </c>
      <c r="W9" s="14">
        <v>10178</v>
      </c>
      <c r="X9" s="14">
        <v>3468</v>
      </c>
      <c r="Y9" s="78">
        <v>18953.2</v>
      </c>
      <c r="Z9" s="14">
        <v>74413</v>
      </c>
      <c r="AA9" s="14">
        <v>355331</v>
      </c>
      <c r="AB9" s="14">
        <v>3506451</v>
      </c>
      <c r="AC9" s="20">
        <v>160288</v>
      </c>
      <c r="AD9" s="6"/>
    </row>
    <row r="10" spans="1:30" ht="15" customHeight="1" x14ac:dyDescent="0.3">
      <c r="A10" s="150" t="s">
        <v>16</v>
      </c>
      <c r="B10" s="6" t="s">
        <v>331</v>
      </c>
      <c r="C10" s="14">
        <v>98</v>
      </c>
      <c r="D10" s="14">
        <v>0</v>
      </c>
      <c r="E10" s="77">
        <v>5.976405420850706</v>
      </c>
      <c r="F10" s="78">
        <v>585.70000000000005</v>
      </c>
      <c r="G10" s="14">
        <v>0</v>
      </c>
      <c r="H10" s="14">
        <v>3576782</v>
      </c>
      <c r="I10" s="14">
        <v>13</v>
      </c>
      <c r="J10" s="78">
        <v>3115.4400000000005</v>
      </c>
      <c r="K10" s="78">
        <v>2452.5</v>
      </c>
      <c r="L10" s="78">
        <v>8461.2499999999982</v>
      </c>
      <c r="M10" s="78">
        <v>11576.7</v>
      </c>
      <c r="N10" s="20">
        <v>301816</v>
      </c>
      <c r="O10" s="14"/>
      <c r="P10" s="150" t="s">
        <v>16</v>
      </c>
      <c r="Q10" s="6" t="s">
        <v>331</v>
      </c>
      <c r="R10" s="14">
        <v>6</v>
      </c>
      <c r="S10" s="78">
        <v>119.5</v>
      </c>
      <c r="T10" s="14">
        <v>48188</v>
      </c>
      <c r="U10" s="14">
        <v>303</v>
      </c>
      <c r="V10" s="78">
        <v>303</v>
      </c>
      <c r="W10" s="14">
        <v>2035</v>
      </c>
      <c r="X10" s="14">
        <v>763</v>
      </c>
      <c r="Y10" s="78">
        <v>2289</v>
      </c>
      <c r="Z10" s="14">
        <v>8987</v>
      </c>
      <c r="AA10" s="14">
        <v>59210</v>
      </c>
      <c r="AB10" s="14">
        <v>3937808</v>
      </c>
      <c r="AC10" s="20">
        <v>127786</v>
      </c>
      <c r="AD10" s="6"/>
    </row>
    <row r="11" spans="1:30" ht="15" customHeight="1" x14ac:dyDescent="0.3">
      <c r="A11" s="150" t="s">
        <v>17</v>
      </c>
      <c r="B11" s="6" t="s">
        <v>330</v>
      </c>
      <c r="C11" s="14">
        <v>1126</v>
      </c>
      <c r="D11" s="14">
        <v>0</v>
      </c>
      <c r="E11" s="77">
        <v>5.3536183154313548</v>
      </c>
      <c r="F11" s="78">
        <v>6028.2</v>
      </c>
      <c r="G11" s="14">
        <v>0</v>
      </c>
      <c r="H11" s="14">
        <v>36813313</v>
      </c>
      <c r="I11" s="14">
        <v>224</v>
      </c>
      <c r="J11" s="78">
        <v>70852.317516000068</v>
      </c>
      <c r="K11" s="78">
        <v>42432</v>
      </c>
      <c r="L11" s="78">
        <v>190246.88499999989</v>
      </c>
      <c r="M11" s="78">
        <v>261099.2</v>
      </c>
      <c r="N11" s="20">
        <v>6807115</v>
      </c>
      <c r="O11" s="14"/>
      <c r="P11" s="150" t="s">
        <v>17</v>
      </c>
      <c r="Q11" s="6" t="s">
        <v>330</v>
      </c>
      <c r="R11" s="14">
        <v>99</v>
      </c>
      <c r="S11" s="78">
        <v>830.5</v>
      </c>
      <c r="T11" s="14">
        <v>334897</v>
      </c>
      <c r="U11" s="14">
        <v>4802</v>
      </c>
      <c r="V11" s="78">
        <v>5895.7</v>
      </c>
      <c r="W11" s="14">
        <v>39591</v>
      </c>
      <c r="X11" s="14">
        <v>11223.5</v>
      </c>
      <c r="Y11" s="78">
        <v>38901.199999999997</v>
      </c>
      <c r="Z11" s="14">
        <v>152732</v>
      </c>
      <c r="AA11" s="14">
        <v>527220</v>
      </c>
      <c r="AB11" s="14">
        <v>44147648</v>
      </c>
      <c r="AC11" s="20">
        <v>2216533</v>
      </c>
      <c r="AD11" s="6"/>
    </row>
    <row r="12" spans="1:30" ht="15" customHeight="1" x14ac:dyDescent="0.3">
      <c r="A12" s="150" t="s">
        <v>153</v>
      </c>
      <c r="B12" s="6" t="s">
        <v>328</v>
      </c>
      <c r="C12" s="14">
        <v>75</v>
      </c>
      <c r="D12" s="14">
        <v>0</v>
      </c>
      <c r="E12" s="77">
        <v>0.72540000000001059</v>
      </c>
      <c r="F12" s="78">
        <v>54.4</v>
      </c>
      <c r="G12" s="14">
        <v>11000</v>
      </c>
      <c r="H12" s="14">
        <v>343213</v>
      </c>
      <c r="I12" s="14">
        <v>59</v>
      </c>
      <c r="J12" s="78">
        <v>769.19232199999919</v>
      </c>
      <c r="K12" s="78">
        <v>9240</v>
      </c>
      <c r="L12" s="78">
        <v>4684.6799999999948</v>
      </c>
      <c r="M12" s="78">
        <v>5453.9</v>
      </c>
      <c r="N12" s="20">
        <v>142189</v>
      </c>
      <c r="O12" s="14"/>
      <c r="P12" s="150" t="s">
        <v>153</v>
      </c>
      <c r="Q12" s="6" t="s">
        <v>328</v>
      </c>
      <c r="R12" s="14">
        <v>139</v>
      </c>
      <c r="S12" s="78">
        <v>271.7</v>
      </c>
      <c r="T12" s="14">
        <v>109562</v>
      </c>
      <c r="U12" s="14">
        <v>3241</v>
      </c>
      <c r="V12" s="78">
        <v>3969.3</v>
      </c>
      <c r="W12" s="14">
        <v>26655</v>
      </c>
      <c r="X12" s="14">
        <v>3711.2238805970151</v>
      </c>
      <c r="Y12" s="78">
        <v>13666.8</v>
      </c>
      <c r="Z12" s="14">
        <v>53658</v>
      </c>
      <c r="AA12" s="14">
        <v>189875</v>
      </c>
      <c r="AB12" s="14">
        <v>675277</v>
      </c>
      <c r="AC12" s="20">
        <v>60529</v>
      </c>
      <c r="AD12" s="6"/>
    </row>
    <row r="13" spans="1:30" ht="15" customHeight="1" x14ac:dyDescent="0.3">
      <c r="A13" s="150" t="s">
        <v>19</v>
      </c>
      <c r="B13" s="6" t="s">
        <v>327</v>
      </c>
      <c r="C13" s="14">
        <v>1830</v>
      </c>
      <c r="D13" s="14">
        <v>20</v>
      </c>
      <c r="E13" s="77">
        <v>1.0776022902913476</v>
      </c>
      <c r="F13" s="78">
        <v>1972</v>
      </c>
      <c r="G13" s="14">
        <v>30000</v>
      </c>
      <c r="H13" s="14">
        <v>12072708</v>
      </c>
      <c r="I13" s="14">
        <v>576</v>
      </c>
      <c r="J13" s="78">
        <v>29953.667124000069</v>
      </c>
      <c r="K13" s="78">
        <v>104629.5</v>
      </c>
      <c r="L13" s="78">
        <v>103162.20500000018</v>
      </c>
      <c r="M13" s="78">
        <v>133115.9</v>
      </c>
      <c r="N13" s="20">
        <v>3470463</v>
      </c>
      <c r="O13" s="14"/>
      <c r="P13" s="150" t="s">
        <v>19</v>
      </c>
      <c r="Q13" s="6" t="s">
        <v>327</v>
      </c>
      <c r="R13" s="14">
        <v>1279</v>
      </c>
      <c r="S13" s="78">
        <v>3507.6</v>
      </c>
      <c r="T13" s="14">
        <v>1414431</v>
      </c>
      <c r="U13" s="14">
        <v>11759.727399165507</v>
      </c>
      <c r="V13" s="78">
        <v>22087.7</v>
      </c>
      <c r="W13" s="14">
        <v>148323</v>
      </c>
      <c r="X13" s="14">
        <v>11424.463414634149</v>
      </c>
      <c r="Y13" s="78">
        <v>62121.4</v>
      </c>
      <c r="Z13" s="14">
        <v>243898</v>
      </c>
      <c r="AA13" s="14">
        <v>1806652</v>
      </c>
      <c r="AB13" s="14">
        <v>17349823</v>
      </c>
      <c r="AC13" s="20">
        <v>1246225</v>
      </c>
      <c r="AD13" s="6"/>
    </row>
    <row r="14" spans="1:30" ht="15" customHeight="1" x14ac:dyDescent="0.3">
      <c r="A14" s="150" t="s">
        <v>154</v>
      </c>
      <c r="B14" s="6" t="s">
        <v>181</v>
      </c>
      <c r="C14" s="14">
        <v>3152</v>
      </c>
      <c r="D14" s="14">
        <v>250</v>
      </c>
      <c r="E14" s="77">
        <v>0.9736578447503238</v>
      </c>
      <c r="F14" s="78">
        <v>3069</v>
      </c>
      <c r="G14" s="14">
        <v>55000</v>
      </c>
      <c r="H14" s="14">
        <v>18796923</v>
      </c>
      <c r="I14" s="14">
        <v>1280</v>
      </c>
      <c r="J14" s="78">
        <v>47286.892769999875</v>
      </c>
      <c r="K14" s="78">
        <v>249907.5</v>
      </c>
      <c r="L14" s="78">
        <v>200006.91500000082</v>
      </c>
      <c r="M14" s="78">
        <v>247293.8</v>
      </c>
      <c r="N14" s="20">
        <v>6447194</v>
      </c>
      <c r="O14" s="14"/>
      <c r="P14" s="150" t="s">
        <v>154</v>
      </c>
      <c r="Q14" s="6" t="s">
        <v>181</v>
      </c>
      <c r="R14" s="14">
        <v>2414</v>
      </c>
      <c r="S14" s="78">
        <v>6285.6</v>
      </c>
      <c r="T14" s="14">
        <v>2534653</v>
      </c>
      <c r="U14" s="14">
        <v>20500</v>
      </c>
      <c r="V14" s="78">
        <v>40529.9</v>
      </c>
      <c r="W14" s="14">
        <v>272167</v>
      </c>
      <c r="X14" s="14">
        <v>44451.214603051965</v>
      </c>
      <c r="Y14" s="78">
        <v>193748.7</v>
      </c>
      <c r="Z14" s="14">
        <v>760688</v>
      </c>
      <c r="AA14" s="14">
        <v>3567508</v>
      </c>
      <c r="AB14" s="14">
        <v>28811625</v>
      </c>
      <c r="AC14" s="20">
        <v>2236413</v>
      </c>
      <c r="AD14" s="6"/>
    </row>
    <row r="15" spans="1:30" ht="15" customHeight="1" x14ac:dyDescent="0.3">
      <c r="A15" s="150" t="s">
        <v>20</v>
      </c>
      <c r="B15" s="6" t="s">
        <v>326</v>
      </c>
      <c r="C15" s="14">
        <v>5</v>
      </c>
      <c r="D15" s="14">
        <v>5</v>
      </c>
      <c r="E15" s="77">
        <v>0.79068600000000078</v>
      </c>
      <c r="F15" s="78">
        <v>4</v>
      </c>
      <c r="G15" s="14">
        <v>0</v>
      </c>
      <c r="H15" s="14">
        <v>24427</v>
      </c>
      <c r="I15" s="14">
        <v>0</v>
      </c>
      <c r="J15" s="78">
        <v>0</v>
      </c>
      <c r="K15" s="78">
        <v>420</v>
      </c>
      <c r="L15" s="78">
        <v>212.94000000000008</v>
      </c>
      <c r="M15" s="78">
        <v>212.9</v>
      </c>
      <c r="N15" s="20">
        <v>5551</v>
      </c>
      <c r="O15" s="14"/>
      <c r="P15" s="150" t="s">
        <v>20</v>
      </c>
      <c r="Q15" s="6" t="s">
        <v>326</v>
      </c>
      <c r="R15" s="14">
        <v>9</v>
      </c>
      <c r="S15" s="78">
        <v>27.6</v>
      </c>
      <c r="T15" s="14">
        <v>11130</v>
      </c>
      <c r="U15" s="14">
        <v>324</v>
      </c>
      <c r="V15" s="78">
        <v>370.3</v>
      </c>
      <c r="W15" s="14">
        <v>2487</v>
      </c>
      <c r="X15" s="14">
        <v>579</v>
      </c>
      <c r="Y15" s="78">
        <v>1737</v>
      </c>
      <c r="Z15" s="14">
        <v>6820</v>
      </c>
      <c r="AA15" s="14">
        <v>20437</v>
      </c>
      <c r="AB15" s="14">
        <v>50415</v>
      </c>
      <c r="AC15" s="20">
        <v>0</v>
      </c>
      <c r="AD15" s="6"/>
    </row>
    <row r="16" spans="1:30" ht="15" customHeight="1" x14ac:dyDescent="0.3">
      <c r="A16" s="150" t="s">
        <v>21</v>
      </c>
      <c r="B16" s="6" t="s">
        <v>325</v>
      </c>
      <c r="C16" s="14">
        <v>7604</v>
      </c>
      <c r="D16" s="14">
        <v>260</v>
      </c>
      <c r="E16" s="77">
        <v>1.0133940837811113</v>
      </c>
      <c r="F16" s="78">
        <v>7705.8</v>
      </c>
      <c r="G16" s="14">
        <v>179000</v>
      </c>
      <c r="H16" s="14">
        <v>47237164</v>
      </c>
      <c r="I16" s="14">
        <v>2256</v>
      </c>
      <c r="J16" s="78">
        <v>111002.63277399889</v>
      </c>
      <c r="K16" s="78">
        <v>414601.99999997002</v>
      </c>
      <c r="L16" s="78">
        <v>362445.76749997761</v>
      </c>
      <c r="M16" s="78">
        <v>473448.4</v>
      </c>
      <c r="N16" s="20">
        <v>12343269</v>
      </c>
      <c r="O16" s="14"/>
      <c r="P16" s="150" t="s">
        <v>21</v>
      </c>
      <c r="Q16" s="6" t="s">
        <v>325</v>
      </c>
      <c r="R16" s="14">
        <v>4538</v>
      </c>
      <c r="S16" s="78">
        <v>14017.2</v>
      </c>
      <c r="T16" s="14">
        <v>5652402</v>
      </c>
      <c r="U16" s="14">
        <v>20869.430842607311</v>
      </c>
      <c r="V16" s="78">
        <v>48803.5</v>
      </c>
      <c r="W16" s="14">
        <v>327725</v>
      </c>
      <c r="X16" s="14">
        <v>37666.741573033702</v>
      </c>
      <c r="Y16" s="78">
        <v>233482.5</v>
      </c>
      <c r="Z16" s="14">
        <v>916689</v>
      </c>
      <c r="AA16" s="14">
        <v>6896816</v>
      </c>
      <c r="AB16" s="14">
        <v>66477249</v>
      </c>
      <c r="AC16" s="20">
        <v>0</v>
      </c>
      <c r="AD16" s="6"/>
    </row>
    <row r="17" spans="1:30" ht="15" customHeight="1" x14ac:dyDescent="0.3">
      <c r="A17" s="150" t="s">
        <v>22</v>
      </c>
      <c r="B17" s="6" t="s">
        <v>324</v>
      </c>
      <c r="C17" s="14">
        <v>2972</v>
      </c>
      <c r="D17" s="14">
        <v>210</v>
      </c>
      <c r="E17" s="77">
        <v>1.0866339185604512</v>
      </c>
      <c r="F17" s="78">
        <v>3229.5</v>
      </c>
      <c r="G17" s="14">
        <v>51000</v>
      </c>
      <c r="H17" s="14">
        <v>19773072</v>
      </c>
      <c r="I17" s="14">
        <v>1094</v>
      </c>
      <c r="J17" s="78">
        <v>58208.222434000221</v>
      </c>
      <c r="K17" s="78">
        <v>204151.14285715</v>
      </c>
      <c r="L17" s="78">
        <v>199681.15442857449</v>
      </c>
      <c r="M17" s="78">
        <v>257889.4</v>
      </c>
      <c r="N17" s="20">
        <v>6723432</v>
      </c>
      <c r="O17" s="14"/>
      <c r="P17" s="150" t="s">
        <v>22</v>
      </c>
      <c r="Q17" s="6" t="s">
        <v>324</v>
      </c>
      <c r="R17" s="14">
        <v>1837</v>
      </c>
      <c r="S17" s="78">
        <v>6211.4</v>
      </c>
      <c r="T17" s="14">
        <v>2504732</v>
      </c>
      <c r="U17" s="14">
        <v>18143</v>
      </c>
      <c r="V17" s="78">
        <v>25246.1</v>
      </c>
      <c r="W17" s="14">
        <v>169533</v>
      </c>
      <c r="X17" s="14">
        <v>38889</v>
      </c>
      <c r="Y17" s="78">
        <v>154844.79999999999</v>
      </c>
      <c r="Z17" s="14">
        <v>607945</v>
      </c>
      <c r="AA17" s="14">
        <v>3282210</v>
      </c>
      <c r="AB17" s="14">
        <v>29778714</v>
      </c>
      <c r="AC17" s="20">
        <v>0</v>
      </c>
      <c r="AD17" s="6"/>
    </row>
    <row r="18" spans="1:30" ht="15" customHeight="1" x14ac:dyDescent="0.3">
      <c r="A18" s="150" t="s">
        <v>23</v>
      </c>
      <c r="B18" s="6" t="s">
        <v>322</v>
      </c>
      <c r="C18" s="14">
        <v>2524</v>
      </c>
      <c r="D18" s="14">
        <v>150</v>
      </c>
      <c r="E18" s="77">
        <v>1.2085609554527441</v>
      </c>
      <c r="F18" s="78">
        <v>3050.4</v>
      </c>
      <c r="G18" s="14">
        <v>50000</v>
      </c>
      <c r="H18" s="14">
        <v>18678335</v>
      </c>
      <c r="I18" s="14">
        <v>786</v>
      </c>
      <c r="J18" s="78">
        <v>48187.829411000384</v>
      </c>
      <c r="K18" s="78">
        <v>152200.5</v>
      </c>
      <c r="L18" s="78">
        <v>166414.84100000045</v>
      </c>
      <c r="M18" s="78">
        <v>214602.7</v>
      </c>
      <c r="N18" s="20">
        <v>5594905</v>
      </c>
      <c r="O18" s="14"/>
      <c r="P18" s="150" t="s">
        <v>23</v>
      </c>
      <c r="Q18" s="6" t="s">
        <v>322</v>
      </c>
      <c r="R18" s="14">
        <v>1710</v>
      </c>
      <c r="S18" s="78">
        <v>5474.4</v>
      </c>
      <c r="T18" s="14">
        <v>2207539</v>
      </c>
      <c r="U18" s="14">
        <v>18079</v>
      </c>
      <c r="V18" s="78">
        <v>21501.7</v>
      </c>
      <c r="W18" s="14">
        <v>144388</v>
      </c>
      <c r="X18" s="14">
        <v>18720</v>
      </c>
      <c r="Y18" s="78">
        <v>105160.4</v>
      </c>
      <c r="Z18" s="14">
        <v>412876</v>
      </c>
      <c r="AA18" s="14">
        <v>2764803</v>
      </c>
      <c r="AB18" s="14">
        <v>27038043</v>
      </c>
      <c r="AC18" s="20">
        <v>1969765</v>
      </c>
      <c r="AD18" s="6"/>
    </row>
    <row r="19" spans="1:30" ht="15" customHeight="1" x14ac:dyDescent="0.3">
      <c r="A19" s="150" t="s">
        <v>24</v>
      </c>
      <c r="B19" s="6" t="s">
        <v>321</v>
      </c>
      <c r="C19" s="14">
        <v>25</v>
      </c>
      <c r="D19" s="14">
        <v>0</v>
      </c>
      <c r="E19" s="77">
        <v>0.72539999999999805</v>
      </c>
      <c r="F19" s="78">
        <v>18.100000000000001</v>
      </c>
      <c r="G19" s="14">
        <v>0</v>
      </c>
      <c r="H19" s="14">
        <v>110534</v>
      </c>
      <c r="I19" s="14">
        <v>18</v>
      </c>
      <c r="J19" s="78">
        <v>328.53600000000006</v>
      </c>
      <c r="K19" s="78">
        <v>2830</v>
      </c>
      <c r="L19" s="78">
        <v>1434.8100000000013</v>
      </c>
      <c r="M19" s="78">
        <v>1763.3</v>
      </c>
      <c r="N19" s="20">
        <v>45971</v>
      </c>
      <c r="O19" s="14"/>
      <c r="P19" s="150" t="s">
        <v>24</v>
      </c>
      <c r="Q19" s="6" t="s">
        <v>321</v>
      </c>
      <c r="R19" s="14">
        <v>16</v>
      </c>
      <c r="S19" s="78">
        <v>49.7</v>
      </c>
      <c r="T19" s="14">
        <v>20041</v>
      </c>
      <c r="U19" s="14">
        <v>279</v>
      </c>
      <c r="V19" s="78">
        <v>279</v>
      </c>
      <c r="W19" s="14">
        <v>1874</v>
      </c>
      <c r="X19" s="14">
        <v>1229</v>
      </c>
      <c r="Y19" s="78">
        <v>4608.8</v>
      </c>
      <c r="Z19" s="14">
        <v>18095</v>
      </c>
      <c r="AA19" s="14">
        <v>40010</v>
      </c>
      <c r="AB19" s="14">
        <v>196515</v>
      </c>
      <c r="AC19" s="20">
        <v>0</v>
      </c>
      <c r="AD19" s="6"/>
    </row>
    <row r="20" spans="1:30" ht="15" customHeight="1" x14ac:dyDescent="0.3">
      <c r="A20" s="150" t="s">
        <v>491</v>
      </c>
      <c r="B20" s="6" t="s">
        <v>329</v>
      </c>
      <c r="C20" s="14">
        <v>20</v>
      </c>
      <c r="D20" s="14">
        <v>0</v>
      </c>
      <c r="E20" s="77">
        <v>0.95000000000000284</v>
      </c>
      <c r="F20" s="78">
        <v>19</v>
      </c>
      <c r="G20" s="14">
        <v>1250000</v>
      </c>
      <c r="H20" s="14">
        <v>1366030</v>
      </c>
      <c r="I20" s="14">
        <v>0</v>
      </c>
      <c r="J20" s="78">
        <v>0</v>
      </c>
      <c r="K20" s="78">
        <v>0</v>
      </c>
      <c r="L20" s="78">
        <v>0</v>
      </c>
      <c r="M20" s="78">
        <v>0</v>
      </c>
      <c r="N20" s="20">
        <v>0</v>
      </c>
      <c r="O20" s="14"/>
      <c r="P20" s="150" t="s">
        <v>491</v>
      </c>
      <c r="Q20" s="6" t="s">
        <v>329</v>
      </c>
      <c r="R20" s="14">
        <v>6</v>
      </c>
      <c r="S20" s="78">
        <v>18</v>
      </c>
      <c r="T20" s="14">
        <v>7258</v>
      </c>
      <c r="U20" s="14">
        <v>0</v>
      </c>
      <c r="V20" s="78">
        <v>0</v>
      </c>
      <c r="W20" s="14">
        <v>0</v>
      </c>
      <c r="X20" s="14">
        <v>0</v>
      </c>
      <c r="Y20" s="78">
        <v>0</v>
      </c>
      <c r="Z20" s="14">
        <v>0</v>
      </c>
      <c r="AA20" s="14">
        <v>7258</v>
      </c>
      <c r="AB20" s="14">
        <v>1373288</v>
      </c>
      <c r="AC20" s="20">
        <v>36060</v>
      </c>
      <c r="AD20" s="6"/>
    </row>
    <row r="21" spans="1:30" ht="15" customHeight="1" x14ac:dyDescent="0.3">
      <c r="A21" s="150" t="s">
        <v>25</v>
      </c>
      <c r="B21" s="6" t="s">
        <v>320</v>
      </c>
      <c r="C21" s="14">
        <v>106</v>
      </c>
      <c r="D21" s="14">
        <v>0</v>
      </c>
      <c r="E21" s="77">
        <v>1.6382148277984467</v>
      </c>
      <c r="F21" s="78">
        <v>173.7</v>
      </c>
      <c r="G21" s="14">
        <v>0</v>
      </c>
      <c r="H21" s="14">
        <v>1060760</v>
      </c>
      <c r="I21" s="14">
        <v>41</v>
      </c>
      <c r="J21" s="78">
        <v>2907.5398559999994</v>
      </c>
      <c r="K21" s="78">
        <v>9753</v>
      </c>
      <c r="L21" s="78">
        <v>12339.220000000003</v>
      </c>
      <c r="M21" s="78">
        <v>15246.8</v>
      </c>
      <c r="N21" s="20">
        <v>397499</v>
      </c>
      <c r="O21" s="14"/>
      <c r="P21" s="150" t="s">
        <v>25</v>
      </c>
      <c r="Q21" s="6" t="s">
        <v>320</v>
      </c>
      <c r="R21" s="14">
        <v>74</v>
      </c>
      <c r="S21" s="78">
        <v>237.2</v>
      </c>
      <c r="T21" s="14">
        <v>95650</v>
      </c>
      <c r="U21" s="14">
        <v>919.27586206896558</v>
      </c>
      <c r="V21" s="78">
        <v>971.3</v>
      </c>
      <c r="W21" s="14">
        <v>6522</v>
      </c>
      <c r="X21" s="14">
        <v>2638</v>
      </c>
      <c r="Y21" s="78">
        <v>8388.7999999999993</v>
      </c>
      <c r="Z21" s="14">
        <v>32936</v>
      </c>
      <c r="AA21" s="14">
        <v>135108</v>
      </c>
      <c r="AB21" s="14">
        <v>1593367</v>
      </c>
      <c r="AC21" s="20">
        <v>153550</v>
      </c>
      <c r="AD21" s="6"/>
    </row>
    <row r="22" spans="1:30" ht="15" customHeight="1" x14ac:dyDescent="0.3">
      <c r="A22" s="150" t="s">
        <v>396</v>
      </c>
      <c r="B22" s="6" t="s">
        <v>319</v>
      </c>
      <c r="C22" s="14">
        <v>19</v>
      </c>
      <c r="D22" s="14">
        <v>0</v>
      </c>
      <c r="E22" s="77">
        <v>1.7406333545512391</v>
      </c>
      <c r="F22" s="78">
        <v>33.1</v>
      </c>
      <c r="G22" s="14">
        <v>0</v>
      </c>
      <c r="H22" s="14">
        <v>202137</v>
      </c>
      <c r="I22" s="14">
        <v>4</v>
      </c>
      <c r="J22" s="78">
        <v>279.36</v>
      </c>
      <c r="K22" s="78">
        <v>716</v>
      </c>
      <c r="L22" s="78">
        <v>667.92000000000007</v>
      </c>
      <c r="M22" s="78">
        <v>947.3</v>
      </c>
      <c r="N22" s="20">
        <v>24697</v>
      </c>
      <c r="O22" s="14"/>
      <c r="P22" s="150" t="s">
        <v>396</v>
      </c>
      <c r="Q22" s="6" t="s">
        <v>319</v>
      </c>
      <c r="R22" s="14">
        <v>7</v>
      </c>
      <c r="S22" s="78">
        <v>35.6</v>
      </c>
      <c r="T22" s="14">
        <v>14356</v>
      </c>
      <c r="U22" s="14">
        <v>77</v>
      </c>
      <c r="V22" s="78">
        <v>125.7</v>
      </c>
      <c r="W22" s="14">
        <v>844</v>
      </c>
      <c r="X22" s="14">
        <v>122</v>
      </c>
      <c r="Y22" s="78">
        <v>488</v>
      </c>
      <c r="Z22" s="14">
        <v>1916</v>
      </c>
      <c r="AA22" s="14">
        <v>17116</v>
      </c>
      <c r="AB22" s="14">
        <v>243950</v>
      </c>
      <c r="AC22" s="20">
        <v>0</v>
      </c>
      <c r="AD22" s="6"/>
    </row>
    <row r="23" spans="1:30" ht="15" customHeight="1" x14ac:dyDescent="0.3">
      <c r="A23" s="150" t="s">
        <v>131</v>
      </c>
      <c r="B23" s="6" t="s">
        <v>318</v>
      </c>
      <c r="C23" s="14">
        <v>29</v>
      </c>
      <c r="D23" s="14">
        <v>0</v>
      </c>
      <c r="E23" s="77">
        <v>0.75918327515917017</v>
      </c>
      <c r="F23" s="78">
        <v>22</v>
      </c>
      <c r="G23" s="14">
        <v>0</v>
      </c>
      <c r="H23" s="14">
        <v>134351</v>
      </c>
      <c r="I23" s="14">
        <v>81</v>
      </c>
      <c r="J23" s="78">
        <v>1332.9695539999982</v>
      </c>
      <c r="K23" s="78">
        <v>3479.9999999999986</v>
      </c>
      <c r="L23" s="78">
        <v>1830.6656558363411</v>
      </c>
      <c r="M23" s="78">
        <v>3163.6</v>
      </c>
      <c r="N23" s="20">
        <v>82478</v>
      </c>
      <c r="O23" s="14"/>
      <c r="P23" s="150" t="s">
        <v>131</v>
      </c>
      <c r="Q23" s="6" t="s">
        <v>318</v>
      </c>
      <c r="R23" s="14">
        <v>151</v>
      </c>
      <c r="S23" s="78">
        <v>314.7</v>
      </c>
      <c r="T23" s="14">
        <v>126902</v>
      </c>
      <c r="U23" s="14">
        <v>984.61538461538464</v>
      </c>
      <c r="V23" s="78">
        <v>1576.6</v>
      </c>
      <c r="W23" s="14">
        <v>10587</v>
      </c>
      <c r="X23" s="14">
        <v>2553</v>
      </c>
      <c r="Y23" s="78">
        <v>12466.2</v>
      </c>
      <c r="Z23" s="14">
        <v>48944</v>
      </c>
      <c r="AA23" s="14">
        <v>186433</v>
      </c>
      <c r="AB23" s="14">
        <v>403262</v>
      </c>
      <c r="AC23" s="20">
        <v>12483</v>
      </c>
      <c r="AD23" s="6"/>
    </row>
    <row r="24" spans="1:30" ht="15" customHeight="1" x14ac:dyDescent="0.3">
      <c r="A24" s="150" t="s">
        <v>26</v>
      </c>
      <c r="B24" s="6" t="s">
        <v>317</v>
      </c>
      <c r="C24" s="14">
        <v>130</v>
      </c>
      <c r="D24" s="14">
        <v>0</v>
      </c>
      <c r="E24" s="77">
        <v>1.0444585640861412</v>
      </c>
      <c r="F24" s="78">
        <v>135.80000000000001</v>
      </c>
      <c r="G24" s="14">
        <v>5000</v>
      </c>
      <c r="H24" s="14">
        <v>834310</v>
      </c>
      <c r="I24" s="14">
        <v>43</v>
      </c>
      <c r="J24" s="78">
        <v>1091.5726960000002</v>
      </c>
      <c r="K24" s="78">
        <v>6083</v>
      </c>
      <c r="L24" s="78">
        <v>4926.4200000000028</v>
      </c>
      <c r="M24" s="78">
        <v>6018</v>
      </c>
      <c r="N24" s="20">
        <v>156895</v>
      </c>
      <c r="O24" s="14"/>
      <c r="P24" s="150" t="s">
        <v>26</v>
      </c>
      <c r="Q24" s="6" t="s">
        <v>317</v>
      </c>
      <c r="R24" s="14">
        <v>80</v>
      </c>
      <c r="S24" s="78">
        <v>257.10000000000002</v>
      </c>
      <c r="T24" s="14">
        <v>103675</v>
      </c>
      <c r="U24" s="14">
        <v>921.92727272727279</v>
      </c>
      <c r="V24" s="78">
        <v>1750.4</v>
      </c>
      <c r="W24" s="14">
        <v>11754</v>
      </c>
      <c r="X24" s="14">
        <v>1131.5959595959594</v>
      </c>
      <c r="Y24" s="78">
        <v>3952.4</v>
      </c>
      <c r="Z24" s="14">
        <v>15518</v>
      </c>
      <c r="AA24" s="14">
        <v>130947</v>
      </c>
      <c r="AB24" s="14">
        <v>1122152</v>
      </c>
      <c r="AC24" s="20">
        <v>64086</v>
      </c>
      <c r="AD24" s="6"/>
    </row>
    <row r="25" spans="1:30" ht="15" customHeight="1" x14ac:dyDescent="0.3">
      <c r="A25" s="150" t="s">
        <v>27</v>
      </c>
      <c r="B25" s="6" t="s">
        <v>316</v>
      </c>
      <c r="C25" s="14">
        <v>220</v>
      </c>
      <c r="D25" s="14">
        <v>0</v>
      </c>
      <c r="E25" s="77">
        <v>1.7224208485848125</v>
      </c>
      <c r="F25" s="78">
        <v>378.9</v>
      </c>
      <c r="G25" s="14">
        <v>7000</v>
      </c>
      <c r="H25" s="14">
        <v>2320885</v>
      </c>
      <c r="I25" s="14">
        <v>56</v>
      </c>
      <c r="J25" s="78">
        <v>3896.0639999999976</v>
      </c>
      <c r="K25" s="78">
        <v>9956</v>
      </c>
      <c r="L25" s="78">
        <v>12843.430000000004</v>
      </c>
      <c r="M25" s="78">
        <v>16739.5</v>
      </c>
      <c r="N25" s="20">
        <v>436415</v>
      </c>
      <c r="O25" s="14"/>
      <c r="P25" s="150" t="s">
        <v>27</v>
      </c>
      <c r="Q25" s="6" t="s">
        <v>316</v>
      </c>
      <c r="R25" s="14">
        <v>149</v>
      </c>
      <c r="S25" s="78">
        <v>378.7</v>
      </c>
      <c r="T25" s="14">
        <v>152710</v>
      </c>
      <c r="U25" s="14">
        <v>1989</v>
      </c>
      <c r="V25" s="78">
        <v>2525.1999999999998</v>
      </c>
      <c r="W25" s="14">
        <v>16957</v>
      </c>
      <c r="X25" s="14">
        <v>1454</v>
      </c>
      <c r="Y25" s="78">
        <v>7473.1</v>
      </c>
      <c r="Z25" s="14">
        <v>29341</v>
      </c>
      <c r="AA25" s="14">
        <v>199008</v>
      </c>
      <c r="AB25" s="14">
        <v>2956308</v>
      </c>
      <c r="AC25" s="20">
        <v>200025</v>
      </c>
      <c r="AD25" s="6"/>
    </row>
    <row r="26" spans="1:30" ht="15" customHeight="1" x14ac:dyDescent="0.3">
      <c r="A26" s="150" t="s">
        <v>147</v>
      </c>
      <c r="B26" s="6" t="s">
        <v>315</v>
      </c>
      <c r="C26" s="14">
        <v>28</v>
      </c>
      <c r="D26" s="14">
        <v>0</v>
      </c>
      <c r="E26" s="77">
        <v>0.72539999999999993</v>
      </c>
      <c r="F26" s="78">
        <v>20.3</v>
      </c>
      <c r="G26" s="14">
        <v>0</v>
      </c>
      <c r="H26" s="14">
        <v>123969</v>
      </c>
      <c r="I26" s="14">
        <v>21</v>
      </c>
      <c r="J26" s="78">
        <v>203.87888399999991</v>
      </c>
      <c r="K26" s="78">
        <v>3000.0000000000005</v>
      </c>
      <c r="L26" s="78">
        <v>1521.0000000000005</v>
      </c>
      <c r="M26" s="78">
        <v>1724.9</v>
      </c>
      <c r="N26" s="20">
        <v>44970</v>
      </c>
      <c r="O26" s="14"/>
      <c r="P26" s="150" t="s">
        <v>147</v>
      </c>
      <c r="Q26" s="6" t="s">
        <v>315</v>
      </c>
      <c r="R26" s="14">
        <v>4</v>
      </c>
      <c r="S26" s="78">
        <v>7.9</v>
      </c>
      <c r="T26" s="14">
        <v>3186</v>
      </c>
      <c r="U26" s="14">
        <v>354</v>
      </c>
      <c r="V26" s="78">
        <v>472</v>
      </c>
      <c r="W26" s="14">
        <v>3170</v>
      </c>
      <c r="X26" s="14">
        <v>326</v>
      </c>
      <c r="Y26" s="78">
        <v>1995.7</v>
      </c>
      <c r="Z26" s="14">
        <v>7835</v>
      </c>
      <c r="AA26" s="14">
        <v>14191</v>
      </c>
      <c r="AB26" s="14">
        <v>183130</v>
      </c>
      <c r="AC26" s="20">
        <v>13446</v>
      </c>
      <c r="AD26" s="6"/>
    </row>
    <row r="27" spans="1:30" ht="15" customHeight="1" x14ac:dyDescent="0.3">
      <c r="A27" s="150" t="s">
        <v>28</v>
      </c>
      <c r="B27" s="6" t="s">
        <v>314</v>
      </c>
      <c r="C27" s="14">
        <v>9750</v>
      </c>
      <c r="D27" s="14">
        <v>230</v>
      </c>
      <c r="E27" s="77">
        <v>1.1049817363633909</v>
      </c>
      <c r="F27" s="78">
        <v>10773.6</v>
      </c>
      <c r="G27" s="14">
        <v>170000</v>
      </c>
      <c r="H27" s="14">
        <v>65962759</v>
      </c>
      <c r="I27" s="14">
        <v>2695</v>
      </c>
      <c r="J27" s="78">
        <v>141255.25858500088</v>
      </c>
      <c r="K27" s="78">
        <v>532672.5</v>
      </c>
      <c r="L27" s="78">
        <v>507404.96149999637</v>
      </c>
      <c r="M27" s="78">
        <v>648660.19999999995</v>
      </c>
      <c r="N27" s="20">
        <v>16911214</v>
      </c>
      <c r="O27" s="14"/>
      <c r="P27" s="150" t="s">
        <v>28</v>
      </c>
      <c r="Q27" s="6" t="s">
        <v>314</v>
      </c>
      <c r="R27" s="14">
        <v>6254</v>
      </c>
      <c r="S27" s="78">
        <v>18093.7</v>
      </c>
      <c r="T27" s="14">
        <v>7296241</v>
      </c>
      <c r="U27" s="14">
        <v>50845.259042033234</v>
      </c>
      <c r="V27" s="78">
        <v>86010.9</v>
      </c>
      <c r="W27" s="14">
        <v>577581</v>
      </c>
      <c r="X27" s="14">
        <v>62541.521830663616</v>
      </c>
      <c r="Y27" s="78">
        <v>367115.1</v>
      </c>
      <c r="Z27" s="14">
        <v>1441352</v>
      </c>
      <c r="AA27" s="14">
        <v>9315174</v>
      </c>
      <c r="AB27" s="14">
        <v>92189147</v>
      </c>
      <c r="AC27" s="20">
        <v>0</v>
      </c>
      <c r="AD27" s="6"/>
    </row>
    <row r="28" spans="1:30" ht="15" customHeight="1" x14ac:dyDescent="0.3">
      <c r="A28" s="150" t="s">
        <v>29</v>
      </c>
      <c r="B28" s="6" t="s">
        <v>310</v>
      </c>
      <c r="C28" s="14">
        <v>61</v>
      </c>
      <c r="D28" s="14">
        <v>0</v>
      </c>
      <c r="E28" s="77">
        <v>1.4685632080561049</v>
      </c>
      <c r="F28" s="78">
        <v>89.6</v>
      </c>
      <c r="G28" s="14">
        <v>0</v>
      </c>
      <c r="H28" s="14">
        <v>547174</v>
      </c>
      <c r="I28" s="14">
        <v>28</v>
      </c>
      <c r="J28" s="78">
        <v>2391.4800000000005</v>
      </c>
      <c r="K28" s="78">
        <v>5793</v>
      </c>
      <c r="L28" s="78">
        <v>7650.5799999999954</v>
      </c>
      <c r="M28" s="78">
        <v>10042.1</v>
      </c>
      <c r="N28" s="20">
        <v>261807</v>
      </c>
      <c r="O28" s="14"/>
      <c r="P28" s="150" t="s">
        <v>29</v>
      </c>
      <c r="Q28" s="6" t="s">
        <v>310</v>
      </c>
      <c r="R28" s="14">
        <v>58</v>
      </c>
      <c r="S28" s="78">
        <v>165.4</v>
      </c>
      <c r="T28" s="14">
        <v>66697</v>
      </c>
      <c r="U28" s="14">
        <v>293</v>
      </c>
      <c r="V28" s="78">
        <v>609.29999999999995</v>
      </c>
      <c r="W28" s="14">
        <v>4092</v>
      </c>
      <c r="X28" s="14">
        <v>1379</v>
      </c>
      <c r="Y28" s="78">
        <v>5575.8</v>
      </c>
      <c r="Z28" s="14">
        <v>21891</v>
      </c>
      <c r="AA28" s="14">
        <v>92680</v>
      </c>
      <c r="AB28" s="14">
        <v>901661</v>
      </c>
      <c r="AC28" s="20">
        <v>23025</v>
      </c>
      <c r="AD28" s="6"/>
    </row>
    <row r="29" spans="1:30" ht="15" customHeight="1" x14ac:dyDescent="0.3">
      <c r="A29" s="150" t="s">
        <v>30</v>
      </c>
      <c r="B29" s="6" t="s">
        <v>313</v>
      </c>
      <c r="C29" s="14">
        <v>2089</v>
      </c>
      <c r="D29" s="14">
        <v>0</v>
      </c>
      <c r="E29" s="77">
        <v>0.89702182661376517</v>
      </c>
      <c r="F29" s="78">
        <v>1873.9</v>
      </c>
      <c r="G29" s="14">
        <v>0</v>
      </c>
      <c r="H29" s="14">
        <v>11443626</v>
      </c>
      <c r="I29" s="14">
        <v>761</v>
      </c>
      <c r="J29" s="78">
        <v>35660.321934000065</v>
      </c>
      <c r="K29" s="78">
        <v>129533</v>
      </c>
      <c r="L29" s="78">
        <v>103248.36750000001</v>
      </c>
      <c r="M29" s="78">
        <v>138908.70000000001</v>
      </c>
      <c r="N29" s="20">
        <v>3621487</v>
      </c>
      <c r="O29" s="14"/>
      <c r="P29" s="150" t="s">
        <v>30</v>
      </c>
      <c r="Q29" s="6" t="s">
        <v>313</v>
      </c>
      <c r="R29" s="14">
        <v>1035</v>
      </c>
      <c r="S29" s="78">
        <v>3565.9</v>
      </c>
      <c r="T29" s="14">
        <v>1437941</v>
      </c>
      <c r="U29" s="14">
        <v>15713</v>
      </c>
      <c r="V29" s="78">
        <v>19559.099999999999</v>
      </c>
      <c r="W29" s="14">
        <v>131343</v>
      </c>
      <c r="X29" s="14">
        <v>33287</v>
      </c>
      <c r="Y29" s="78">
        <v>128248.8</v>
      </c>
      <c r="Z29" s="14">
        <v>503525</v>
      </c>
      <c r="AA29" s="14">
        <v>2072809</v>
      </c>
      <c r="AB29" s="14">
        <v>17137922</v>
      </c>
      <c r="AC29" s="20">
        <v>1243797</v>
      </c>
      <c r="AD29" s="6"/>
    </row>
    <row r="30" spans="1:30" ht="15" customHeight="1" x14ac:dyDescent="0.3">
      <c r="A30" s="150" t="s">
        <v>31</v>
      </c>
      <c r="B30" s="6" t="s">
        <v>548</v>
      </c>
      <c r="C30" s="14">
        <v>1595</v>
      </c>
      <c r="D30" s="14">
        <v>0</v>
      </c>
      <c r="E30" s="77">
        <v>5.0707284367250747</v>
      </c>
      <c r="F30" s="78">
        <v>8087.8</v>
      </c>
      <c r="G30" s="14">
        <v>0</v>
      </c>
      <c r="H30" s="14">
        <v>49390981</v>
      </c>
      <c r="I30" s="14">
        <v>325</v>
      </c>
      <c r="J30" s="78">
        <v>82316.316984000092</v>
      </c>
      <c r="K30" s="78">
        <v>62013</v>
      </c>
      <c r="L30" s="78">
        <v>235021.53999999975</v>
      </c>
      <c r="M30" s="78">
        <v>317337.90000000002</v>
      </c>
      <c r="N30" s="20">
        <v>8273313</v>
      </c>
      <c r="O30" s="14"/>
      <c r="P30" s="150" t="s">
        <v>31</v>
      </c>
      <c r="Q30" s="6" t="s">
        <v>312</v>
      </c>
      <c r="R30" s="14">
        <v>298</v>
      </c>
      <c r="S30" s="78">
        <v>1656.9</v>
      </c>
      <c r="T30" s="14">
        <v>668141</v>
      </c>
      <c r="U30" s="14">
        <v>6572</v>
      </c>
      <c r="V30" s="78">
        <v>9162.6</v>
      </c>
      <c r="W30" s="14">
        <v>61529</v>
      </c>
      <c r="X30" s="14">
        <v>16868</v>
      </c>
      <c r="Y30" s="78">
        <v>59119.5</v>
      </c>
      <c r="Z30" s="14">
        <v>232113</v>
      </c>
      <c r="AA30" s="14">
        <v>961783</v>
      </c>
      <c r="AB30" s="14">
        <v>58626077</v>
      </c>
      <c r="AC30" s="20">
        <v>2697927</v>
      </c>
      <c r="AD30" s="6"/>
    </row>
    <row r="31" spans="1:30" ht="15" customHeight="1" x14ac:dyDescent="0.3">
      <c r="A31" s="150" t="s">
        <v>32</v>
      </c>
      <c r="B31" s="6" t="s">
        <v>311</v>
      </c>
      <c r="C31" s="14">
        <v>322</v>
      </c>
      <c r="D31" s="14">
        <v>0</v>
      </c>
      <c r="E31" s="77">
        <v>1.5834513394907814</v>
      </c>
      <c r="F31" s="78">
        <v>509.9</v>
      </c>
      <c r="G31" s="14">
        <v>9000</v>
      </c>
      <c r="H31" s="14">
        <v>3122883</v>
      </c>
      <c r="I31" s="14">
        <v>141</v>
      </c>
      <c r="J31" s="78">
        <v>9609.1195259999949</v>
      </c>
      <c r="K31" s="78">
        <v>24258</v>
      </c>
      <c r="L31" s="78">
        <v>30744.777500000026</v>
      </c>
      <c r="M31" s="78">
        <v>40353.9</v>
      </c>
      <c r="N31" s="20">
        <v>1052066</v>
      </c>
      <c r="O31" s="14"/>
      <c r="P31" s="150" t="s">
        <v>32</v>
      </c>
      <c r="Q31" s="6" t="s">
        <v>311</v>
      </c>
      <c r="R31" s="14">
        <v>162</v>
      </c>
      <c r="S31" s="78">
        <v>482.4</v>
      </c>
      <c r="T31" s="14">
        <v>194527</v>
      </c>
      <c r="U31" s="14">
        <v>2525.5180722891564</v>
      </c>
      <c r="V31" s="78">
        <v>3625.5</v>
      </c>
      <c r="W31" s="14">
        <v>24346</v>
      </c>
      <c r="X31" s="14">
        <v>3228.5838509316764</v>
      </c>
      <c r="Y31" s="78">
        <v>12395.7</v>
      </c>
      <c r="Z31" s="14">
        <v>48667</v>
      </c>
      <c r="AA31" s="14">
        <v>267540</v>
      </c>
      <c r="AB31" s="14">
        <v>4442489</v>
      </c>
      <c r="AC31" s="20">
        <v>333108</v>
      </c>
      <c r="AD31" s="6"/>
    </row>
    <row r="32" spans="1:30" ht="15" customHeight="1" x14ac:dyDescent="0.3">
      <c r="A32" s="150" t="s">
        <v>33</v>
      </c>
      <c r="B32" s="6" t="s">
        <v>308</v>
      </c>
      <c r="C32" s="14">
        <v>3597</v>
      </c>
      <c r="D32" s="14">
        <v>150</v>
      </c>
      <c r="E32" s="77">
        <v>1.0758373477003691</v>
      </c>
      <c r="F32" s="78">
        <v>3869.8</v>
      </c>
      <c r="G32" s="14">
        <v>65000</v>
      </c>
      <c r="H32" s="14">
        <v>23697288</v>
      </c>
      <c r="I32" s="14">
        <v>1038</v>
      </c>
      <c r="J32" s="78">
        <v>50656.173551000094</v>
      </c>
      <c r="K32" s="78">
        <v>213486.5</v>
      </c>
      <c r="L32" s="78">
        <v>197404.24400000175</v>
      </c>
      <c r="M32" s="78">
        <v>248060.4</v>
      </c>
      <c r="N32" s="20">
        <v>6467180</v>
      </c>
      <c r="O32" s="14"/>
      <c r="P32" s="150" t="s">
        <v>33</v>
      </c>
      <c r="Q32" s="6" t="s">
        <v>308</v>
      </c>
      <c r="R32" s="14">
        <v>2489</v>
      </c>
      <c r="S32" s="78">
        <v>6903.5</v>
      </c>
      <c r="T32" s="14">
        <v>2783820</v>
      </c>
      <c r="U32" s="14">
        <v>25861.714285714283</v>
      </c>
      <c r="V32" s="78">
        <v>49213</v>
      </c>
      <c r="W32" s="14">
        <v>330475</v>
      </c>
      <c r="X32" s="14">
        <v>51455.483814766791</v>
      </c>
      <c r="Y32" s="78">
        <v>197542.2</v>
      </c>
      <c r="Z32" s="14">
        <v>775582</v>
      </c>
      <c r="AA32" s="14">
        <v>3889877</v>
      </c>
      <c r="AB32" s="14">
        <v>34054345</v>
      </c>
      <c r="AC32" s="20">
        <v>3682888</v>
      </c>
      <c r="AD32" s="6"/>
    </row>
    <row r="33" spans="1:30" ht="15" customHeight="1" x14ac:dyDescent="0.3">
      <c r="A33" s="150" t="s">
        <v>34</v>
      </c>
      <c r="B33" s="6" t="s">
        <v>307</v>
      </c>
      <c r="C33" s="14">
        <v>487</v>
      </c>
      <c r="D33" s="14">
        <v>0</v>
      </c>
      <c r="E33" s="77">
        <v>1.2379870583345216</v>
      </c>
      <c r="F33" s="78">
        <v>602.9</v>
      </c>
      <c r="G33" s="14">
        <v>0</v>
      </c>
      <c r="H33" s="14">
        <v>3681820</v>
      </c>
      <c r="I33" s="14">
        <v>223</v>
      </c>
      <c r="J33" s="78">
        <v>7166.0482780000029</v>
      </c>
      <c r="K33" s="78">
        <v>39998</v>
      </c>
      <c r="L33" s="78">
        <v>38879.234999999957</v>
      </c>
      <c r="M33" s="78">
        <v>46045.3</v>
      </c>
      <c r="N33" s="20">
        <v>1200447</v>
      </c>
      <c r="O33" s="14"/>
      <c r="P33" s="150" t="s">
        <v>34</v>
      </c>
      <c r="Q33" s="6" t="s">
        <v>307</v>
      </c>
      <c r="R33" s="14">
        <v>428</v>
      </c>
      <c r="S33" s="78">
        <v>901.2</v>
      </c>
      <c r="T33" s="14">
        <v>363407</v>
      </c>
      <c r="U33" s="14">
        <v>3729.1571428571433</v>
      </c>
      <c r="V33" s="78">
        <v>5892.2</v>
      </c>
      <c r="W33" s="14">
        <v>39567</v>
      </c>
      <c r="X33" s="14">
        <v>9064.6100628930817</v>
      </c>
      <c r="Y33" s="78">
        <v>28592.2</v>
      </c>
      <c r="Z33" s="14">
        <v>112258</v>
      </c>
      <c r="AA33" s="14">
        <v>515232</v>
      </c>
      <c r="AB33" s="14">
        <v>5397499</v>
      </c>
      <c r="AC33" s="20">
        <v>519968</v>
      </c>
      <c r="AD33" s="6"/>
    </row>
    <row r="34" spans="1:30" ht="15" customHeight="1" x14ac:dyDescent="0.3">
      <c r="A34" s="150" t="s">
        <v>35</v>
      </c>
      <c r="B34" s="6" t="s">
        <v>305</v>
      </c>
      <c r="C34" s="14">
        <v>46</v>
      </c>
      <c r="D34" s="14">
        <v>0</v>
      </c>
      <c r="E34" s="77">
        <v>1.4608289479345022</v>
      </c>
      <c r="F34" s="78">
        <v>67.2</v>
      </c>
      <c r="G34" s="14">
        <v>0</v>
      </c>
      <c r="H34" s="14">
        <v>410380</v>
      </c>
      <c r="I34" s="14">
        <v>24</v>
      </c>
      <c r="J34" s="78">
        <v>941.00400000000013</v>
      </c>
      <c r="K34" s="78">
        <v>4820</v>
      </c>
      <c r="L34" s="78">
        <v>4126.59</v>
      </c>
      <c r="M34" s="78">
        <v>5067.6000000000004</v>
      </c>
      <c r="N34" s="20">
        <v>132117</v>
      </c>
      <c r="O34" s="14"/>
      <c r="P34" s="150" t="s">
        <v>35</v>
      </c>
      <c r="Q34" s="6" t="s">
        <v>305</v>
      </c>
      <c r="R34" s="14">
        <v>22</v>
      </c>
      <c r="S34" s="78">
        <v>82.2</v>
      </c>
      <c r="T34" s="14">
        <v>33147</v>
      </c>
      <c r="U34" s="14">
        <v>522</v>
      </c>
      <c r="V34" s="78">
        <v>671.1</v>
      </c>
      <c r="W34" s="14">
        <v>4507</v>
      </c>
      <c r="X34" s="14">
        <v>842</v>
      </c>
      <c r="Y34" s="78">
        <v>3199.6</v>
      </c>
      <c r="Z34" s="14">
        <v>12562</v>
      </c>
      <c r="AA34" s="14">
        <v>50216</v>
      </c>
      <c r="AB34" s="14">
        <v>592713</v>
      </c>
      <c r="AC34" s="20">
        <v>41569</v>
      </c>
      <c r="AD34" s="6"/>
    </row>
    <row r="35" spans="1:30" ht="15" customHeight="1" x14ac:dyDescent="0.3">
      <c r="A35" s="150" t="s">
        <v>36</v>
      </c>
      <c r="B35" s="6" t="s">
        <v>304</v>
      </c>
      <c r="C35" s="14">
        <v>1489</v>
      </c>
      <c r="D35" s="14">
        <v>90</v>
      </c>
      <c r="E35" s="77">
        <v>1.0775880882620186</v>
      </c>
      <c r="F35" s="78">
        <v>1604.5</v>
      </c>
      <c r="G35" s="14">
        <v>31000</v>
      </c>
      <c r="H35" s="14">
        <v>9829441</v>
      </c>
      <c r="I35" s="14">
        <v>997</v>
      </c>
      <c r="J35" s="78">
        <v>29413.145684000046</v>
      </c>
      <c r="K35" s="78">
        <v>171990</v>
      </c>
      <c r="L35" s="78">
        <v>125145.35750000007</v>
      </c>
      <c r="M35" s="78">
        <v>154558.5</v>
      </c>
      <c r="N35" s="20">
        <v>4029493</v>
      </c>
      <c r="O35" s="14"/>
      <c r="P35" s="150" t="s">
        <v>36</v>
      </c>
      <c r="Q35" s="6" t="s">
        <v>304</v>
      </c>
      <c r="R35" s="14">
        <v>1367</v>
      </c>
      <c r="S35" s="78">
        <v>3868.4</v>
      </c>
      <c r="T35" s="14">
        <v>1559923</v>
      </c>
      <c r="U35" s="14">
        <v>9890</v>
      </c>
      <c r="V35" s="78">
        <v>19145.7</v>
      </c>
      <c r="W35" s="14">
        <v>128567</v>
      </c>
      <c r="X35" s="14">
        <v>22260.624390243898</v>
      </c>
      <c r="Y35" s="78">
        <v>84218.9</v>
      </c>
      <c r="Z35" s="14">
        <v>330657</v>
      </c>
      <c r="AA35" s="14">
        <v>2019147</v>
      </c>
      <c r="AB35" s="14">
        <v>15878081</v>
      </c>
      <c r="AC35" s="20">
        <v>0</v>
      </c>
      <c r="AD35" s="6"/>
    </row>
    <row r="36" spans="1:30" ht="15" customHeight="1" x14ac:dyDescent="0.3">
      <c r="A36" s="150" t="s">
        <v>37</v>
      </c>
      <c r="B36" s="6" t="s">
        <v>303</v>
      </c>
      <c r="C36" s="14">
        <v>83</v>
      </c>
      <c r="D36" s="14">
        <v>0</v>
      </c>
      <c r="E36" s="77">
        <v>0.7498594593935054</v>
      </c>
      <c r="F36" s="78">
        <v>62.2</v>
      </c>
      <c r="G36" s="14">
        <v>5000</v>
      </c>
      <c r="H36" s="14">
        <v>384846</v>
      </c>
      <c r="I36" s="14">
        <v>95</v>
      </c>
      <c r="J36" s="78">
        <v>1529.948216000002</v>
      </c>
      <c r="K36" s="78">
        <v>9599.9999999999818</v>
      </c>
      <c r="L36" s="78">
        <v>4867.1999999999853</v>
      </c>
      <c r="M36" s="78">
        <v>6397.1</v>
      </c>
      <c r="N36" s="20">
        <v>166779</v>
      </c>
      <c r="O36" s="14"/>
      <c r="P36" s="150" t="s">
        <v>37</v>
      </c>
      <c r="Q36" s="6" t="s">
        <v>303</v>
      </c>
      <c r="R36" s="14">
        <v>53</v>
      </c>
      <c r="S36" s="78">
        <v>139.1</v>
      </c>
      <c r="T36" s="14">
        <v>56092</v>
      </c>
      <c r="U36" s="14">
        <v>1242</v>
      </c>
      <c r="V36" s="78">
        <v>1366.2</v>
      </c>
      <c r="W36" s="14">
        <v>9174</v>
      </c>
      <c r="X36" s="14">
        <v>1861.3552631578946</v>
      </c>
      <c r="Y36" s="78">
        <v>7635.4</v>
      </c>
      <c r="Z36" s="14">
        <v>29978</v>
      </c>
      <c r="AA36" s="14">
        <v>95244</v>
      </c>
      <c r="AB36" s="14">
        <v>646869</v>
      </c>
      <c r="AC36" s="20">
        <v>18854</v>
      </c>
      <c r="AD36" s="6"/>
    </row>
    <row r="37" spans="1:30" ht="15" customHeight="1" x14ac:dyDescent="0.3">
      <c r="A37" s="150" t="s">
        <v>38</v>
      </c>
      <c r="B37" s="6" t="s">
        <v>300</v>
      </c>
      <c r="C37" s="14">
        <v>57</v>
      </c>
      <c r="D37" s="14">
        <v>0</v>
      </c>
      <c r="E37" s="77">
        <v>1.4507436235707969</v>
      </c>
      <c r="F37" s="78">
        <v>82.7</v>
      </c>
      <c r="G37" s="14">
        <v>0</v>
      </c>
      <c r="H37" s="14">
        <v>505036</v>
      </c>
      <c r="I37" s="14">
        <v>11</v>
      </c>
      <c r="J37" s="78">
        <v>1077.4801079999997</v>
      </c>
      <c r="K37" s="78">
        <v>3486</v>
      </c>
      <c r="L37" s="78">
        <v>4642.119999999999</v>
      </c>
      <c r="M37" s="78">
        <v>5719.6</v>
      </c>
      <c r="N37" s="20">
        <v>149116</v>
      </c>
      <c r="O37" s="14"/>
      <c r="P37" s="150" t="s">
        <v>38</v>
      </c>
      <c r="Q37" s="6" t="s">
        <v>300</v>
      </c>
      <c r="R37" s="14">
        <v>35</v>
      </c>
      <c r="S37" s="78">
        <v>115.5</v>
      </c>
      <c r="T37" s="14">
        <v>46575</v>
      </c>
      <c r="U37" s="14">
        <v>438</v>
      </c>
      <c r="V37" s="78">
        <v>508.1</v>
      </c>
      <c r="W37" s="14">
        <v>3412</v>
      </c>
      <c r="X37" s="14">
        <v>748</v>
      </c>
      <c r="Y37" s="78">
        <v>2670.1</v>
      </c>
      <c r="Z37" s="14">
        <v>10483</v>
      </c>
      <c r="AA37" s="14">
        <v>60470</v>
      </c>
      <c r="AB37" s="14">
        <v>714622</v>
      </c>
      <c r="AC37" s="20">
        <v>0</v>
      </c>
      <c r="AD37" s="6"/>
    </row>
    <row r="38" spans="1:30" ht="15" customHeight="1" x14ac:dyDescent="0.3">
      <c r="A38" s="150" t="s">
        <v>39</v>
      </c>
      <c r="B38" s="6" t="s">
        <v>299</v>
      </c>
      <c r="C38" s="14">
        <v>2716</v>
      </c>
      <c r="D38" s="14">
        <v>65</v>
      </c>
      <c r="E38" s="77">
        <v>1.1492362880461335</v>
      </c>
      <c r="F38" s="78">
        <v>3121.3</v>
      </c>
      <c r="G38" s="14">
        <v>53000</v>
      </c>
      <c r="H38" s="14">
        <v>19114311</v>
      </c>
      <c r="I38" s="14">
        <v>940</v>
      </c>
      <c r="J38" s="78">
        <v>47986.997848999941</v>
      </c>
      <c r="K38" s="78">
        <v>172901.5</v>
      </c>
      <c r="L38" s="78">
        <v>170139.45750000112</v>
      </c>
      <c r="M38" s="78">
        <v>218126.5</v>
      </c>
      <c r="N38" s="20">
        <v>5686774</v>
      </c>
      <c r="O38" s="14"/>
      <c r="P38" s="150" t="s">
        <v>39</v>
      </c>
      <c r="Q38" s="6" t="s">
        <v>299</v>
      </c>
      <c r="R38" s="14">
        <v>1874</v>
      </c>
      <c r="S38" s="78">
        <v>5839.1</v>
      </c>
      <c r="T38" s="14">
        <v>2354603</v>
      </c>
      <c r="U38" s="14">
        <v>19762</v>
      </c>
      <c r="V38" s="78">
        <v>28126.1</v>
      </c>
      <c r="W38" s="14">
        <v>188873</v>
      </c>
      <c r="X38" s="14">
        <v>45211</v>
      </c>
      <c r="Y38" s="78">
        <v>165348.29999999999</v>
      </c>
      <c r="Z38" s="14">
        <v>649184</v>
      </c>
      <c r="AA38" s="14">
        <v>3192660</v>
      </c>
      <c r="AB38" s="14">
        <v>27993745</v>
      </c>
      <c r="AC38" s="20">
        <v>0</v>
      </c>
      <c r="AD38" s="6"/>
    </row>
    <row r="39" spans="1:30" ht="15" customHeight="1" x14ac:dyDescent="0.3">
      <c r="A39" s="150" t="s">
        <v>40</v>
      </c>
      <c r="B39" s="6" t="s">
        <v>298</v>
      </c>
      <c r="C39" s="14">
        <v>136</v>
      </c>
      <c r="D39" s="14">
        <v>0</v>
      </c>
      <c r="E39" s="77">
        <v>0.72540000000001614</v>
      </c>
      <c r="F39" s="78">
        <v>98.7</v>
      </c>
      <c r="G39" s="14">
        <v>10000</v>
      </c>
      <c r="H39" s="14">
        <v>612746</v>
      </c>
      <c r="I39" s="14">
        <v>150</v>
      </c>
      <c r="J39" s="78">
        <v>2135.4840000000045</v>
      </c>
      <c r="K39" s="78">
        <v>17159.999999999989</v>
      </c>
      <c r="L39" s="78">
        <v>8700.1199999999899</v>
      </c>
      <c r="M39" s="78">
        <v>10835.6</v>
      </c>
      <c r="N39" s="20">
        <v>282495</v>
      </c>
      <c r="O39" s="14"/>
      <c r="P39" s="150" t="s">
        <v>40</v>
      </c>
      <c r="Q39" s="6" t="s">
        <v>298</v>
      </c>
      <c r="R39" s="14">
        <v>231</v>
      </c>
      <c r="S39" s="78">
        <v>457.8</v>
      </c>
      <c r="T39" s="14">
        <v>184607</v>
      </c>
      <c r="U39" s="14">
        <v>2831</v>
      </c>
      <c r="V39" s="78">
        <v>3575.1</v>
      </c>
      <c r="W39" s="14">
        <v>24008</v>
      </c>
      <c r="X39" s="14">
        <v>8174</v>
      </c>
      <c r="Y39" s="78">
        <v>37605.9</v>
      </c>
      <c r="Z39" s="14">
        <v>147647</v>
      </c>
      <c r="AA39" s="14">
        <v>356262</v>
      </c>
      <c r="AB39" s="14">
        <v>1251503</v>
      </c>
      <c r="AC39" s="20">
        <v>58792</v>
      </c>
      <c r="AD39" s="6"/>
    </row>
    <row r="40" spans="1:30" ht="15" customHeight="1" x14ac:dyDescent="0.3">
      <c r="A40" s="150" t="s">
        <v>460</v>
      </c>
      <c r="B40" s="6" t="s">
        <v>297</v>
      </c>
      <c r="C40" s="14">
        <v>6354</v>
      </c>
      <c r="D40" s="14">
        <v>365</v>
      </c>
      <c r="E40" s="77">
        <v>1.0858105995055927</v>
      </c>
      <c r="F40" s="78">
        <v>6899.2</v>
      </c>
      <c r="G40" s="14">
        <v>140000</v>
      </c>
      <c r="H40" s="14">
        <v>42272379</v>
      </c>
      <c r="I40" s="14">
        <v>2607</v>
      </c>
      <c r="J40" s="78">
        <v>117103.87366599836</v>
      </c>
      <c r="K40" s="78">
        <v>449046.5</v>
      </c>
      <c r="L40" s="78">
        <v>412984.36224999488</v>
      </c>
      <c r="M40" s="78">
        <v>530088.19999999995</v>
      </c>
      <c r="N40" s="20">
        <v>13819924</v>
      </c>
      <c r="O40" s="14"/>
      <c r="P40" s="150" t="s">
        <v>460</v>
      </c>
      <c r="Q40" s="6" t="s">
        <v>297</v>
      </c>
      <c r="R40" s="14">
        <v>4995</v>
      </c>
      <c r="S40" s="78">
        <v>15622.5</v>
      </c>
      <c r="T40" s="14">
        <v>6299735</v>
      </c>
      <c r="U40" s="14">
        <v>18402</v>
      </c>
      <c r="V40" s="78">
        <v>43559.7</v>
      </c>
      <c r="W40" s="14">
        <v>292512</v>
      </c>
      <c r="X40" s="14">
        <v>51178</v>
      </c>
      <c r="Y40" s="78">
        <v>302299.2</v>
      </c>
      <c r="Z40" s="14">
        <v>1186875</v>
      </c>
      <c r="AA40" s="14">
        <v>7779122</v>
      </c>
      <c r="AB40" s="14">
        <v>63871425</v>
      </c>
      <c r="AC40" s="20">
        <v>0</v>
      </c>
      <c r="AD40" s="6"/>
    </row>
    <row r="41" spans="1:30" ht="15" customHeight="1" x14ac:dyDescent="0.3">
      <c r="A41" s="150" t="s">
        <v>41</v>
      </c>
      <c r="B41" s="6" t="s">
        <v>302</v>
      </c>
      <c r="C41" s="14">
        <v>192</v>
      </c>
      <c r="D41" s="14">
        <v>0</v>
      </c>
      <c r="E41" s="77">
        <v>0.92373807328241775</v>
      </c>
      <c r="F41" s="78">
        <v>177.4</v>
      </c>
      <c r="G41" s="14">
        <v>9000</v>
      </c>
      <c r="H41" s="14">
        <v>1092355</v>
      </c>
      <c r="I41" s="14">
        <v>115</v>
      </c>
      <c r="J41" s="78">
        <v>3230.3694660000001</v>
      </c>
      <c r="K41" s="78">
        <v>19656</v>
      </c>
      <c r="L41" s="78">
        <v>13835.32</v>
      </c>
      <c r="M41" s="78">
        <v>17065.7</v>
      </c>
      <c r="N41" s="20">
        <v>444920</v>
      </c>
      <c r="O41" s="14"/>
      <c r="P41" s="150" t="s">
        <v>41</v>
      </c>
      <c r="Q41" s="6" t="s">
        <v>302</v>
      </c>
      <c r="R41" s="14">
        <v>176</v>
      </c>
      <c r="S41" s="78">
        <v>512.20000000000005</v>
      </c>
      <c r="T41" s="14">
        <v>206543</v>
      </c>
      <c r="U41" s="14">
        <v>857</v>
      </c>
      <c r="V41" s="78">
        <v>2028.5</v>
      </c>
      <c r="W41" s="14">
        <v>13622</v>
      </c>
      <c r="X41" s="14">
        <v>3788</v>
      </c>
      <c r="Y41" s="78">
        <v>19857.3</v>
      </c>
      <c r="Z41" s="14">
        <v>77963</v>
      </c>
      <c r="AA41" s="14">
        <v>298128</v>
      </c>
      <c r="AB41" s="14">
        <v>1835403</v>
      </c>
      <c r="AC41" s="20">
        <v>54327</v>
      </c>
      <c r="AD41" s="6"/>
    </row>
    <row r="42" spans="1:30" ht="15" customHeight="1" x14ac:dyDescent="0.3">
      <c r="A42" s="150" t="s">
        <v>42</v>
      </c>
      <c r="B42" s="6" t="s">
        <v>301</v>
      </c>
      <c r="C42" s="14">
        <v>118</v>
      </c>
      <c r="D42" s="14">
        <v>0</v>
      </c>
      <c r="E42" s="77">
        <v>1.0898302236027562</v>
      </c>
      <c r="F42" s="78">
        <v>128.6</v>
      </c>
      <c r="G42" s="14">
        <v>0</v>
      </c>
      <c r="H42" s="14">
        <v>785341</v>
      </c>
      <c r="I42" s="14">
        <v>57</v>
      </c>
      <c r="J42" s="78">
        <v>4344.1202699999958</v>
      </c>
      <c r="K42" s="78">
        <v>10215</v>
      </c>
      <c r="L42" s="78">
        <v>10776.139999999996</v>
      </c>
      <c r="M42" s="78">
        <v>15120.3</v>
      </c>
      <c r="N42" s="20">
        <v>394201</v>
      </c>
      <c r="O42" s="14"/>
      <c r="P42" s="150" t="s">
        <v>42</v>
      </c>
      <c r="Q42" s="6" t="s">
        <v>301</v>
      </c>
      <c r="R42" s="14">
        <v>55</v>
      </c>
      <c r="S42" s="78">
        <v>200.7</v>
      </c>
      <c r="T42" s="14">
        <v>80932</v>
      </c>
      <c r="U42" s="14">
        <v>1106.5277777777778</v>
      </c>
      <c r="V42" s="78">
        <v>1249.3</v>
      </c>
      <c r="W42" s="14">
        <v>8389</v>
      </c>
      <c r="X42" s="14">
        <v>2456</v>
      </c>
      <c r="Y42" s="78">
        <v>8887.9</v>
      </c>
      <c r="Z42" s="14">
        <v>34895</v>
      </c>
      <c r="AA42" s="14">
        <v>124216</v>
      </c>
      <c r="AB42" s="14">
        <v>1303758</v>
      </c>
      <c r="AC42" s="20">
        <v>67942</v>
      </c>
      <c r="AD42" s="6"/>
    </row>
    <row r="43" spans="1:30" ht="15" customHeight="1" x14ac:dyDescent="0.3">
      <c r="A43" s="150" t="s">
        <v>43</v>
      </c>
      <c r="B43" s="6" t="s">
        <v>296</v>
      </c>
      <c r="C43" s="14">
        <v>555</v>
      </c>
      <c r="D43" s="14">
        <v>15</v>
      </c>
      <c r="E43" s="77">
        <v>1.2920575827884797</v>
      </c>
      <c r="F43" s="78">
        <v>717.1</v>
      </c>
      <c r="G43" s="14">
        <v>0</v>
      </c>
      <c r="H43" s="14">
        <v>4379222</v>
      </c>
      <c r="I43" s="14">
        <v>153</v>
      </c>
      <c r="J43" s="78">
        <v>10023.298192000018</v>
      </c>
      <c r="K43" s="78">
        <v>28630</v>
      </c>
      <c r="L43" s="78">
        <v>30573.164999999964</v>
      </c>
      <c r="M43" s="78">
        <v>40596.5</v>
      </c>
      <c r="N43" s="20">
        <v>1058391</v>
      </c>
      <c r="O43" s="14"/>
      <c r="P43" s="150" t="s">
        <v>43</v>
      </c>
      <c r="Q43" s="6" t="s">
        <v>296</v>
      </c>
      <c r="R43" s="14">
        <v>467</v>
      </c>
      <c r="S43" s="78">
        <v>1228.5</v>
      </c>
      <c r="T43" s="14">
        <v>495390</v>
      </c>
      <c r="U43" s="14">
        <v>3038.9044943820222</v>
      </c>
      <c r="V43" s="78">
        <v>3698.8</v>
      </c>
      <c r="W43" s="14">
        <v>24838</v>
      </c>
      <c r="X43" s="14">
        <v>2472</v>
      </c>
      <c r="Y43" s="78">
        <v>8678.2999999999993</v>
      </c>
      <c r="Z43" s="14">
        <v>34072</v>
      </c>
      <c r="AA43" s="14">
        <v>554300</v>
      </c>
      <c r="AB43" s="14">
        <v>5991913</v>
      </c>
      <c r="AC43" s="20">
        <v>0</v>
      </c>
      <c r="AD43" s="6"/>
    </row>
    <row r="44" spans="1:30" ht="15" customHeight="1" x14ac:dyDescent="0.3">
      <c r="A44" s="150" t="s">
        <v>44</v>
      </c>
      <c r="B44" s="6" t="s">
        <v>384</v>
      </c>
      <c r="C44" s="14">
        <v>2734</v>
      </c>
      <c r="D44" s="14">
        <v>135</v>
      </c>
      <c r="E44" s="77">
        <v>1.0972200553908564</v>
      </c>
      <c r="F44" s="78">
        <v>2999.8</v>
      </c>
      <c r="G44" s="14">
        <v>50000</v>
      </c>
      <c r="H44" s="14">
        <v>18369329</v>
      </c>
      <c r="I44" s="14">
        <v>1033</v>
      </c>
      <c r="J44" s="78">
        <v>47826.981897999824</v>
      </c>
      <c r="K44" s="78">
        <v>186568</v>
      </c>
      <c r="L44" s="78">
        <v>173004.12250000003</v>
      </c>
      <c r="M44" s="78">
        <v>220831.1</v>
      </c>
      <c r="N44" s="20">
        <v>5757285</v>
      </c>
      <c r="O44" s="14"/>
      <c r="P44" s="150" t="s">
        <v>44</v>
      </c>
      <c r="Q44" s="6" t="s">
        <v>295</v>
      </c>
      <c r="R44" s="14">
        <v>1828</v>
      </c>
      <c r="S44" s="78">
        <v>5811.5</v>
      </c>
      <c r="T44" s="14">
        <v>2343473</v>
      </c>
      <c r="U44" s="14">
        <v>19244</v>
      </c>
      <c r="V44" s="78">
        <v>29432.799999999999</v>
      </c>
      <c r="W44" s="14">
        <v>197647</v>
      </c>
      <c r="X44" s="14">
        <v>41541</v>
      </c>
      <c r="Y44" s="78">
        <v>169513.1</v>
      </c>
      <c r="Z44" s="14">
        <v>665535</v>
      </c>
      <c r="AA44" s="14">
        <v>3206655</v>
      </c>
      <c r="AB44" s="14">
        <v>27333269</v>
      </c>
      <c r="AC44" s="20">
        <v>0</v>
      </c>
      <c r="AD44" s="6"/>
    </row>
    <row r="45" spans="1:30" ht="15" customHeight="1" x14ac:dyDescent="0.3">
      <c r="A45" s="150" t="s">
        <v>155</v>
      </c>
      <c r="B45" s="6" t="s">
        <v>294</v>
      </c>
      <c r="C45" s="14">
        <v>88</v>
      </c>
      <c r="D45" s="14">
        <v>0</v>
      </c>
      <c r="E45" s="77">
        <v>1.1247111939991721</v>
      </c>
      <c r="F45" s="78">
        <v>99</v>
      </c>
      <c r="G45" s="14">
        <v>0</v>
      </c>
      <c r="H45" s="14">
        <v>604578</v>
      </c>
      <c r="I45" s="14">
        <v>49</v>
      </c>
      <c r="J45" s="78">
        <v>1364.569524</v>
      </c>
      <c r="K45" s="78">
        <v>7603</v>
      </c>
      <c r="L45" s="78">
        <v>5940.3324999999968</v>
      </c>
      <c r="M45" s="78">
        <v>7304.9</v>
      </c>
      <c r="N45" s="20">
        <v>190446</v>
      </c>
      <c r="O45" s="14"/>
      <c r="P45" s="150" t="s">
        <v>155</v>
      </c>
      <c r="Q45" s="6" t="s">
        <v>294</v>
      </c>
      <c r="R45" s="14">
        <v>82</v>
      </c>
      <c r="S45" s="78">
        <v>232.9</v>
      </c>
      <c r="T45" s="14">
        <v>93916</v>
      </c>
      <c r="U45" s="14">
        <v>1099</v>
      </c>
      <c r="V45" s="78">
        <v>1238.5999999999999</v>
      </c>
      <c r="W45" s="14">
        <v>8317</v>
      </c>
      <c r="X45" s="14">
        <v>2607</v>
      </c>
      <c r="Y45" s="78">
        <v>8000.3</v>
      </c>
      <c r="Z45" s="14">
        <v>31410</v>
      </c>
      <c r="AA45" s="14">
        <v>133643</v>
      </c>
      <c r="AB45" s="14">
        <v>928667</v>
      </c>
      <c r="AC45" s="20">
        <v>44171</v>
      </c>
      <c r="AD45" s="6"/>
    </row>
    <row r="46" spans="1:30" ht="15" customHeight="1" x14ac:dyDescent="0.3">
      <c r="A46" s="150" t="s">
        <v>46</v>
      </c>
      <c r="B46" s="6" t="s">
        <v>293</v>
      </c>
      <c r="C46" s="14">
        <v>85</v>
      </c>
      <c r="D46" s="14">
        <v>0</v>
      </c>
      <c r="E46" s="77">
        <v>1.2679615589264608</v>
      </c>
      <c r="F46" s="78">
        <v>107.8</v>
      </c>
      <c r="G46" s="14">
        <v>0</v>
      </c>
      <c r="H46" s="14">
        <v>658318</v>
      </c>
      <c r="I46" s="14">
        <v>50</v>
      </c>
      <c r="J46" s="78">
        <v>2617.9665660000001</v>
      </c>
      <c r="K46" s="78">
        <v>7040</v>
      </c>
      <c r="L46" s="78">
        <v>7090.4100000000044</v>
      </c>
      <c r="M46" s="78">
        <v>9708.4</v>
      </c>
      <c r="N46" s="20">
        <v>253108</v>
      </c>
      <c r="O46" s="14"/>
      <c r="P46" s="150" t="s">
        <v>46</v>
      </c>
      <c r="Q46" s="6" t="s">
        <v>293</v>
      </c>
      <c r="R46" s="14">
        <v>72</v>
      </c>
      <c r="S46" s="78">
        <v>230.7</v>
      </c>
      <c r="T46" s="14">
        <v>93029</v>
      </c>
      <c r="U46" s="14">
        <v>373</v>
      </c>
      <c r="V46" s="78">
        <v>666.9</v>
      </c>
      <c r="W46" s="14">
        <v>4478</v>
      </c>
      <c r="X46" s="14">
        <v>835</v>
      </c>
      <c r="Y46" s="78">
        <v>4235.6000000000004</v>
      </c>
      <c r="Z46" s="14">
        <v>16630</v>
      </c>
      <c r="AA46" s="14">
        <v>114137</v>
      </c>
      <c r="AB46" s="14">
        <v>1025563</v>
      </c>
      <c r="AC46" s="20">
        <v>44373</v>
      </c>
      <c r="AD46" s="6"/>
    </row>
    <row r="47" spans="1:30" ht="15" customHeight="1" x14ac:dyDescent="0.3">
      <c r="A47" s="150" t="s">
        <v>47</v>
      </c>
      <c r="B47" s="6" t="s">
        <v>292</v>
      </c>
      <c r="C47" s="14">
        <v>63</v>
      </c>
      <c r="D47" s="14">
        <v>0</v>
      </c>
      <c r="E47" s="77">
        <v>0.91805751122559465</v>
      </c>
      <c r="F47" s="78">
        <v>57.8</v>
      </c>
      <c r="G47" s="14">
        <v>0</v>
      </c>
      <c r="H47" s="14">
        <v>352976</v>
      </c>
      <c r="I47" s="14">
        <v>26</v>
      </c>
      <c r="J47" s="78">
        <v>397.21492199999989</v>
      </c>
      <c r="K47" s="78">
        <v>3925</v>
      </c>
      <c r="L47" s="78">
        <v>2474.7124999999996</v>
      </c>
      <c r="M47" s="78">
        <v>2871.9</v>
      </c>
      <c r="N47" s="20">
        <v>74873</v>
      </c>
      <c r="O47" s="14"/>
      <c r="P47" s="150" t="s">
        <v>47</v>
      </c>
      <c r="Q47" s="6" t="s">
        <v>292</v>
      </c>
      <c r="R47" s="14">
        <v>12</v>
      </c>
      <c r="S47" s="78">
        <v>34.6</v>
      </c>
      <c r="T47" s="14">
        <v>13952</v>
      </c>
      <c r="U47" s="14">
        <v>251</v>
      </c>
      <c r="V47" s="78">
        <v>461</v>
      </c>
      <c r="W47" s="14">
        <v>3096</v>
      </c>
      <c r="X47" s="14">
        <v>749.53846153846155</v>
      </c>
      <c r="Y47" s="78">
        <v>2806.2</v>
      </c>
      <c r="Z47" s="14">
        <v>11018</v>
      </c>
      <c r="AA47" s="14">
        <v>28066</v>
      </c>
      <c r="AB47" s="14">
        <v>455915</v>
      </c>
      <c r="AC47" s="20">
        <v>0</v>
      </c>
      <c r="AD47" s="6"/>
    </row>
    <row r="48" spans="1:30" ht="15" customHeight="1" x14ac:dyDescent="0.3">
      <c r="A48" s="150" t="s">
        <v>48</v>
      </c>
      <c r="B48" s="6" t="s">
        <v>291</v>
      </c>
      <c r="C48" s="14">
        <v>23</v>
      </c>
      <c r="D48" s="14">
        <v>0</v>
      </c>
      <c r="E48" s="77">
        <v>0.77856197811106487</v>
      </c>
      <c r="F48" s="78">
        <v>17.899999999999999</v>
      </c>
      <c r="G48" s="14">
        <v>0</v>
      </c>
      <c r="H48" s="14">
        <v>109313</v>
      </c>
      <c r="I48" s="14">
        <v>4</v>
      </c>
      <c r="J48" s="78">
        <v>58.406399999999998</v>
      </c>
      <c r="K48" s="78">
        <v>780</v>
      </c>
      <c r="L48" s="78">
        <v>395.45999999999987</v>
      </c>
      <c r="M48" s="78">
        <v>453.9</v>
      </c>
      <c r="N48" s="20">
        <v>11834</v>
      </c>
      <c r="O48" s="14"/>
      <c r="P48" s="150" t="s">
        <v>48</v>
      </c>
      <c r="Q48" s="6" t="s">
        <v>291</v>
      </c>
      <c r="R48" s="14">
        <v>15</v>
      </c>
      <c r="S48" s="78">
        <v>40.6</v>
      </c>
      <c r="T48" s="14">
        <v>16372</v>
      </c>
      <c r="U48" s="14">
        <v>108.85714285714286</v>
      </c>
      <c r="V48" s="78">
        <v>108.9</v>
      </c>
      <c r="W48" s="14">
        <v>731</v>
      </c>
      <c r="X48" s="14">
        <v>438.5</v>
      </c>
      <c r="Y48" s="78">
        <v>1713.4</v>
      </c>
      <c r="Z48" s="14">
        <v>6727</v>
      </c>
      <c r="AA48" s="14">
        <v>23830</v>
      </c>
      <c r="AB48" s="14">
        <v>144977</v>
      </c>
      <c r="AC48" s="20">
        <v>7713</v>
      </c>
      <c r="AD48" s="6"/>
    </row>
    <row r="49" spans="1:30" ht="15" customHeight="1" x14ac:dyDescent="0.3">
      <c r="A49" s="150" t="s">
        <v>49</v>
      </c>
      <c r="B49" s="6" t="s">
        <v>289</v>
      </c>
      <c r="C49" s="14">
        <v>101</v>
      </c>
      <c r="D49" s="14">
        <v>0</v>
      </c>
      <c r="E49" s="77">
        <v>1.0503537679490822</v>
      </c>
      <c r="F49" s="78">
        <v>106.1</v>
      </c>
      <c r="G49" s="14">
        <v>0</v>
      </c>
      <c r="H49" s="14">
        <v>647937</v>
      </c>
      <c r="I49" s="14">
        <v>23</v>
      </c>
      <c r="J49" s="78">
        <v>1136.3401620000004</v>
      </c>
      <c r="K49" s="78">
        <v>5426</v>
      </c>
      <c r="L49" s="78">
        <v>5480.079999999999</v>
      </c>
      <c r="M49" s="78">
        <v>6616.4</v>
      </c>
      <c r="N49" s="20">
        <v>172496</v>
      </c>
      <c r="O49" s="14"/>
      <c r="P49" s="150" t="s">
        <v>49</v>
      </c>
      <c r="Q49" s="6" t="s">
        <v>289</v>
      </c>
      <c r="R49" s="14">
        <v>27</v>
      </c>
      <c r="S49" s="78">
        <v>77.099999999999994</v>
      </c>
      <c r="T49" s="14">
        <v>31090</v>
      </c>
      <c r="U49" s="14">
        <v>0</v>
      </c>
      <c r="V49" s="78">
        <v>0</v>
      </c>
      <c r="W49" s="14">
        <v>0</v>
      </c>
      <c r="X49" s="14">
        <v>1161</v>
      </c>
      <c r="Y49" s="78">
        <v>3958</v>
      </c>
      <c r="Z49" s="14">
        <v>15540</v>
      </c>
      <c r="AA49" s="14">
        <v>46630</v>
      </c>
      <c r="AB49" s="14">
        <v>867063</v>
      </c>
      <c r="AC49" s="20">
        <v>26196</v>
      </c>
      <c r="AD49" s="6"/>
    </row>
    <row r="50" spans="1:30" ht="15" customHeight="1" x14ac:dyDescent="0.3">
      <c r="A50" s="150" t="s">
        <v>50</v>
      </c>
      <c r="B50" s="6" t="s">
        <v>288</v>
      </c>
      <c r="C50" s="14">
        <v>2434</v>
      </c>
      <c r="D50" s="14">
        <v>160</v>
      </c>
      <c r="E50" s="77">
        <v>1.1108024769225768</v>
      </c>
      <c r="F50" s="78">
        <v>2703.7</v>
      </c>
      <c r="G50" s="14">
        <v>0</v>
      </c>
      <c r="H50" s="14">
        <v>16511090</v>
      </c>
      <c r="I50" s="14">
        <v>904</v>
      </c>
      <c r="J50" s="78">
        <v>40187.236230999959</v>
      </c>
      <c r="K50" s="78">
        <v>164829.28571438004</v>
      </c>
      <c r="L50" s="78">
        <v>151862.13910719112</v>
      </c>
      <c r="M50" s="78">
        <v>192049.4</v>
      </c>
      <c r="N50" s="20">
        <v>5006918</v>
      </c>
      <c r="O50" s="14"/>
      <c r="P50" s="150" t="s">
        <v>50</v>
      </c>
      <c r="Q50" s="6" t="s">
        <v>288</v>
      </c>
      <c r="R50" s="14">
        <v>1536</v>
      </c>
      <c r="S50" s="78">
        <v>4774.7</v>
      </c>
      <c r="T50" s="14">
        <v>1925386</v>
      </c>
      <c r="U50" s="14">
        <v>15709</v>
      </c>
      <c r="V50" s="78">
        <v>26705.5</v>
      </c>
      <c r="W50" s="14">
        <v>179333</v>
      </c>
      <c r="X50" s="14">
        <v>36670</v>
      </c>
      <c r="Y50" s="78">
        <v>155655.5</v>
      </c>
      <c r="Z50" s="14">
        <v>611128</v>
      </c>
      <c r="AA50" s="14">
        <v>2715847</v>
      </c>
      <c r="AB50" s="14">
        <v>24233855</v>
      </c>
      <c r="AC50" s="20">
        <v>0</v>
      </c>
      <c r="AD50" s="6"/>
    </row>
    <row r="51" spans="1:30" ht="15" customHeight="1" x14ac:dyDescent="0.3">
      <c r="A51" s="150" t="s">
        <v>454</v>
      </c>
      <c r="B51" s="6" t="s">
        <v>277</v>
      </c>
      <c r="C51" s="14">
        <v>48</v>
      </c>
      <c r="D51" s="14">
        <v>0</v>
      </c>
      <c r="E51" s="77">
        <v>1.4673452936839493</v>
      </c>
      <c r="F51" s="78">
        <v>70.400000000000006</v>
      </c>
      <c r="G51" s="14">
        <v>0</v>
      </c>
      <c r="H51" s="14">
        <v>429922</v>
      </c>
      <c r="I51" s="14">
        <v>22</v>
      </c>
      <c r="J51" s="78">
        <v>1918.4401079999998</v>
      </c>
      <c r="K51" s="78">
        <v>4044</v>
      </c>
      <c r="L51" s="78">
        <v>5484.7599999999993</v>
      </c>
      <c r="M51" s="78">
        <v>7403.2</v>
      </c>
      <c r="N51" s="20">
        <v>193009</v>
      </c>
      <c r="O51" s="14"/>
      <c r="P51" s="150" t="s">
        <v>454</v>
      </c>
      <c r="Q51" s="6" t="s">
        <v>277</v>
      </c>
      <c r="R51" s="14">
        <v>28</v>
      </c>
      <c r="S51" s="78">
        <v>97</v>
      </c>
      <c r="T51" s="14">
        <v>39115</v>
      </c>
      <c r="U51" s="14">
        <v>354</v>
      </c>
      <c r="V51" s="78">
        <v>460.2</v>
      </c>
      <c r="W51" s="14">
        <v>3090</v>
      </c>
      <c r="X51" s="14">
        <v>816</v>
      </c>
      <c r="Y51" s="78">
        <v>4495.8999999999996</v>
      </c>
      <c r="Z51" s="14">
        <v>17652</v>
      </c>
      <c r="AA51" s="14">
        <v>59857</v>
      </c>
      <c r="AB51" s="14">
        <v>682788</v>
      </c>
      <c r="AC51" s="20">
        <v>12902</v>
      </c>
      <c r="AD51" s="6"/>
    </row>
    <row r="52" spans="1:30" ht="15" customHeight="1" x14ac:dyDescent="0.3">
      <c r="A52" s="150" t="s">
        <v>52</v>
      </c>
      <c r="B52" s="6" t="s">
        <v>276</v>
      </c>
      <c r="C52" s="14">
        <v>2592</v>
      </c>
      <c r="D52" s="14">
        <v>185</v>
      </c>
      <c r="E52" s="77">
        <v>1.2002186414897682</v>
      </c>
      <c r="F52" s="78">
        <v>3111</v>
      </c>
      <c r="G52" s="14">
        <v>50000</v>
      </c>
      <c r="H52" s="14">
        <v>19048410</v>
      </c>
      <c r="I52" s="14">
        <v>1081</v>
      </c>
      <c r="J52" s="78">
        <v>60437.714342000021</v>
      </c>
      <c r="K52" s="78">
        <v>188118</v>
      </c>
      <c r="L52" s="78">
        <v>193431.85250000059</v>
      </c>
      <c r="M52" s="78">
        <v>253869.6</v>
      </c>
      <c r="N52" s="20">
        <v>6618632</v>
      </c>
      <c r="O52" s="14"/>
      <c r="P52" s="150" t="s">
        <v>52</v>
      </c>
      <c r="Q52" s="6" t="s">
        <v>276</v>
      </c>
      <c r="R52" s="14">
        <v>1935</v>
      </c>
      <c r="S52" s="78">
        <v>5646.4</v>
      </c>
      <c r="T52" s="14">
        <v>2276897</v>
      </c>
      <c r="U52" s="14">
        <v>15273.799775028121</v>
      </c>
      <c r="V52" s="78">
        <v>27248.9</v>
      </c>
      <c r="W52" s="14">
        <v>182982</v>
      </c>
      <c r="X52" s="14">
        <v>24876.39675405743</v>
      </c>
      <c r="Y52" s="78">
        <v>139691.1</v>
      </c>
      <c r="Z52" s="14">
        <v>548449</v>
      </c>
      <c r="AA52" s="14">
        <v>3008328</v>
      </c>
      <c r="AB52" s="14">
        <v>28675370</v>
      </c>
      <c r="AC52" s="20">
        <v>0</v>
      </c>
      <c r="AD52" s="6"/>
    </row>
    <row r="53" spans="1:30" ht="15" customHeight="1" x14ac:dyDescent="0.3">
      <c r="A53" s="150" t="s">
        <v>53</v>
      </c>
      <c r="B53" s="6" t="s">
        <v>270</v>
      </c>
      <c r="C53" s="14">
        <v>6468</v>
      </c>
      <c r="D53" s="14">
        <v>140</v>
      </c>
      <c r="E53" s="77">
        <v>1.0724096185613856</v>
      </c>
      <c r="F53" s="78">
        <v>6936.3</v>
      </c>
      <c r="G53" s="14">
        <v>30000</v>
      </c>
      <c r="H53" s="14">
        <v>42388943</v>
      </c>
      <c r="I53" s="14">
        <v>2224</v>
      </c>
      <c r="J53" s="78">
        <v>108895.89045300025</v>
      </c>
      <c r="K53" s="78">
        <v>441521.5</v>
      </c>
      <c r="L53" s="78">
        <v>407786.0787499976</v>
      </c>
      <c r="M53" s="78">
        <v>516682</v>
      </c>
      <c r="N53" s="20">
        <v>13470411</v>
      </c>
      <c r="O53" s="14"/>
      <c r="P53" s="150" t="s">
        <v>53</v>
      </c>
      <c r="Q53" s="6" t="s">
        <v>270</v>
      </c>
      <c r="R53" s="14">
        <v>4167</v>
      </c>
      <c r="S53" s="78">
        <v>11819.8</v>
      </c>
      <c r="T53" s="14">
        <v>4766306</v>
      </c>
      <c r="U53" s="14">
        <v>41079.521739130432</v>
      </c>
      <c r="V53" s="78">
        <v>75027.399999999994</v>
      </c>
      <c r="W53" s="14">
        <v>503824</v>
      </c>
      <c r="X53" s="14">
        <v>71732.512509789798</v>
      </c>
      <c r="Y53" s="78">
        <v>347768.8</v>
      </c>
      <c r="Z53" s="14">
        <v>1365395</v>
      </c>
      <c r="AA53" s="14">
        <v>6635525</v>
      </c>
      <c r="AB53" s="14">
        <v>62494879</v>
      </c>
      <c r="AC53" s="20">
        <v>0</v>
      </c>
      <c r="AD53" s="6"/>
    </row>
    <row r="54" spans="1:30" ht="15" customHeight="1" x14ac:dyDescent="0.3">
      <c r="A54" s="150" t="s">
        <v>54</v>
      </c>
      <c r="B54" s="6" t="s">
        <v>287</v>
      </c>
      <c r="C54" s="14">
        <v>330</v>
      </c>
      <c r="D54" s="14">
        <v>0</v>
      </c>
      <c r="E54" s="77">
        <v>0.87082281418446261</v>
      </c>
      <c r="F54" s="78">
        <v>287.39999999999998</v>
      </c>
      <c r="G54" s="14">
        <v>0</v>
      </c>
      <c r="H54" s="14">
        <v>1755109</v>
      </c>
      <c r="I54" s="14">
        <v>148</v>
      </c>
      <c r="J54" s="78">
        <v>1898.2059680000016</v>
      </c>
      <c r="K54" s="78">
        <v>23760</v>
      </c>
      <c r="L54" s="78">
        <v>12046.319999999998</v>
      </c>
      <c r="M54" s="78">
        <v>13944.5</v>
      </c>
      <c r="N54" s="20">
        <v>363547</v>
      </c>
      <c r="O54" s="14"/>
      <c r="P54" s="150" t="s">
        <v>54</v>
      </c>
      <c r="Q54" s="6" t="s">
        <v>287</v>
      </c>
      <c r="R54" s="14">
        <v>127</v>
      </c>
      <c r="S54" s="78">
        <v>240.1</v>
      </c>
      <c r="T54" s="14">
        <v>96820</v>
      </c>
      <c r="U54" s="14">
        <v>1271</v>
      </c>
      <c r="V54" s="78">
        <v>2933.4</v>
      </c>
      <c r="W54" s="14">
        <v>19698</v>
      </c>
      <c r="X54" s="14">
        <v>2380.8809523809523</v>
      </c>
      <c r="Y54" s="78">
        <v>15398.8</v>
      </c>
      <c r="Z54" s="14">
        <v>60458</v>
      </c>
      <c r="AA54" s="14">
        <v>176976</v>
      </c>
      <c r="AB54" s="14">
        <v>2295632</v>
      </c>
      <c r="AC54" s="20">
        <v>364373</v>
      </c>
      <c r="AD54" s="6"/>
    </row>
    <row r="55" spans="1:30" ht="15" customHeight="1" x14ac:dyDescent="0.3">
      <c r="A55" s="150" t="s">
        <v>55</v>
      </c>
      <c r="B55" s="6" t="s">
        <v>286</v>
      </c>
      <c r="C55" s="14">
        <v>684</v>
      </c>
      <c r="D55" s="14">
        <v>0</v>
      </c>
      <c r="E55" s="77">
        <v>5.4797817069297841</v>
      </c>
      <c r="F55" s="78">
        <v>3748.2</v>
      </c>
      <c r="G55" s="14">
        <v>0</v>
      </c>
      <c r="H55" s="14">
        <v>22889695</v>
      </c>
      <c r="I55" s="14">
        <v>157</v>
      </c>
      <c r="J55" s="78">
        <v>37613.476997999998</v>
      </c>
      <c r="K55" s="78">
        <v>33391</v>
      </c>
      <c r="L55" s="78">
        <v>130466.01750000022</v>
      </c>
      <c r="M55" s="78">
        <v>168079.5</v>
      </c>
      <c r="N55" s="20">
        <v>4381999</v>
      </c>
      <c r="O55" s="14"/>
      <c r="P55" s="150" t="s">
        <v>55</v>
      </c>
      <c r="Q55" s="6" t="s">
        <v>286</v>
      </c>
      <c r="R55" s="14">
        <v>167</v>
      </c>
      <c r="S55" s="78">
        <v>871.8</v>
      </c>
      <c r="T55" s="14">
        <v>351551</v>
      </c>
      <c r="U55" s="14">
        <v>4055</v>
      </c>
      <c r="V55" s="78">
        <v>5412.3</v>
      </c>
      <c r="W55" s="14">
        <v>36345</v>
      </c>
      <c r="X55" s="14">
        <v>6788.6388888888887</v>
      </c>
      <c r="Y55" s="78">
        <v>25924.5</v>
      </c>
      <c r="Z55" s="14">
        <v>101784</v>
      </c>
      <c r="AA55" s="14">
        <v>489680</v>
      </c>
      <c r="AB55" s="14">
        <v>27761374</v>
      </c>
      <c r="AC55" s="20">
        <v>1273113</v>
      </c>
      <c r="AD55" s="6"/>
    </row>
    <row r="56" spans="1:30" ht="15" customHeight="1" x14ac:dyDescent="0.3">
      <c r="A56" s="150" t="s">
        <v>56</v>
      </c>
      <c r="B56" s="6" t="s">
        <v>285</v>
      </c>
      <c r="C56" s="14">
        <v>1826</v>
      </c>
      <c r="D56" s="14">
        <v>40</v>
      </c>
      <c r="E56" s="77">
        <v>1.0259256731091537</v>
      </c>
      <c r="F56" s="78">
        <v>1873.3</v>
      </c>
      <c r="G56" s="14">
        <v>45000</v>
      </c>
      <c r="H56" s="14">
        <v>11484962</v>
      </c>
      <c r="I56" s="14">
        <v>719</v>
      </c>
      <c r="J56" s="78">
        <v>24300.595724000126</v>
      </c>
      <c r="K56" s="78">
        <v>123088.5</v>
      </c>
      <c r="L56" s="78">
        <v>102349.62000000014</v>
      </c>
      <c r="M56" s="78">
        <v>126650.2</v>
      </c>
      <c r="N56" s="20">
        <v>3301896</v>
      </c>
      <c r="O56" s="14"/>
      <c r="P56" s="150" t="s">
        <v>56</v>
      </c>
      <c r="Q56" s="6" t="s">
        <v>285</v>
      </c>
      <c r="R56" s="14">
        <v>1289</v>
      </c>
      <c r="S56" s="78">
        <v>3355.5</v>
      </c>
      <c r="T56" s="14">
        <v>1353097</v>
      </c>
      <c r="U56" s="14">
        <v>4368.4560000000001</v>
      </c>
      <c r="V56" s="78">
        <v>10696.5</v>
      </c>
      <c r="W56" s="14">
        <v>71829</v>
      </c>
      <c r="X56" s="14">
        <v>13788</v>
      </c>
      <c r="Y56" s="78">
        <v>82756.899999999994</v>
      </c>
      <c r="Z56" s="14">
        <v>324917</v>
      </c>
      <c r="AA56" s="14">
        <v>1749843</v>
      </c>
      <c r="AB56" s="14">
        <v>16536701</v>
      </c>
      <c r="AC56" s="20">
        <v>547255</v>
      </c>
      <c r="AD56" s="6"/>
    </row>
    <row r="57" spans="1:30" ht="15" customHeight="1" x14ac:dyDescent="0.3">
      <c r="A57" s="150" t="s">
        <v>57</v>
      </c>
      <c r="B57" s="6" t="s">
        <v>551</v>
      </c>
      <c r="C57" s="14">
        <v>135</v>
      </c>
      <c r="D57" s="14">
        <v>0</v>
      </c>
      <c r="E57" s="77">
        <v>1.6869834145643881</v>
      </c>
      <c r="F57" s="78">
        <v>227.7</v>
      </c>
      <c r="G57" s="14">
        <v>5000</v>
      </c>
      <c r="H57" s="14">
        <v>1395530</v>
      </c>
      <c r="I57" s="14">
        <v>62</v>
      </c>
      <c r="J57" s="78">
        <v>4312.4324459999998</v>
      </c>
      <c r="K57" s="78">
        <v>12622.5</v>
      </c>
      <c r="L57" s="78">
        <v>13597.739999999998</v>
      </c>
      <c r="M57" s="78">
        <v>17910.2</v>
      </c>
      <c r="N57" s="20">
        <v>466937</v>
      </c>
      <c r="O57" s="14"/>
      <c r="P57" s="150" t="s">
        <v>57</v>
      </c>
      <c r="Q57" s="6" t="s">
        <v>284</v>
      </c>
      <c r="R57" s="14">
        <v>120</v>
      </c>
      <c r="S57" s="78">
        <v>303.5</v>
      </c>
      <c r="T57" s="14">
        <v>122386</v>
      </c>
      <c r="U57" s="14">
        <v>542</v>
      </c>
      <c r="V57" s="78">
        <v>1167.4000000000001</v>
      </c>
      <c r="W57" s="14">
        <v>7839</v>
      </c>
      <c r="X57" s="14">
        <v>1538.1470588235293</v>
      </c>
      <c r="Y57" s="78">
        <v>8826</v>
      </c>
      <c r="Z57" s="14">
        <v>34652</v>
      </c>
      <c r="AA57" s="14">
        <v>164877</v>
      </c>
      <c r="AB57" s="14">
        <v>2027344</v>
      </c>
      <c r="AC57" s="20">
        <v>38453</v>
      </c>
      <c r="AD57" s="6"/>
    </row>
    <row r="58" spans="1:30" ht="15" customHeight="1" x14ac:dyDescent="0.3">
      <c r="A58" s="150" t="s">
        <v>457</v>
      </c>
      <c r="B58" s="6" t="s">
        <v>205</v>
      </c>
      <c r="C58" s="14">
        <v>5</v>
      </c>
      <c r="D58" s="14">
        <v>0</v>
      </c>
      <c r="E58" s="77">
        <v>0.72540000000000016</v>
      </c>
      <c r="F58" s="78">
        <v>3.6</v>
      </c>
      <c r="G58" s="14">
        <v>0</v>
      </c>
      <c r="H58" s="14">
        <v>21985</v>
      </c>
      <c r="I58" s="14">
        <v>0</v>
      </c>
      <c r="J58" s="78">
        <v>0</v>
      </c>
      <c r="K58" s="78">
        <v>0</v>
      </c>
      <c r="L58" s="78">
        <v>0</v>
      </c>
      <c r="M58" s="78">
        <v>0</v>
      </c>
      <c r="N58" s="20">
        <v>0</v>
      </c>
      <c r="O58" s="14"/>
      <c r="P58" s="150" t="s">
        <v>457</v>
      </c>
      <c r="Q58" s="6" t="s">
        <v>205</v>
      </c>
      <c r="R58" s="14">
        <v>4</v>
      </c>
      <c r="S58" s="78">
        <v>11.8</v>
      </c>
      <c r="T58" s="14">
        <v>4758</v>
      </c>
      <c r="U58" s="14">
        <v>0</v>
      </c>
      <c r="V58" s="78">
        <v>0</v>
      </c>
      <c r="W58" s="14">
        <v>0</v>
      </c>
      <c r="X58" s="14">
        <v>0</v>
      </c>
      <c r="Y58" s="78">
        <v>0</v>
      </c>
      <c r="Z58" s="14">
        <v>0</v>
      </c>
      <c r="AA58" s="14">
        <v>4758</v>
      </c>
      <c r="AB58" s="14">
        <v>26743</v>
      </c>
      <c r="AC58" s="20">
        <v>0</v>
      </c>
      <c r="AD58" s="6"/>
    </row>
    <row r="59" spans="1:30" ht="15" customHeight="1" x14ac:dyDescent="0.3">
      <c r="A59" s="150" t="s">
        <v>58</v>
      </c>
      <c r="B59" s="6" t="s">
        <v>283</v>
      </c>
      <c r="C59" s="14">
        <v>21</v>
      </c>
      <c r="D59" s="14">
        <v>0</v>
      </c>
      <c r="E59" s="77">
        <v>0.7801048066419034</v>
      </c>
      <c r="F59" s="78">
        <v>16.399999999999999</v>
      </c>
      <c r="G59" s="14">
        <v>0</v>
      </c>
      <c r="H59" s="14">
        <v>100152</v>
      </c>
      <c r="I59" s="14">
        <v>11</v>
      </c>
      <c r="J59" s="78">
        <v>304.668072</v>
      </c>
      <c r="K59" s="78">
        <v>1730</v>
      </c>
      <c r="L59" s="78">
        <v>988.2600000000001</v>
      </c>
      <c r="M59" s="78">
        <v>1292.9000000000001</v>
      </c>
      <c r="N59" s="20">
        <v>33707</v>
      </c>
      <c r="O59" s="14"/>
      <c r="P59" s="150" t="s">
        <v>58</v>
      </c>
      <c r="Q59" s="6" t="s">
        <v>283</v>
      </c>
      <c r="R59" s="14">
        <v>12</v>
      </c>
      <c r="S59" s="78">
        <v>40.6</v>
      </c>
      <c r="T59" s="14">
        <v>16372</v>
      </c>
      <c r="U59" s="14">
        <v>347.7</v>
      </c>
      <c r="V59" s="78">
        <v>457.5</v>
      </c>
      <c r="W59" s="14">
        <v>3072</v>
      </c>
      <c r="X59" s="14">
        <v>293.33333333333331</v>
      </c>
      <c r="Y59" s="78">
        <v>880</v>
      </c>
      <c r="Z59" s="14">
        <v>3455</v>
      </c>
      <c r="AA59" s="14">
        <v>22899</v>
      </c>
      <c r="AB59" s="14">
        <v>156758</v>
      </c>
      <c r="AC59" s="20">
        <v>11680</v>
      </c>
      <c r="AD59" s="6"/>
    </row>
    <row r="60" spans="1:30" ht="15" customHeight="1" x14ac:dyDescent="0.3">
      <c r="A60" s="150" t="s">
        <v>132</v>
      </c>
      <c r="B60" s="6" t="s">
        <v>282</v>
      </c>
      <c r="C60" s="14">
        <v>33</v>
      </c>
      <c r="D60" s="14">
        <v>0</v>
      </c>
      <c r="E60" s="77">
        <v>0.72540000000000138</v>
      </c>
      <c r="F60" s="78">
        <v>23.9</v>
      </c>
      <c r="G60" s="14">
        <v>0</v>
      </c>
      <c r="H60" s="14">
        <v>145954</v>
      </c>
      <c r="I60" s="14">
        <v>16</v>
      </c>
      <c r="J60" s="78">
        <v>173.39400000000006</v>
      </c>
      <c r="K60" s="78">
        <v>2520</v>
      </c>
      <c r="L60" s="78">
        <v>1277.6399999999996</v>
      </c>
      <c r="M60" s="78">
        <v>1451</v>
      </c>
      <c r="N60" s="20">
        <v>37829</v>
      </c>
      <c r="O60" s="14"/>
      <c r="P60" s="150" t="s">
        <v>132</v>
      </c>
      <c r="Q60" s="6" t="s">
        <v>282</v>
      </c>
      <c r="R60" s="14">
        <v>20</v>
      </c>
      <c r="S60" s="78">
        <v>55.1</v>
      </c>
      <c r="T60" s="14">
        <v>22219</v>
      </c>
      <c r="U60" s="14">
        <v>238</v>
      </c>
      <c r="V60" s="78">
        <v>238</v>
      </c>
      <c r="W60" s="14">
        <v>1598</v>
      </c>
      <c r="X60" s="14">
        <v>813</v>
      </c>
      <c r="Y60" s="78">
        <v>2591.4</v>
      </c>
      <c r="Z60" s="14">
        <v>10174</v>
      </c>
      <c r="AA60" s="14">
        <v>33991</v>
      </c>
      <c r="AB60" s="14">
        <v>217774</v>
      </c>
      <c r="AC60" s="20">
        <v>21425</v>
      </c>
      <c r="AD60" s="6"/>
    </row>
    <row r="61" spans="1:30" ht="15" customHeight="1" x14ac:dyDescent="0.3">
      <c r="A61" s="150" t="s">
        <v>59</v>
      </c>
      <c r="B61" s="6" t="s">
        <v>281</v>
      </c>
      <c r="C61" s="14">
        <v>99</v>
      </c>
      <c r="D61" s="14">
        <v>0</v>
      </c>
      <c r="E61" s="77">
        <v>1.1563273545176183</v>
      </c>
      <c r="F61" s="78">
        <v>114.5</v>
      </c>
      <c r="G61" s="14">
        <v>5000</v>
      </c>
      <c r="H61" s="14">
        <v>704234</v>
      </c>
      <c r="I61" s="14">
        <v>49</v>
      </c>
      <c r="J61" s="78">
        <v>1917.1662839999979</v>
      </c>
      <c r="K61" s="78">
        <v>9658.5</v>
      </c>
      <c r="L61" s="78">
        <v>8961.0124999999989</v>
      </c>
      <c r="M61" s="78">
        <v>10878.2</v>
      </c>
      <c r="N61" s="20">
        <v>283605</v>
      </c>
      <c r="O61" s="14"/>
      <c r="P61" s="150" t="s">
        <v>59</v>
      </c>
      <c r="Q61" s="6" t="s">
        <v>281</v>
      </c>
      <c r="R61" s="14">
        <v>96</v>
      </c>
      <c r="S61" s="78">
        <v>237.2</v>
      </c>
      <c r="T61" s="14">
        <v>95650</v>
      </c>
      <c r="U61" s="14">
        <v>929</v>
      </c>
      <c r="V61" s="78">
        <v>1197</v>
      </c>
      <c r="W61" s="14">
        <v>8038</v>
      </c>
      <c r="X61" s="14">
        <v>1575</v>
      </c>
      <c r="Y61" s="78">
        <v>8914.7999999999993</v>
      </c>
      <c r="Z61" s="14">
        <v>35001</v>
      </c>
      <c r="AA61" s="14">
        <v>138689</v>
      </c>
      <c r="AB61" s="14">
        <v>1126528</v>
      </c>
      <c r="AC61" s="20">
        <v>102111</v>
      </c>
      <c r="AD61" s="6"/>
    </row>
    <row r="62" spans="1:30" ht="15" customHeight="1" x14ac:dyDescent="0.3">
      <c r="A62" s="150" t="s">
        <v>60</v>
      </c>
      <c r="B62" s="6" t="s">
        <v>280</v>
      </c>
      <c r="C62" s="14">
        <v>2376</v>
      </c>
      <c r="D62" s="14">
        <v>150</v>
      </c>
      <c r="E62" s="77">
        <v>1.1351231089671319</v>
      </c>
      <c r="F62" s="78">
        <v>2697.1</v>
      </c>
      <c r="G62" s="14">
        <v>49000</v>
      </c>
      <c r="H62" s="14">
        <v>16519785</v>
      </c>
      <c r="I62" s="14">
        <v>721</v>
      </c>
      <c r="J62" s="78">
        <v>42450.898983000312</v>
      </c>
      <c r="K62" s="78">
        <v>146258</v>
      </c>
      <c r="L62" s="78">
        <v>146910.09700000036</v>
      </c>
      <c r="M62" s="78">
        <v>189361</v>
      </c>
      <c r="N62" s="20">
        <v>4936829</v>
      </c>
      <c r="O62" s="14"/>
      <c r="P62" s="150" t="s">
        <v>60</v>
      </c>
      <c r="Q62" s="6" t="s">
        <v>280</v>
      </c>
      <c r="R62" s="14">
        <v>1365</v>
      </c>
      <c r="S62" s="78">
        <v>4801.8</v>
      </c>
      <c r="T62" s="14">
        <v>1936314</v>
      </c>
      <c r="U62" s="14">
        <v>8866</v>
      </c>
      <c r="V62" s="78">
        <v>18066.7</v>
      </c>
      <c r="W62" s="14">
        <v>121322</v>
      </c>
      <c r="X62" s="14">
        <v>17147</v>
      </c>
      <c r="Y62" s="78">
        <v>79997.100000000006</v>
      </c>
      <c r="Z62" s="14">
        <v>314081</v>
      </c>
      <c r="AA62" s="14">
        <v>2371717</v>
      </c>
      <c r="AB62" s="14">
        <v>23828331</v>
      </c>
      <c r="AC62" s="20">
        <v>0</v>
      </c>
      <c r="AD62" s="6"/>
    </row>
    <row r="63" spans="1:30" ht="15" customHeight="1" x14ac:dyDescent="0.3">
      <c r="A63" s="150" t="s">
        <v>61</v>
      </c>
      <c r="B63" s="6" t="s">
        <v>279</v>
      </c>
      <c r="C63" s="14">
        <v>5924</v>
      </c>
      <c r="D63" s="14">
        <v>240</v>
      </c>
      <c r="E63" s="77">
        <v>1.049280265874051</v>
      </c>
      <c r="F63" s="78">
        <v>6215.9</v>
      </c>
      <c r="G63" s="14">
        <v>152000</v>
      </c>
      <c r="H63" s="14">
        <v>38111569</v>
      </c>
      <c r="I63" s="14">
        <v>2063</v>
      </c>
      <c r="J63" s="78">
        <v>90801.927882999677</v>
      </c>
      <c r="K63" s="78">
        <v>390055</v>
      </c>
      <c r="L63" s="78">
        <v>350662.11849999538</v>
      </c>
      <c r="M63" s="78">
        <v>441464</v>
      </c>
      <c r="N63" s="20">
        <v>11509404</v>
      </c>
      <c r="O63" s="14"/>
      <c r="P63" s="150" t="s">
        <v>61</v>
      </c>
      <c r="Q63" s="6" t="s">
        <v>279</v>
      </c>
      <c r="R63" s="14">
        <v>3854</v>
      </c>
      <c r="S63" s="78">
        <v>12221.4</v>
      </c>
      <c r="T63" s="14">
        <v>4928250</v>
      </c>
      <c r="U63" s="14">
        <v>26240</v>
      </c>
      <c r="V63" s="78">
        <v>46673.599999999999</v>
      </c>
      <c r="W63" s="14">
        <v>313423</v>
      </c>
      <c r="X63" s="14">
        <v>52516</v>
      </c>
      <c r="Y63" s="78">
        <v>281253.2</v>
      </c>
      <c r="Z63" s="14">
        <v>1104245</v>
      </c>
      <c r="AA63" s="14">
        <v>6345918</v>
      </c>
      <c r="AB63" s="14">
        <v>55966891</v>
      </c>
      <c r="AC63" s="20">
        <v>0</v>
      </c>
      <c r="AD63" s="6"/>
    </row>
    <row r="64" spans="1:30" ht="15" customHeight="1" x14ac:dyDescent="0.3">
      <c r="A64" s="150" t="s">
        <v>490</v>
      </c>
      <c r="B64" s="6" t="s">
        <v>239</v>
      </c>
      <c r="C64" s="14">
        <v>1059</v>
      </c>
      <c r="D64" s="14">
        <v>85</v>
      </c>
      <c r="E64" s="77">
        <v>1.2090670832077268</v>
      </c>
      <c r="F64" s="78">
        <v>1280.4000000000001</v>
      </c>
      <c r="G64" s="14">
        <v>10000</v>
      </c>
      <c r="H64" s="14">
        <v>7829211</v>
      </c>
      <c r="I64" s="14">
        <v>412</v>
      </c>
      <c r="J64" s="78">
        <v>21339.392849999953</v>
      </c>
      <c r="K64" s="78">
        <v>66685.285714319994</v>
      </c>
      <c r="L64" s="78">
        <v>68190.727857160324</v>
      </c>
      <c r="M64" s="78">
        <v>89530.1</v>
      </c>
      <c r="N64" s="20">
        <v>2334138</v>
      </c>
      <c r="O64" s="14"/>
      <c r="P64" s="150" t="s">
        <v>490</v>
      </c>
      <c r="Q64" s="6" t="s">
        <v>239</v>
      </c>
      <c r="R64" s="14">
        <v>483</v>
      </c>
      <c r="S64" s="78">
        <v>1694.6</v>
      </c>
      <c r="T64" s="14">
        <v>683343</v>
      </c>
      <c r="U64" s="14">
        <v>8563</v>
      </c>
      <c r="V64" s="78">
        <v>10421.5</v>
      </c>
      <c r="W64" s="14">
        <v>69983</v>
      </c>
      <c r="X64" s="14">
        <v>15634.053691275169</v>
      </c>
      <c r="Y64" s="78">
        <v>50826.3</v>
      </c>
      <c r="Z64" s="14">
        <v>199552</v>
      </c>
      <c r="AA64" s="14">
        <v>952878</v>
      </c>
      <c r="AB64" s="14">
        <v>11116227</v>
      </c>
      <c r="AC64" s="20">
        <v>0</v>
      </c>
      <c r="AD64" s="6"/>
    </row>
    <row r="65" spans="1:30" ht="15" customHeight="1" x14ac:dyDescent="0.3">
      <c r="A65" s="150" t="s">
        <v>458</v>
      </c>
      <c r="B65" s="6" t="s">
        <v>253</v>
      </c>
      <c r="C65" s="14">
        <v>6703</v>
      </c>
      <c r="D65" s="14">
        <v>410</v>
      </c>
      <c r="E65" s="77">
        <v>1.1419641433967473</v>
      </c>
      <c r="F65" s="78">
        <v>7654.6</v>
      </c>
      <c r="G65" s="14">
        <v>171000</v>
      </c>
      <c r="H65" s="14">
        <v>46916494</v>
      </c>
      <c r="I65" s="14">
        <v>2507</v>
      </c>
      <c r="J65" s="78">
        <v>137525.16158399795</v>
      </c>
      <c r="K65" s="78">
        <v>441420</v>
      </c>
      <c r="L65" s="78">
        <v>437750.60424999881</v>
      </c>
      <c r="M65" s="78">
        <v>575275.80000000005</v>
      </c>
      <c r="N65" s="20">
        <v>14998010</v>
      </c>
      <c r="O65" s="14"/>
      <c r="P65" s="150" t="s">
        <v>458</v>
      </c>
      <c r="Q65" s="6" t="s">
        <v>253</v>
      </c>
      <c r="R65" s="14">
        <v>4598</v>
      </c>
      <c r="S65" s="78">
        <v>15104.7</v>
      </c>
      <c r="T65" s="14">
        <v>6090934</v>
      </c>
      <c r="U65" s="14">
        <v>52966</v>
      </c>
      <c r="V65" s="78">
        <v>76694.2</v>
      </c>
      <c r="W65" s="14">
        <v>515017</v>
      </c>
      <c r="X65" s="14">
        <v>97250</v>
      </c>
      <c r="Y65" s="78">
        <v>414387.6</v>
      </c>
      <c r="Z65" s="14">
        <v>1626951</v>
      </c>
      <c r="AA65" s="14">
        <v>8232902</v>
      </c>
      <c r="AB65" s="14">
        <v>70147406</v>
      </c>
      <c r="AC65" s="20">
        <v>0</v>
      </c>
      <c r="AD65" s="6"/>
    </row>
    <row r="66" spans="1:30" ht="15" customHeight="1" x14ac:dyDescent="0.3">
      <c r="A66" s="150" t="s">
        <v>62</v>
      </c>
      <c r="B66" s="6" t="s">
        <v>278</v>
      </c>
      <c r="C66" s="14">
        <v>2374</v>
      </c>
      <c r="D66" s="14">
        <v>100</v>
      </c>
      <c r="E66" s="77">
        <v>1.0819332898792311</v>
      </c>
      <c r="F66" s="78">
        <v>2568.5</v>
      </c>
      <c r="G66" s="14">
        <v>46000</v>
      </c>
      <c r="H66" s="14">
        <v>15731444</v>
      </c>
      <c r="I66" s="14">
        <v>649</v>
      </c>
      <c r="J66" s="78">
        <v>34604.912988999939</v>
      </c>
      <c r="K66" s="78">
        <v>120930.99999996999</v>
      </c>
      <c r="L66" s="78">
        <v>115987.67599998508</v>
      </c>
      <c r="M66" s="78">
        <v>150592.6</v>
      </c>
      <c r="N66" s="20">
        <v>3926098</v>
      </c>
      <c r="O66" s="14"/>
      <c r="P66" s="150" t="s">
        <v>62</v>
      </c>
      <c r="Q66" s="6" t="s">
        <v>278</v>
      </c>
      <c r="R66" s="14">
        <v>1402</v>
      </c>
      <c r="S66" s="78">
        <v>4561.6000000000004</v>
      </c>
      <c r="T66" s="14">
        <v>1839454</v>
      </c>
      <c r="U66" s="14">
        <v>13629</v>
      </c>
      <c r="V66" s="78">
        <v>22375</v>
      </c>
      <c r="W66" s="14">
        <v>150253</v>
      </c>
      <c r="X66" s="14">
        <v>25020</v>
      </c>
      <c r="Y66" s="78">
        <v>111399.8</v>
      </c>
      <c r="Z66" s="14">
        <v>437373</v>
      </c>
      <c r="AA66" s="14">
        <v>2427080</v>
      </c>
      <c r="AB66" s="14">
        <v>22084622</v>
      </c>
      <c r="AC66" s="20">
        <v>0</v>
      </c>
      <c r="AD66" s="6"/>
    </row>
    <row r="67" spans="1:30" ht="15" customHeight="1" x14ac:dyDescent="0.3">
      <c r="A67" s="150" t="s">
        <v>494</v>
      </c>
      <c r="B67" s="6" t="s">
        <v>493</v>
      </c>
      <c r="C67" s="14">
        <v>2852</v>
      </c>
      <c r="D67" s="14">
        <v>155</v>
      </c>
      <c r="E67" s="77">
        <v>1.0219993172448869</v>
      </c>
      <c r="F67" s="78">
        <v>2914.7</v>
      </c>
      <c r="G67" s="14">
        <v>44000</v>
      </c>
      <c r="H67" s="14">
        <v>17843636</v>
      </c>
      <c r="I67" s="14">
        <v>971</v>
      </c>
      <c r="J67" s="78">
        <v>47309.964960999889</v>
      </c>
      <c r="K67" s="78">
        <v>176755</v>
      </c>
      <c r="L67" s="78">
        <v>158981.24150000056</v>
      </c>
      <c r="M67" s="78">
        <v>206291.20000000001</v>
      </c>
      <c r="N67" s="20">
        <v>5378216</v>
      </c>
      <c r="O67" s="14"/>
      <c r="P67" s="150" t="s">
        <v>494</v>
      </c>
      <c r="Q67" s="6" t="s">
        <v>493</v>
      </c>
      <c r="R67" s="14">
        <v>1695</v>
      </c>
      <c r="S67" s="78">
        <v>5459.2</v>
      </c>
      <c r="T67" s="14">
        <v>2201409</v>
      </c>
      <c r="U67" s="14">
        <v>12320.982068965517</v>
      </c>
      <c r="V67" s="78">
        <v>24707.200000000001</v>
      </c>
      <c r="W67" s="14">
        <v>165914</v>
      </c>
      <c r="X67" s="14">
        <v>22542.600279850747</v>
      </c>
      <c r="Y67" s="78">
        <v>116780.3</v>
      </c>
      <c r="Z67" s="14">
        <v>458498</v>
      </c>
      <c r="AA67" s="14">
        <v>2825821</v>
      </c>
      <c r="AB67" s="14">
        <v>26047673</v>
      </c>
      <c r="AC67" s="20">
        <v>830117</v>
      </c>
      <c r="AD67" s="6"/>
    </row>
    <row r="68" spans="1:30" ht="15" customHeight="1" x14ac:dyDescent="0.3">
      <c r="A68" s="150" t="s">
        <v>63</v>
      </c>
      <c r="B68" s="6" t="s">
        <v>274</v>
      </c>
      <c r="C68" s="14">
        <v>82</v>
      </c>
      <c r="D68" s="14">
        <v>25</v>
      </c>
      <c r="E68" s="77">
        <v>0.83690431791592845</v>
      </c>
      <c r="F68" s="78">
        <v>68.599999999999994</v>
      </c>
      <c r="G68" s="14">
        <v>5000</v>
      </c>
      <c r="H68" s="14">
        <v>423930</v>
      </c>
      <c r="I68" s="14">
        <v>57</v>
      </c>
      <c r="J68" s="78">
        <v>585.89999999999952</v>
      </c>
      <c r="K68" s="78">
        <v>10769</v>
      </c>
      <c r="L68" s="78">
        <v>6159.4599999999955</v>
      </c>
      <c r="M68" s="78">
        <v>6745.4</v>
      </c>
      <c r="N68" s="20">
        <v>175859</v>
      </c>
      <c r="O68" s="14"/>
      <c r="P68" s="150" t="s">
        <v>63</v>
      </c>
      <c r="Q68" s="6" t="s">
        <v>274</v>
      </c>
      <c r="R68" s="14">
        <v>88</v>
      </c>
      <c r="S68" s="78">
        <v>192.1</v>
      </c>
      <c r="T68" s="14">
        <v>77464</v>
      </c>
      <c r="U68" s="14">
        <v>1205</v>
      </c>
      <c r="V68" s="78">
        <v>2185.3000000000002</v>
      </c>
      <c r="W68" s="14">
        <v>14675</v>
      </c>
      <c r="X68" s="14">
        <v>2421.8965517241381</v>
      </c>
      <c r="Y68" s="78">
        <v>9797.4</v>
      </c>
      <c r="Z68" s="14">
        <v>38466</v>
      </c>
      <c r="AA68" s="14">
        <v>130605</v>
      </c>
      <c r="AB68" s="14">
        <v>730394</v>
      </c>
      <c r="AC68" s="20">
        <v>23617</v>
      </c>
      <c r="AD68" s="6"/>
    </row>
    <row r="69" spans="1:30" ht="15" customHeight="1" x14ac:dyDescent="0.3">
      <c r="A69" s="150" t="s">
        <v>64</v>
      </c>
      <c r="B69" s="6" t="s">
        <v>273</v>
      </c>
      <c r="C69" s="14">
        <v>52</v>
      </c>
      <c r="D69" s="14">
        <v>0</v>
      </c>
      <c r="E69" s="77">
        <v>1.4679716860224354</v>
      </c>
      <c r="F69" s="78">
        <v>76.3</v>
      </c>
      <c r="G69" s="14">
        <v>25000</v>
      </c>
      <c r="H69" s="14">
        <v>490953</v>
      </c>
      <c r="I69" s="14">
        <v>13</v>
      </c>
      <c r="J69" s="78">
        <v>1130.0400540000001</v>
      </c>
      <c r="K69" s="78">
        <v>2611</v>
      </c>
      <c r="L69" s="78">
        <v>3595.8200000000011</v>
      </c>
      <c r="M69" s="78">
        <v>4725.8999999999996</v>
      </c>
      <c r="N69" s="20">
        <v>123209</v>
      </c>
      <c r="O69" s="14"/>
      <c r="P69" s="150" t="s">
        <v>64</v>
      </c>
      <c r="Q69" s="6" t="s">
        <v>273</v>
      </c>
      <c r="R69" s="14">
        <v>39</v>
      </c>
      <c r="S69" s="78">
        <v>131.6</v>
      </c>
      <c r="T69" s="14">
        <v>53067</v>
      </c>
      <c r="U69" s="14">
        <v>46</v>
      </c>
      <c r="V69" s="78">
        <v>107.9</v>
      </c>
      <c r="W69" s="14">
        <v>725</v>
      </c>
      <c r="X69" s="14">
        <v>753</v>
      </c>
      <c r="Y69" s="78">
        <v>3481.2</v>
      </c>
      <c r="Z69" s="14">
        <v>13668</v>
      </c>
      <c r="AA69" s="14">
        <v>67460</v>
      </c>
      <c r="AB69" s="14">
        <v>681622</v>
      </c>
      <c r="AC69" s="20">
        <v>18809</v>
      </c>
      <c r="AD69" s="6"/>
    </row>
    <row r="70" spans="1:30" ht="15" customHeight="1" x14ac:dyDescent="0.3">
      <c r="A70" s="150" t="s">
        <v>65</v>
      </c>
      <c r="B70" s="6" t="s">
        <v>272</v>
      </c>
      <c r="C70" s="14">
        <v>94</v>
      </c>
      <c r="D70" s="14">
        <v>0</v>
      </c>
      <c r="E70" s="77">
        <v>1.0796119610131563</v>
      </c>
      <c r="F70" s="78">
        <v>101.5</v>
      </c>
      <c r="G70" s="14">
        <v>0</v>
      </c>
      <c r="H70" s="14">
        <v>619845</v>
      </c>
      <c r="I70" s="14">
        <v>19</v>
      </c>
      <c r="J70" s="78">
        <v>1159.6321079999998</v>
      </c>
      <c r="K70" s="78">
        <v>5199</v>
      </c>
      <c r="L70" s="78">
        <v>4996.7150000000011</v>
      </c>
      <c r="M70" s="78">
        <v>6156.3</v>
      </c>
      <c r="N70" s="20">
        <v>160501</v>
      </c>
      <c r="O70" s="14"/>
      <c r="P70" s="150" t="s">
        <v>65</v>
      </c>
      <c r="Q70" s="6" t="s">
        <v>272</v>
      </c>
      <c r="R70" s="14">
        <v>61</v>
      </c>
      <c r="S70" s="78">
        <v>242.3</v>
      </c>
      <c r="T70" s="14">
        <v>97707</v>
      </c>
      <c r="U70" s="14">
        <v>646</v>
      </c>
      <c r="V70" s="78">
        <v>940.9</v>
      </c>
      <c r="W70" s="14">
        <v>6318</v>
      </c>
      <c r="X70" s="14">
        <v>1004</v>
      </c>
      <c r="Y70" s="78">
        <v>4612.8</v>
      </c>
      <c r="Z70" s="14">
        <v>18111</v>
      </c>
      <c r="AA70" s="14">
        <v>122136</v>
      </c>
      <c r="AB70" s="14">
        <v>902482</v>
      </c>
      <c r="AC70" s="20">
        <v>50064</v>
      </c>
      <c r="AD70" s="6"/>
    </row>
    <row r="71" spans="1:30" ht="15" customHeight="1" x14ac:dyDescent="0.3">
      <c r="A71" s="150" t="s">
        <v>66</v>
      </c>
      <c r="B71" s="6" t="s">
        <v>271</v>
      </c>
      <c r="C71" s="14">
        <v>170</v>
      </c>
      <c r="D71" s="14">
        <v>0</v>
      </c>
      <c r="E71" s="77">
        <v>1.4391257057485327</v>
      </c>
      <c r="F71" s="78">
        <v>244.7</v>
      </c>
      <c r="G71" s="14">
        <v>0</v>
      </c>
      <c r="H71" s="14">
        <v>1494346</v>
      </c>
      <c r="I71" s="14">
        <v>89</v>
      </c>
      <c r="J71" s="78">
        <v>4293.8100539999987</v>
      </c>
      <c r="K71" s="78">
        <v>14364</v>
      </c>
      <c r="L71" s="78">
        <v>11825.680000000008</v>
      </c>
      <c r="M71" s="78">
        <v>16119.5</v>
      </c>
      <c r="N71" s="20">
        <v>420251</v>
      </c>
      <c r="O71" s="14"/>
      <c r="P71" s="150" t="s">
        <v>66</v>
      </c>
      <c r="Q71" s="6" t="s">
        <v>271</v>
      </c>
      <c r="R71" s="14">
        <v>133</v>
      </c>
      <c r="S71" s="78">
        <v>353.3</v>
      </c>
      <c r="T71" s="14">
        <v>142467</v>
      </c>
      <c r="U71" s="14">
        <v>1037</v>
      </c>
      <c r="V71" s="78">
        <v>1830.3</v>
      </c>
      <c r="W71" s="14">
        <v>12291</v>
      </c>
      <c r="X71" s="14">
        <v>2405</v>
      </c>
      <c r="Y71" s="78">
        <v>12814.6</v>
      </c>
      <c r="Z71" s="14">
        <v>50312</v>
      </c>
      <c r="AA71" s="14">
        <v>205070</v>
      </c>
      <c r="AB71" s="14">
        <v>2119667</v>
      </c>
      <c r="AC71" s="20">
        <v>195374</v>
      </c>
      <c r="AD71" s="6"/>
    </row>
    <row r="72" spans="1:30" ht="15" customHeight="1" x14ac:dyDescent="0.3">
      <c r="A72" s="150" t="s">
        <v>148</v>
      </c>
      <c r="B72" s="6" t="s">
        <v>269</v>
      </c>
      <c r="C72" s="14">
        <v>30</v>
      </c>
      <c r="D72" s="14">
        <v>0</v>
      </c>
      <c r="E72" s="77">
        <v>0.99509999999999643</v>
      </c>
      <c r="F72" s="78">
        <v>29.9</v>
      </c>
      <c r="G72" s="14">
        <v>0</v>
      </c>
      <c r="H72" s="14">
        <v>182595</v>
      </c>
      <c r="I72" s="14">
        <v>12</v>
      </c>
      <c r="J72" s="78">
        <v>488.24100000000016</v>
      </c>
      <c r="K72" s="78">
        <v>2190</v>
      </c>
      <c r="L72" s="78">
        <v>1523.1450000000011</v>
      </c>
      <c r="M72" s="78">
        <v>2011.4</v>
      </c>
      <c r="N72" s="20">
        <v>52439</v>
      </c>
      <c r="O72" s="14"/>
      <c r="P72" s="150" t="s">
        <v>148</v>
      </c>
      <c r="Q72" s="6" t="s">
        <v>269</v>
      </c>
      <c r="R72" s="14">
        <v>16</v>
      </c>
      <c r="S72" s="78">
        <v>50.3</v>
      </c>
      <c r="T72" s="14">
        <v>20283</v>
      </c>
      <c r="U72" s="14">
        <v>218</v>
      </c>
      <c r="V72" s="78">
        <v>311.39999999999998</v>
      </c>
      <c r="W72" s="14">
        <v>2091</v>
      </c>
      <c r="X72" s="14">
        <v>0</v>
      </c>
      <c r="Y72" s="78">
        <v>0</v>
      </c>
      <c r="Z72" s="14">
        <v>0</v>
      </c>
      <c r="AA72" s="14">
        <v>22374</v>
      </c>
      <c r="AB72" s="14">
        <v>257408</v>
      </c>
      <c r="AC72" s="20">
        <v>0</v>
      </c>
      <c r="AD72" s="6"/>
    </row>
    <row r="73" spans="1:30" ht="15" customHeight="1" x14ac:dyDescent="0.3">
      <c r="A73" s="150" t="s">
        <v>67</v>
      </c>
      <c r="B73" s="6" t="s">
        <v>309</v>
      </c>
      <c r="C73" s="14">
        <v>40</v>
      </c>
      <c r="D73" s="14">
        <v>0</v>
      </c>
      <c r="E73" s="77">
        <v>0.73761268679109593</v>
      </c>
      <c r="F73" s="78">
        <v>29.5</v>
      </c>
      <c r="G73" s="14">
        <v>0</v>
      </c>
      <c r="H73" s="14">
        <v>180152</v>
      </c>
      <c r="I73" s="14">
        <v>26</v>
      </c>
      <c r="J73" s="78">
        <v>755.94600000000014</v>
      </c>
      <c r="K73" s="78">
        <v>4440.0000000000027</v>
      </c>
      <c r="L73" s="78">
        <v>2451.0585522788238</v>
      </c>
      <c r="M73" s="78">
        <v>3207</v>
      </c>
      <c r="N73" s="20">
        <v>83610</v>
      </c>
      <c r="O73" s="14"/>
      <c r="P73" s="150" t="s">
        <v>67</v>
      </c>
      <c r="Q73" s="6" t="s">
        <v>309</v>
      </c>
      <c r="R73" s="14">
        <v>47</v>
      </c>
      <c r="S73" s="78">
        <v>126.3</v>
      </c>
      <c r="T73" s="14">
        <v>50930</v>
      </c>
      <c r="U73" s="14">
        <v>525</v>
      </c>
      <c r="V73" s="78">
        <v>626.6</v>
      </c>
      <c r="W73" s="14">
        <v>4208</v>
      </c>
      <c r="X73" s="14">
        <v>1401</v>
      </c>
      <c r="Y73" s="78">
        <v>5292.7</v>
      </c>
      <c r="Z73" s="14">
        <v>20780</v>
      </c>
      <c r="AA73" s="14">
        <v>75918</v>
      </c>
      <c r="AB73" s="14">
        <v>339680</v>
      </c>
      <c r="AC73" s="20">
        <v>17200</v>
      </c>
      <c r="AD73" s="6"/>
    </row>
    <row r="74" spans="1:30" ht="15" customHeight="1" x14ac:dyDescent="0.3">
      <c r="A74" s="150" t="s">
        <v>68</v>
      </c>
      <c r="B74" s="6" t="s">
        <v>268</v>
      </c>
      <c r="C74" s="14">
        <v>26</v>
      </c>
      <c r="D74" s="14">
        <v>0</v>
      </c>
      <c r="E74" s="77">
        <v>0.73215393827729336</v>
      </c>
      <c r="F74" s="78">
        <v>19</v>
      </c>
      <c r="G74" s="14">
        <v>0</v>
      </c>
      <c r="H74" s="14">
        <v>116030</v>
      </c>
      <c r="I74" s="14">
        <v>19</v>
      </c>
      <c r="J74" s="78">
        <v>392.41796299999982</v>
      </c>
      <c r="K74" s="78">
        <v>2955</v>
      </c>
      <c r="L74" s="78">
        <v>1498.1850000000002</v>
      </c>
      <c r="M74" s="78">
        <v>1890.6</v>
      </c>
      <c r="N74" s="20">
        <v>49290</v>
      </c>
      <c r="O74" s="14"/>
      <c r="P74" s="150" t="s">
        <v>68</v>
      </c>
      <c r="Q74" s="6" t="s">
        <v>268</v>
      </c>
      <c r="R74" s="14">
        <v>26</v>
      </c>
      <c r="S74" s="78">
        <v>68.599999999999994</v>
      </c>
      <c r="T74" s="14">
        <v>27663</v>
      </c>
      <c r="U74" s="14">
        <v>388</v>
      </c>
      <c r="V74" s="78">
        <v>529.1</v>
      </c>
      <c r="W74" s="14">
        <v>3553</v>
      </c>
      <c r="X74" s="14">
        <v>1339</v>
      </c>
      <c r="Y74" s="78">
        <v>4582</v>
      </c>
      <c r="Z74" s="14">
        <v>17990</v>
      </c>
      <c r="AA74" s="14">
        <v>49206</v>
      </c>
      <c r="AB74" s="14">
        <v>214526</v>
      </c>
      <c r="AC74" s="20">
        <v>6136</v>
      </c>
      <c r="AD74" s="6"/>
    </row>
    <row r="75" spans="1:30" ht="15" customHeight="1" x14ac:dyDescent="0.3">
      <c r="A75" s="150" t="s">
        <v>69</v>
      </c>
      <c r="B75" s="6" t="s">
        <v>267</v>
      </c>
      <c r="C75" s="14">
        <v>46</v>
      </c>
      <c r="D75" s="14">
        <v>0</v>
      </c>
      <c r="E75" s="77">
        <v>1.4402858522333342</v>
      </c>
      <c r="F75" s="78">
        <v>66.3</v>
      </c>
      <c r="G75" s="14">
        <v>0</v>
      </c>
      <c r="H75" s="14">
        <v>404884</v>
      </c>
      <c r="I75" s="14">
        <v>9</v>
      </c>
      <c r="J75" s="78">
        <v>788.40016199999991</v>
      </c>
      <c r="K75" s="78">
        <v>1737</v>
      </c>
      <c r="L75" s="78">
        <v>2363.3000000000002</v>
      </c>
      <c r="M75" s="78">
        <v>3151.7</v>
      </c>
      <c r="N75" s="20">
        <v>82168</v>
      </c>
      <c r="O75" s="14"/>
      <c r="P75" s="150" t="s">
        <v>69</v>
      </c>
      <c r="Q75" s="6" t="s">
        <v>267</v>
      </c>
      <c r="R75" s="14">
        <v>35</v>
      </c>
      <c r="S75" s="78">
        <v>100.1</v>
      </c>
      <c r="T75" s="14">
        <v>40365</v>
      </c>
      <c r="U75" s="14">
        <v>385</v>
      </c>
      <c r="V75" s="78">
        <v>584.4</v>
      </c>
      <c r="W75" s="14">
        <v>3924</v>
      </c>
      <c r="X75" s="14">
        <v>711.33333333333326</v>
      </c>
      <c r="Y75" s="78">
        <v>2480.6999999999998</v>
      </c>
      <c r="Z75" s="14">
        <v>9740</v>
      </c>
      <c r="AA75" s="14">
        <v>54029</v>
      </c>
      <c r="AB75" s="14">
        <v>541081</v>
      </c>
      <c r="AC75" s="20">
        <v>10526</v>
      </c>
      <c r="AD75" s="6"/>
    </row>
    <row r="76" spans="1:30" ht="15" customHeight="1" x14ac:dyDescent="0.3">
      <c r="A76" s="150" t="s">
        <v>489</v>
      </c>
      <c r="B76" s="6" t="s">
        <v>306</v>
      </c>
      <c r="C76" s="14">
        <v>984</v>
      </c>
      <c r="D76" s="14">
        <v>0</v>
      </c>
      <c r="E76" s="77">
        <v>4.7556570308806156</v>
      </c>
      <c r="F76" s="78">
        <v>4679.6000000000004</v>
      </c>
      <c r="G76" s="14">
        <v>6000</v>
      </c>
      <c r="H76" s="14">
        <v>28583615</v>
      </c>
      <c r="I76" s="14">
        <v>173</v>
      </c>
      <c r="J76" s="78">
        <v>40939.435602000049</v>
      </c>
      <c r="K76" s="78">
        <v>36162</v>
      </c>
      <c r="L76" s="78">
        <v>129993.30000000008</v>
      </c>
      <c r="M76" s="78">
        <v>170932.7</v>
      </c>
      <c r="N76" s="20">
        <v>4456385</v>
      </c>
      <c r="O76" s="14"/>
      <c r="P76" s="150" t="s">
        <v>489</v>
      </c>
      <c r="Q76" s="6" t="s">
        <v>306</v>
      </c>
      <c r="R76" s="14">
        <v>198</v>
      </c>
      <c r="S76" s="78">
        <v>1054.5999999999999</v>
      </c>
      <c r="T76" s="14">
        <v>425265</v>
      </c>
      <c r="U76" s="14">
        <v>3910</v>
      </c>
      <c r="V76" s="78">
        <v>6074.4</v>
      </c>
      <c r="W76" s="14">
        <v>40791</v>
      </c>
      <c r="X76" s="14">
        <v>8701.4608173978249</v>
      </c>
      <c r="Y76" s="78">
        <v>36577.800000000003</v>
      </c>
      <c r="Z76" s="14">
        <v>143610</v>
      </c>
      <c r="AA76" s="14">
        <v>609666</v>
      </c>
      <c r="AB76" s="14">
        <v>33649666</v>
      </c>
      <c r="AC76" s="20">
        <v>1341389</v>
      </c>
      <c r="AD76" s="6"/>
    </row>
    <row r="77" spans="1:30" ht="15" customHeight="1" x14ac:dyDescent="0.3">
      <c r="A77" s="150" t="s">
        <v>70</v>
      </c>
      <c r="B77" s="6" t="s">
        <v>266</v>
      </c>
      <c r="C77" s="14">
        <v>1272</v>
      </c>
      <c r="D77" s="14">
        <v>90</v>
      </c>
      <c r="E77" s="77">
        <v>1.0215973341262035</v>
      </c>
      <c r="F77" s="78">
        <v>1299.5</v>
      </c>
      <c r="G77" s="14">
        <v>282000</v>
      </c>
      <c r="H77" s="14">
        <v>8217852</v>
      </c>
      <c r="I77" s="14">
        <v>356</v>
      </c>
      <c r="J77" s="78">
        <v>16642.406795999988</v>
      </c>
      <c r="K77" s="78">
        <v>71935.5</v>
      </c>
      <c r="L77" s="78">
        <v>65535.04249999996</v>
      </c>
      <c r="M77" s="78">
        <v>82177.399999999994</v>
      </c>
      <c r="N77" s="20">
        <v>2142446</v>
      </c>
      <c r="O77" s="14"/>
      <c r="P77" s="150" t="s">
        <v>70</v>
      </c>
      <c r="Q77" s="6" t="s">
        <v>266</v>
      </c>
      <c r="R77" s="14">
        <v>905</v>
      </c>
      <c r="S77" s="78">
        <v>2504.6</v>
      </c>
      <c r="T77" s="14">
        <v>1009974</v>
      </c>
      <c r="U77" s="14">
        <v>6628</v>
      </c>
      <c r="V77" s="78">
        <v>14331.7</v>
      </c>
      <c r="W77" s="14">
        <v>96240</v>
      </c>
      <c r="X77" s="14">
        <v>13484.496854915904</v>
      </c>
      <c r="Y77" s="78">
        <v>68729.3</v>
      </c>
      <c r="Z77" s="14">
        <v>269842</v>
      </c>
      <c r="AA77" s="14">
        <v>1376056</v>
      </c>
      <c r="AB77" s="14">
        <v>11736354</v>
      </c>
      <c r="AC77" s="20">
        <v>0</v>
      </c>
      <c r="AD77" s="6"/>
    </row>
    <row r="78" spans="1:30" ht="15" customHeight="1" x14ac:dyDescent="0.3">
      <c r="A78" s="150" t="s">
        <v>71</v>
      </c>
      <c r="B78" s="6" t="s">
        <v>264</v>
      </c>
      <c r="C78" s="14">
        <v>1871</v>
      </c>
      <c r="D78" s="14">
        <v>30</v>
      </c>
      <c r="E78" s="77">
        <v>1.0310365286904253</v>
      </c>
      <c r="F78" s="78">
        <v>1929.1</v>
      </c>
      <c r="G78" s="14">
        <v>29000</v>
      </c>
      <c r="H78" s="14">
        <v>11809724</v>
      </c>
      <c r="I78" s="14">
        <v>822</v>
      </c>
      <c r="J78" s="78">
        <v>29033.365830000148</v>
      </c>
      <c r="K78" s="78">
        <v>154385.5</v>
      </c>
      <c r="L78" s="78">
        <v>125441.73750000013</v>
      </c>
      <c r="M78" s="78">
        <v>154475.1</v>
      </c>
      <c r="N78" s="20">
        <v>4027319</v>
      </c>
      <c r="O78" s="14"/>
      <c r="P78" s="150" t="s">
        <v>71</v>
      </c>
      <c r="Q78" s="6" t="s">
        <v>264</v>
      </c>
      <c r="R78" s="14">
        <v>1099</v>
      </c>
      <c r="S78" s="78">
        <v>3261.5</v>
      </c>
      <c r="T78" s="14">
        <v>1315192</v>
      </c>
      <c r="U78" s="14">
        <v>15489</v>
      </c>
      <c r="V78" s="78">
        <v>23566.6</v>
      </c>
      <c r="W78" s="14">
        <v>158255</v>
      </c>
      <c r="X78" s="14">
        <v>29535</v>
      </c>
      <c r="Y78" s="78">
        <v>147193.29999999999</v>
      </c>
      <c r="Z78" s="14">
        <v>577904</v>
      </c>
      <c r="AA78" s="14">
        <v>2051351</v>
      </c>
      <c r="AB78" s="14">
        <v>17888394</v>
      </c>
      <c r="AC78" s="20">
        <v>0</v>
      </c>
      <c r="AD78" s="6"/>
    </row>
    <row r="79" spans="1:30" ht="15" customHeight="1" x14ac:dyDescent="0.3">
      <c r="A79" s="150" t="s">
        <v>72</v>
      </c>
      <c r="B79" s="6" t="s">
        <v>263</v>
      </c>
      <c r="C79" s="14">
        <v>2794</v>
      </c>
      <c r="D79" s="14">
        <v>90</v>
      </c>
      <c r="E79" s="77">
        <v>1.0946201513368203</v>
      </c>
      <c r="F79" s="78">
        <v>3058.4</v>
      </c>
      <c r="G79" s="14">
        <v>0</v>
      </c>
      <c r="H79" s="14">
        <v>18677190</v>
      </c>
      <c r="I79" s="14">
        <v>1033</v>
      </c>
      <c r="J79" s="78">
        <v>55348.51456400007</v>
      </c>
      <c r="K79" s="78">
        <v>180492.64285716001</v>
      </c>
      <c r="L79" s="78">
        <v>162284.31392858014</v>
      </c>
      <c r="M79" s="78">
        <v>217632.8</v>
      </c>
      <c r="N79" s="20">
        <v>5673903</v>
      </c>
      <c r="O79" s="14"/>
      <c r="P79" s="150" t="s">
        <v>72</v>
      </c>
      <c r="Q79" s="6" t="s">
        <v>263</v>
      </c>
      <c r="R79" s="14">
        <v>1765</v>
      </c>
      <c r="S79" s="78">
        <v>5576.6</v>
      </c>
      <c r="T79" s="14">
        <v>2248750</v>
      </c>
      <c r="U79" s="14">
        <v>13671</v>
      </c>
      <c r="V79" s="78">
        <v>20941.400000000001</v>
      </c>
      <c r="W79" s="14">
        <v>140626</v>
      </c>
      <c r="X79" s="14">
        <v>22367.256594724222</v>
      </c>
      <c r="Y79" s="78">
        <v>137820.9</v>
      </c>
      <c r="Z79" s="14">
        <v>541107</v>
      </c>
      <c r="AA79" s="14">
        <v>2930483</v>
      </c>
      <c r="AB79" s="14">
        <v>27281576</v>
      </c>
      <c r="AC79" s="20">
        <v>0</v>
      </c>
      <c r="AD79" s="6"/>
    </row>
    <row r="80" spans="1:30" ht="15" customHeight="1" x14ac:dyDescent="0.3">
      <c r="A80" s="150" t="s">
        <v>73</v>
      </c>
      <c r="B80" s="6" t="s">
        <v>262</v>
      </c>
      <c r="C80" s="14">
        <v>4794</v>
      </c>
      <c r="D80" s="14">
        <v>430</v>
      </c>
      <c r="E80" s="77">
        <v>1.0659675133567854</v>
      </c>
      <c r="F80" s="78">
        <v>5110.2</v>
      </c>
      <c r="G80" s="14">
        <v>5000</v>
      </c>
      <c r="H80" s="14">
        <v>31212225</v>
      </c>
      <c r="I80" s="14">
        <v>1712</v>
      </c>
      <c r="J80" s="78">
        <v>87820.145156998784</v>
      </c>
      <c r="K80" s="78">
        <v>303249.35714278999</v>
      </c>
      <c r="L80" s="78">
        <v>289609.43649995228</v>
      </c>
      <c r="M80" s="78">
        <v>377429.6</v>
      </c>
      <c r="N80" s="20">
        <v>9839963</v>
      </c>
      <c r="O80" s="14"/>
      <c r="P80" s="150" t="s">
        <v>73</v>
      </c>
      <c r="Q80" s="6" t="s">
        <v>262</v>
      </c>
      <c r="R80" s="14">
        <v>2926</v>
      </c>
      <c r="S80" s="78">
        <v>8911.2000000000007</v>
      </c>
      <c r="T80" s="14">
        <v>3593420</v>
      </c>
      <c r="U80" s="14">
        <v>21000</v>
      </c>
      <c r="V80" s="78">
        <v>43385.8</v>
      </c>
      <c r="W80" s="14">
        <v>291345</v>
      </c>
      <c r="X80" s="14">
        <v>21731.573021077282</v>
      </c>
      <c r="Y80" s="78">
        <v>148734.6</v>
      </c>
      <c r="Z80" s="14">
        <v>583956</v>
      </c>
      <c r="AA80" s="14">
        <v>4468721</v>
      </c>
      <c r="AB80" s="14">
        <v>45520909</v>
      </c>
      <c r="AC80" s="20">
        <v>3013693</v>
      </c>
      <c r="AD80" s="6"/>
    </row>
    <row r="81" spans="1:30" ht="15" customHeight="1" x14ac:dyDescent="0.3">
      <c r="A81" s="150" t="s">
        <v>74</v>
      </c>
      <c r="B81" s="6" t="s">
        <v>260</v>
      </c>
      <c r="C81" s="14">
        <v>244</v>
      </c>
      <c r="D81" s="14">
        <v>0</v>
      </c>
      <c r="E81" s="77">
        <v>1.041475548865356</v>
      </c>
      <c r="F81" s="78">
        <v>254.1</v>
      </c>
      <c r="G81" s="14">
        <v>5000</v>
      </c>
      <c r="H81" s="14">
        <v>1556751</v>
      </c>
      <c r="I81" s="14">
        <v>62</v>
      </c>
      <c r="J81" s="78">
        <v>3197.8361340000001</v>
      </c>
      <c r="K81" s="78">
        <v>11958</v>
      </c>
      <c r="L81" s="78">
        <v>11508.031499999996</v>
      </c>
      <c r="M81" s="78">
        <v>14705.9</v>
      </c>
      <c r="N81" s="20">
        <v>383397</v>
      </c>
      <c r="O81" s="14"/>
      <c r="P81" s="150" t="s">
        <v>74</v>
      </c>
      <c r="Q81" s="6" t="s">
        <v>260</v>
      </c>
      <c r="R81" s="14">
        <v>114</v>
      </c>
      <c r="S81" s="78">
        <v>320.5</v>
      </c>
      <c r="T81" s="14">
        <v>129241</v>
      </c>
      <c r="U81" s="14">
        <v>653</v>
      </c>
      <c r="V81" s="78">
        <v>1443.5</v>
      </c>
      <c r="W81" s="14">
        <v>9693</v>
      </c>
      <c r="X81" s="14">
        <v>834</v>
      </c>
      <c r="Y81" s="78">
        <v>5105.5</v>
      </c>
      <c r="Z81" s="14">
        <v>20045</v>
      </c>
      <c r="AA81" s="14">
        <v>158979</v>
      </c>
      <c r="AB81" s="14">
        <v>2099127</v>
      </c>
      <c r="AC81" s="20">
        <v>106473</v>
      </c>
      <c r="AD81" s="6"/>
    </row>
    <row r="82" spans="1:30" ht="15" customHeight="1" x14ac:dyDescent="0.3">
      <c r="A82" s="150" t="s">
        <v>75</v>
      </c>
      <c r="B82" s="6" t="s">
        <v>256</v>
      </c>
      <c r="C82" s="14">
        <v>80</v>
      </c>
      <c r="D82" s="14">
        <v>0</v>
      </c>
      <c r="E82" s="77">
        <v>0.72540000000000582</v>
      </c>
      <c r="F82" s="78">
        <v>58</v>
      </c>
      <c r="G82" s="14">
        <v>10000</v>
      </c>
      <c r="H82" s="14">
        <v>364197</v>
      </c>
      <c r="I82" s="14">
        <v>86</v>
      </c>
      <c r="J82" s="78">
        <v>882.56955199999913</v>
      </c>
      <c r="K82" s="78">
        <v>8760</v>
      </c>
      <c r="L82" s="78">
        <v>4441.3200000000033</v>
      </c>
      <c r="M82" s="78">
        <v>5323.9</v>
      </c>
      <c r="N82" s="20">
        <v>138799</v>
      </c>
      <c r="O82" s="14"/>
      <c r="P82" s="150" t="s">
        <v>75</v>
      </c>
      <c r="Q82" s="6" t="s">
        <v>256</v>
      </c>
      <c r="R82" s="14">
        <v>103</v>
      </c>
      <c r="S82" s="78">
        <v>204.8</v>
      </c>
      <c r="T82" s="14">
        <v>82585</v>
      </c>
      <c r="U82" s="14">
        <v>795</v>
      </c>
      <c r="V82" s="78">
        <v>1775.4</v>
      </c>
      <c r="W82" s="14">
        <v>11922</v>
      </c>
      <c r="X82" s="14">
        <v>2127</v>
      </c>
      <c r="Y82" s="78">
        <v>11015.5</v>
      </c>
      <c r="Z82" s="14">
        <v>43249</v>
      </c>
      <c r="AA82" s="14">
        <v>137756</v>
      </c>
      <c r="AB82" s="14">
        <v>640752</v>
      </c>
      <c r="AC82" s="20">
        <v>164534</v>
      </c>
      <c r="AD82" s="6"/>
    </row>
    <row r="83" spans="1:30" ht="15" customHeight="1" x14ac:dyDescent="0.3">
      <c r="A83" s="150" t="s">
        <v>76</v>
      </c>
      <c r="B83" s="6" t="s">
        <v>258</v>
      </c>
      <c r="C83" s="14">
        <v>173</v>
      </c>
      <c r="D83" s="14">
        <v>60</v>
      </c>
      <c r="E83" s="77">
        <v>0.96840490108500754</v>
      </c>
      <c r="F83" s="78">
        <v>167.5</v>
      </c>
      <c r="G83" s="14">
        <v>7000</v>
      </c>
      <c r="H83" s="14">
        <v>1029897</v>
      </c>
      <c r="I83" s="14">
        <v>109</v>
      </c>
      <c r="J83" s="78">
        <v>4555.691300000004</v>
      </c>
      <c r="K83" s="78">
        <v>17777</v>
      </c>
      <c r="L83" s="78">
        <v>14480.5</v>
      </c>
      <c r="M83" s="78">
        <v>19036.2</v>
      </c>
      <c r="N83" s="20">
        <v>496293</v>
      </c>
      <c r="O83" s="14"/>
      <c r="P83" s="150" t="s">
        <v>76</v>
      </c>
      <c r="Q83" s="6" t="s">
        <v>258</v>
      </c>
      <c r="R83" s="14">
        <v>147</v>
      </c>
      <c r="S83" s="78">
        <v>456.4</v>
      </c>
      <c r="T83" s="14">
        <v>184042</v>
      </c>
      <c r="U83" s="14">
        <v>1917.8148148148148</v>
      </c>
      <c r="V83" s="78">
        <v>2478.6999999999998</v>
      </c>
      <c r="W83" s="14">
        <v>16645</v>
      </c>
      <c r="X83" s="14">
        <v>5586</v>
      </c>
      <c r="Y83" s="78">
        <v>19409</v>
      </c>
      <c r="Z83" s="14">
        <v>76203</v>
      </c>
      <c r="AA83" s="14">
        <v>276890</v>
      </c>
      <c r="AB83" s="14">
        <v>1803080</v>
      </c>
      <c r="AC83" s="20">
        <v>64669</v>
      </c>
      <c r="AD83" s="6"/>
    </row>
    <row r="84" spans="1:30" ht="15" customHeight="1" x14ac:dyDescent="0.3">
      <c r="A84" s="150" t="s">
        <v>461</v>
      </c>
      <c r="B84" s="6" t="s">
        <v>290</v>
      </c>
      <c r="C84" s="14">
        <v>850</v>
      </c>
      <c r="D84" s="14">
        <v>0</v>
      </c>
      <c r="E84" s="77">
        <v>0.82387826540175668</v>
      </c>
      <c r="F84" s="78">
        <v>700.3</v>
      </c>
      <c r="G84" s="14">
        <v>0</v>
      </c>
      <c r="H84" s="14">
        <v>4276627</v>
      </c>
      <c r="I84" s="14">
        <v>345</v>
      </c>
      <c r="J84" s="78">
        <v>14560.258549000038</v>
      </c>
      <c r="K84" s="78">
        <v>55792</v>
      </c>
      <c r="L84" s="78">
        <v>41462.380000000005</v>
      </c>
      <c r="M84" s="78">
        <v>56022.6</v>
      </c>
      <c r="N84" s="20">
        <v>1460565</v>
      </c>
      <c r="O84" s="14"/>
      <c r="P84" s="150" t="s">
        <v>461</v>
      </c>
      <c r="Q84" s="6" t="s">
        <v>290</v>
      </c>
      <c r="R84" s="14">
        <v>539</v>
      </c>
      <c r="S84" s="78">
        <v>1808.6</v>
      </c>
      <c r="T84" s="14">
        <v>729314</v>
      </c>
      <c r="U84" s="14">
        <v>5866</v>
      </c>
      <c r="V84" s="78">
        <v>9697.7999999999993</v>
      </c>
      <c r="W84" s="14">
        <v>65123</v>
      </c>
      <c r="X84" s="14">
        <v>13928.429118773944</v>
      </c>
      <c r="Y84" s="78">
        <v>55285.1</v>
      </c>
      <c r="Z84" s="14">
        <v>217058</v>
      </c>
      <c r="AA84" s="14">
        <v>1011495</v>
      </c>
      <c r="AB84" s="14">
        <v>6748687</v>
      </c>
      <c r="AC84" s="20">
        <v>275689</v>
      </c>
      <c r="AD84" s="6"/>
    </row>
    <row r="85" spans="1:30" ht="15" customHeight="1" x14ac:dyDescent="0.3">
      <c r="A85" s="150" t="s">
        <v>149</v>
      </c>
      <c r="B85" s="6" t="s">
        <v>257</v>
      </c>
      <c r="C85" s="14">
        <v>0</v>
      </c>
      <c r="D85" s="14">
        <v>0</v>
      </c>
      <c r="E85" s="77">
        <v>0.7244616742049641</v>
      </c>
      <c r="F85" s="78">
        <v>0</v>
      </c>
      <c r="G85" s="14">
        <v>0</v>
      </c>
      <c r="H85" s="14">
        <v>0</v>
      </c>
      <c r="I85" s="14">
        <v>0</v>
      </c>
      <c r="J85" s="78">
        <v>0</v>
      </c>
      <c r="K85" s="78">
        <v>275</v>
      </c>
      <c r="L85" s="78">
        <v>139.42499999999998</v>
      </c>
      <c r="M85" s="78">
        <v>139.4</v>
      </c>
      <c r="N85" s="20">
        <v>3634</v>
      </c>
      <c r="O85" s="14"/>
      <c r="P85" s="150" t="s">
        <v>149</v>
      </c>
      <c r="Q85" s="6" t="s">
        <v>257</v>
      </c>
      <c r="R85" s="14">
        <v>0</v>
      </c>
      <c r="S85" s="78">
        <v>0</v>
      </c>
      <c r="T85" s="14">
        <v>0</v>
      </c>
      <c r="U85" s="14">
        <v>0</v>
      </c>
      <c r="V85" s="78">
        <v>0</v>
      </c>
      <c r="W85" s="14">
        <v>0</v>
      </c>
      <c r="X85" s="14">
        <v>0</v>
      </c>
      <c r="Y85" s="78">
        <v>0</v>
      </c>
      <c r="Z85" s="14">
        <v>0</v>
      </c>
      <c r="AA85" s="14">
        <v>0</v>
      </c>
      <c r="AB85" s="14">
        <v>3634</v>
      </c>
      <c r="AC85" s="20">
        <v>0</v>
      </c>
      <c r="AD85" s="6"/>
    </row>
    <row r="86" spans="1:30" ht="15" customHeight="1" x14ac:dyDescent="0.3">
      <c r="A86" s="150" t="s">
        <v>77</v>
      </c>
      <c r="B86" s="6" t="s">
        <v>255</v>
      </c>
      <c r="C86" s="14">
        <v>1164</v>
      </c>
      <c r="D86" s="14">
        <v>45</v>
      </c>
      <c r="E86" s="77">
        <v>1.5069891062584566</v>
      </c>
      <c r="F86" s="78">
        <v>1754.1</v>
      </c>
      <c r="G86" s="14">
        <v>29000</v>
      </c>
      <c r="H86" s="14">
        <v>10741026</v>
      </c>
      <c r="I86" s="14">
        <v>397</v>
      </c>
      <c r="J86" s="78">
        <v>24961.243913000086</v>
      </c>
      <c r="K86" s="78">
        <v>80202</v>
      </c>
      <c r="L86" s="78">
        <v>94018.505000000092</v>
      </c>
      <c r="M86" s="78">
        <v>118979.7</v>
      </c>
      <c r="N86" s="20">
        <v>3101919</v>
      </c>
      <c r="O86" s="14"/>
      <c r="P86" s="150" t="s">
        <v>77</v>
      </c>
      <c r="Q86" s="6" t="s">
        <v>255</v>
      </c>
      <c r="R86" s="14">
        <v>920</v>
      </c>
      <c r="S86" s="78">
        <v>2578.8000000000002</v>
      </c>
      <c r="T86" s="14">
        <v>1039895</v>
      </c>
      <c r="U86" s="14">
        <v>5814</v>
      </c>
      <c r="V86" s="78">
        <v>9769.9</v>
      </c>
      <c r="W86" s="14">
        <v>65607</v>
      </c>
      <c r="X86" s="14">
        <v>10050</v>
      </c>
      <c r="Y86" s="78">
        <v>58803.9</v>
      </c>
      <c r="Z86" s="14">
        <v>230873</v>
      </c>
      <c r="AA86" s="14">
        <v>1336375</v>
      </c>
      <c r="AB86" s="14">
        <v>15179320</v>
      </c>
      <c r="AC86" s="20">
        <v>0</v>
      </c>
      <c r="AD86" s="6"/>
    </row>
    <row r="87" spans="1:30" ht="15" customHeight="1" x14ac:dyDescent="0.3">
      <c r="A87" s="150" t="s">
        <v>78</v>
      </c>
      <c r="B87" s="6" t="s">
        <v>254</v>
      </c>
      <c r="C87" s="14">
        <v>43</v>
      </c>
      <c r="D87" s="14">
        <v>0</v>
      </c>
      <c r="E87" s="77">
        <v>1.4614426339198345</v>
      </c>
      <c r="F87" s="78">
        <v>62.8</v>
      </c>
      <c r="G87" s="14">
        <v>0</v>
      </c>
      <c r="H87" s="14">
        <v>383510</v>
      </c>
      <c r="I87" s="14">
        <v>15</v>
      </c>
      <c r="J87" s="78">
        <v>1340.2800000000002</v>
      </c>
      <c r="K87" s="78">
        <v>3140</v>
      </c>
      <c r="L87" s="78">
        <v>4349.7999999999956</v>
      </c>
      <c r="M87" s="78">
        <v>5690.1</v>
      </c>
      <c r="N87" s="20">
        <v>148347</v>
      </c>
      <c r="O87" s="14"/>
      <c r="P87" s="150" t="s">
        <v>78</v>
      </c>
      <c r="Q87" s="6" t="s">
        <v>254</v>
      </c>
      <c r="R87" s="14">
        <v>39</v>
      </c>
      <c r="S87" s="78">
        <v>130</v>
      </c>
      <c r="T87" s="14">
        <v>52422</v>
      </c>
      <c r="U87" s="14">
        <v>264</v>
      </c>
      <c r="V87" s="78">
        <v>282.89999999999998</v>
      </c>
      <c r="W87" s="14">
        <v>1900</v>
      </c>
      <c r="X87" s="14">
        <v>213.99999999999997</v>
      </c>
      <c r="Y87" s="78">
        <v>1430.9</v>
      </c>
      <c r="Z87" s="14">
        <v>5618</v>
      </c>
      <c r="AA87" s="14">
        <v>59940</v>
      </c>
      <c r="AB87" s="14">
        <v>591797</v>
      </c>
      <c r="AC87" s="20">
        <v>0</v>
      </c>
      <c r="AD87" s="6"/>
    </row>
    <row r="88" spans="1:30" ht="15" customHeight="1" x14ac:dyDescent="0.3">
      <c r="A88" s="150" t="s">
        <v>79</v>
      </c>
      <c r="B88" s="6" t="s">
        <v>250</v>
      </c>
      <c r="C88" s="14">
        <v>45</v>
      </c>
      <c r="D88" s="14">
        <v>0</v>
      </c>
      <c r="E88" s="77">
        <v>1.4389429921259809</v>
      </c>
      <c r="F88" s="78">
        <v>64.8</v>
      </c>
      <c r="G88" s="14">
        <v>0</v>
      </c>
      <c r="H88" s="14">
        <v>395724</v>
      </c>
      <c r="I88" s="14">
        <v>12</v>
      </c>
      <c r="J88" s="78">
        <v>996.4799999999999</v>
      </c>
      <c r="K88" s="78">
        <v>2004</v>
      </c>
      <c r="L88" s="78">
        <v>2146.8099999999995</v>
      </c>
      <c r="M88" s="78">
        <v>3143.3</v>
      </c>
      <c r="N88" s="20">
        <v>81949</v>
      </c>
      <c r="O88" s="14"/>
      <c r="P88" s="150" t="s">
        <v>79</v>
      </c>
      <c r="Q88" s="6" t="s">
        <v>250</v>
      </c>
      <c r="R88" s="14">
        <v>20</v>
      </c>
      <c r="S88" s="78">
        <v>126.8</v>
      </c>
      <c r="T88" s="14">
        <v>51132</v>
      </c>
      <c r="U88" s="14">
        <v>362</v>
      </c>
      <c r="V88" s="78">
        <v>379.2</v>
      </c>
      <c r="W88" s="14">
        <v>2546</v>
      </c>
      <c r="X88" s="14">
        <v>513</v>
      </c>
      <c r="Y88" s="78">
        <v>1710</v>
      </c>
      <c r="Z88" s="14">
        <v>6714</v>
      </c>
      <c r="AA88" s="14">
        <v>60392</v>
      </c>
      <c r="AB88" s="14">
        <v>538065</v>
      </c>
      <c r="AC88" s="20">
        <v>34290</v>
      </c>
      <c r="AD88" s="6"/>
    </row>
    <row r="89" spans="1:30" ht="15" customHeight="1" x14ac:dyDescent="0.3">
      <c r="A89" s="150" t="s">
        <v>80</v>
      </c>
      <c r="B89" s="6" t="s">
        <v>249</v>
      </c>
      <c r="C89" s="14">
        <v>70</v>
      </c>
      <c r="D89" s="14">
        <v>0</v>
      </c>
      <c r="E89" s="77">
        <v>0.90472720031086273</v>
      </c>
      <c r="F89" s="78">
        <v>63.3</v>
      </c>
      <c r="G89" s="14">
        <v>0</v>
      </c>
      <c r="H89" s="14">
        <v>386564</v>
      </c>
      <c r="I89" s="14">
        <v>77</v>
      </c>
      <c r="J89" s="78">
        <v>1474.1352359999992</v>
      </c>
      <c r="K89" s="78">
        <v>9719.9999999999964</v>
      </c>
      <c r="L89" s="78">
        <v>5815.65705882353</v>
      </c>
      <c r="M89" s="78">
        <v>7289.8</v>
      </c>
      <c r="N89" s="20">
        <v>190052</v>
      </c>
      <c r="O89" s="14"/>
      <c r="P89" s="150" t="s">
        <v>80</v>
      </c>
      <c r="Q89" s="6" t="s">
        <v>249</v>
      </c>
      <c r="R89" s="14">
        <v>122</v>
      </c>
      <c r="S89" s="78">
        <v>227.9</v>
      </c>
      <c r="T89" s="14">
        <v>91900</v>
      </c>
      <c r="U89" s="14">
        <v>605</v>
      </c>
      <c r="V89" s="78">
        <v>1042.5999999999999</v>
      </c>
      <c r="W89" s="14">
        <v>7001</v>
      </c>
      <c r="X89" s="14">
        <v>662</v>
      </c>
      <c r="Y89" s="78">
        <v>2195.8000000000002</v>
      </c>
      <c r="Z89" s="14">
        <v>8621</v>
      </c>
      <c r="AA89" s="14">
        <v>107522</v>
      </c>
      <c r="AB89" s="14">
        <v>684138</v>
      </c>
      <c r="AC89" s="20">
        <v>33730</v>
      </c>
      <c r="AD89" s="6"/>
    </row>
    <row r="90" spans="1:30" ht="15" customHeight="1" x14ac:dyDescent="0.3">
      <c r="A90" s="150" t="s">
        <v>81</v>
      </c>
      <c r="B90" s="6" t="s">
        <v>248</v>
      </c>
      <c r="C90" s="14">
        <v>53</v>
      </c>
      <c r="D90" s="14">
        <v>0</v>
      </c>
      <c r="E90" s="77">
        <v>0.80902558557606419</v>
      </c>
      <c r="F90" s="78">
        <v>42.9</v>
      </c>
      <c r="G90" s="14">
        <v>0</v>
      </c>
      <c r="H90" s="14">
        <v>261984</v>
      </c>
      <c r="I90" s="14">
        <v>91</v>
      </c>
      <c r="J90" s="78">
        <v>1381.1842890000003</v>
      </c>
      <c r="K90" s="78">
        <v>8039.9999999999918</v>
      </c>
      <c r="L90" s="78">
        <v>4541.2950716049436</v>
      </c>
      <c r="M90" s="78">
        <v>5922.5</v>
      </c>
      <c r="N90" s="20">
        <v>154405</v>
      </c>
      <c r="O90" s="14"/>
      <c r="P90" s="150" t="s">
        <v>81</v>
      </c>
      <c r="Q90" s="6" t="s">
        <v>248</v>
      </c>
      <c r="R90" s="14">
        <v>96</v>
      </c>
      <c r="S90" s="78">
        <v>192</v>
      </c>
      <c r="T90" s="14">
        <v>77424</v>
      </c>
      <c r="U90" s="14">
        <v>841</v>
      </c>
      <c r="V90" s="78">
        <v>1054.8</v>
      </c>
      <c r="W90" s="14">
        <v>7083</v>
      </c>
      <c r="X90" s="14">
        <v>2891</v>
      </c>
      <c r="Y90" s="78">
        <v>13334.2</v>
      </c>
      <c r="Z90" s="14">
        <v>52352</v>
      </c>
      <c r="AA90" s="14">
        <v>136859</v>
      </c>
      <c r="AB90" s="14">
        <v>553248</v>
      </c>
      <c r="AC90" s="20">
        <v>28837</v>
      </c>
      <c r="AD90" s="6"/>
    </row>
    <row r="91" spans="1:30" ht="15" customHeight="1" x14ac:dyDescent="0.3">
      <c r="A91" s="150" t="s">
        <v>82</v>
      </c>
      <c r="B91" s="6" t="s">
        <v>247</v>
      </c>
      <c r="C91" s="14">
        <v>1017</v>
      </c>
      <c r="D91" s="14">
        <v>15</v>
      </c>
      <c r="E91" s="77">
        <v>1.2026818888718236</v>
      </c>
      <c r="F91" s="78">
        <v>1223.0999999999999</v>
      </c>
      <c r="G91" s="14">
        <v>0</v>
      </c>
      <c r="H91" s="14">
        <v>7469288</v>
      </c>
      <c r="I91" s="14">
        <v>303</v>
      </c>
      <c r="J91" s="78">
        <v>15607.798445999977</v>
      </c>
      <c r="K91" s="78">
        <v>55853</v>
      </c>
      <c r="L91" s="78">
        <v>57780.750749999977</v>
      </c>
      <c r="M91" s="78">
        <v>73388.5</v>
      </c>
      <c r="N91" s="20">
        <v>1913311</v>
      </c>
      <c r="O91" s="14"/>
      <c r="P91" s="150" t="s">
        <v>82</v>
      </c>
      <c r="Q91" s="6" t="s">
        <v>247</v>
      </c>
      <c r="R91" s="14">
        <v>707</v>
      </c>
      <c r="S91" s="78">
        <v>1909.9</v>
      </c>
      <c r="T91" s="14">
        <v>770163</v>
      </c>
      <c r="U91" s="14">
        <v>2500.6394052044616</v>
      </c>
      <c r="V91" s="78">
        <v>5277.6</v>
      </c>
      <c r="W91" s="14">
        <v>35440</v>
      </c>
      <c r="X91" s="14">
        <v>7422.9487179487178</v>
      </c>
      <c r="Y91" s="78">
        <v>37224.199999999997</v>
      </c>
      <c r="Z91" s="14">
        <v>146148</v>
      </c>
      <c r="AA91" s="14">
        <v>951751</v>
      </c>
      <c r="AB91" s="14">
        <v>10334350</v>
      </c>
      <c r="AC91" s="20">
        <v>0</v>
      </c>
      <c r="AD91" s="6"/>
    </row>
    <row r="92" spans="1:30" ht="15" customHeight="1" x14ac:dyDescent="0.3">
      <c r="A92" s="150" t="s">
        <v>83</v>
      </c>
      <c r="B92" s="6" t="s">
        <v>246</v>
      </c>
      <c r="C92" s="14">
        <v>1410</v>
      </c>
      <c r="D92" s="14">
        <v>15</v>
      </c>
      <c r="E92" s="77">
        <v>0.91712096319687908</v>
      </c>
      <c r="F92" s="78">
        <v>1293.0999999999999</v>
      </c>
      <c r="G92" s="14">
        <v>57000</v>
      </c>
      <c r="H92" s="14">
        <v>7953768</v>
      </c>
      <c r="I92" s="14">
        <v>580</v>
      </c>
      <c r="J92" s="78">
        <v>27275.016023999964</v>
      </c>
      <c r="K92" s="78">
        <v>100671</v>
      </c>
      <c r="L92" s="78">
        <v>80879.684999999925</v>
      </c>
      <c r="M92" s="78">
        <v>108154.7</v>
      </c>
      <c r="N92" s="20">
        <v>2819700</v>
      </c>
      <c r="O92" s="14"/>
      <c r="P92" s="150" t="s">
        <v>83</v>
      </c>
      <c r="Q92" s="6" t="s">
        <v>246</v>
      </c>
      <c r="R92" s="14">
        <v>1040</v>
      </c>
      <c r="S92" s="78">
        <v>3115.1</v>
      </c>
      <c r="T92" s="14">
        <v>1256157</v>
      </c>
      <c r="U92" s="14">
        <v>9323</v>
      </c>
      <c r="V92" s="78">
        <v>14989.8</v>
      </c>
      <c r="W92" s="14">
        <v>100660</v>
      </c>
      <c r="X92" s="14">
        <v>16893.628112894301</v>
      </c>
      <c r="Y92" s="78">
        <v>76399.3</v>
      </c>
      <c r="Z92" s="14">
        <v>299956</v>
      </c>
      <c r="AA92" s="14">
        <v>1656773</v>
      </c>
      <c r="AB92" s="14">
        <v>12430241</v>
      </c>
      <c r="AC92" s="20">
        <v>632709</v>
      </c>
      <c r="AD92" s="6"/>
    </row>
    <row r="93" spans="1:30" ht="15" customHeight="1" x14ac:dyDescent="0.3">
      <c r="A93" s="150" t="s">
        <v>84</v>
      </c>
      <c r="B93" s="6" t="s">
        <v>245</v>
      </c>
      <c r="C93" s="14">
        <v>95</v>
      </c>
      <c r="D93" s="14">
        <v>30</v>
      </c>
      <c r="E93" s="77">
        <v>1.1533579365587934</v>
      </c>
      <c r="F93" s="78">
        <v>109.6</v>
      </c>
      <c r="G93" s="14">
        <v>0</v>
      </c>
      <c r="H93" s="14">
        <v>669311</v>
      </c>
      <c r="I93" s="14">
        <v>12</v>
      </c>
      <c r="J93" s="78">
        <v>643.587174</v>
      </c>
      <c r="K93" s="78">
        <v>3008</v>
      </c>
      <c r="L93" s="78">
        <v>2851.4600000000019</v>
      </c>
      <c r="M93" s="78">
        <v>3495</v>
      </c>
      <c r="N93" s="20">
        <v>91118</v>
      </c>
      <c r="O93" s="14"/>
      <c r="P93" s="150" t="s">
        <v>84</v>
      </c>
      <c r="Q93" s="6" t="s">
        <v>245</v>
      </c>
      <c r="R93" s="14">
        <v>37</v>
      </c>
      <c r="S93" s="78">
        <v>144.19999999999999</v>
      </c>
      <c r="T93" s="14">
        <v>58148</v>
      </c>
      <c r="U93" s="14">
        <v>345</v>
      </c>
      <c r="V93" s="78">
        <v>724.9</v>
      </c>
      <c r="W93" s="14">
        <v>4868</v>
      </c>
      <c r="X93" s="14">
        <v>530</v>
      </c>
      <c r="Y93" s="78">
        <v>3340.6</v>
      </c>
      <c r="Z93" s="14">
        <v>13116</v>
      </c>
      <c r="AA93" s="14">
        <v>76132</v>
      </c>
      <c r="AB93" s="14">
        <v>836561</v>
      </c>
      <c r="AC93" s="20">
        <v>40463</v>
      </c>
      <c r="AD93" s="6"/>
    </row>
    <row r="94" spans="1:30" ht="15" customHeight="1" x14ac:dyDescent="0.3">
      <c r="A94" s="150" t="s">
        <v>85</v>
      </c>
      <c r="B94" s="6" t="s">
        <v>252</v>
      </c>
      <c r="C94" s="14">
        <v>5344</v>
      </c>
      <c r="D94" s="14">
        <v>235</v>
      </c>
      <c r="E94" s="77">
        <v>1.1550132055612075</v>
      </c>
      <c r="F94" s="78">
        <v>6172.4</v>
      </c>
      <c r="G94" s="14">
        <v>108000</v>
      </c>
      <c r="H94" s="14">
        <v>37801921</v>
      </c>
      <c r="I94" s="14">
        <v>1645</v>
      </c>
      <c r="J94" s="78">
        <v>82697.423136000391</v>
      </c>
      <c r="K94" s="78">
        <v>322833.28571428999</v>
      </c>
      <c r="L94" s="78">
        <v>325569.11535714084</v>
      </c>
      <c r="M94" s="78">
        <v>408266.5</v>
      </c>
      <c r="N94" s="20">
        <v>10643912</v>
      </c>
      <c r="O94" s="14"/>
      <c r="P94" s="150" t="s">
        <v>85</v>
      </c>
      <c r="Q94" s="6" t="s">
        <v>252</v>
      </c>
      <c r="R94" s="14">
        <v>3178</v>
      </c>
      <c r="S94" s="78">
        <v>10891.6</v>
      </c>
      <c r="T94" s="14">
        <v>4392011</v>
      </c>
      <c r="U94" s="14">
        <v>14244</v>
      </c>
      <c r="V94" s="78">
        <v>32404.2</v>
      </c>
      <c r="W94" s="14">
        <v>217601</v>
      </c>
      <c r="X94" s="14">
        <v>36082</v>
      </c>
      <c r="Y94" s="78">
        <v>195754.2</v>
      </c>
      <c r="Z94" s="14">
        <v>768562</v>
      </c>
      <c r="AA94" s="14">
        <v>5378174</v>
      </c>
      <c r="AB94" s="14">
        <v>53824007</v>
      </c>
      <c r="AC94" s="20">
        <v>0</v>
      </c>
      <c r="AD94" s="6"/>
    </row>
    <row r="95" spans="1:30" ht="15" customHeight="1" x14ac:dyDescent="0.3">
      <c r="A95" s="150" t="s">
        <v>86</v>
      </c>
      <c r="B95" s="6" t="s">
        <v>242</v>
      </c>
      <c r="C95" s="14">
        <v>130</v>
      </c>
      <c r="D95" s="14">
        <v>0</v>
      </c>
      <c r="E95" s="77">
        <v>0.91560371869661972</v>
      </c>
      <c r="F95" s="78">
        <v>119</v>
      </c>
      <c r="G95" s="14">
        <v>0</v>
      </c>
      <c r="H95" s="14">
        <v>726715</v>
      </c>
      <c r="I95" s="14">
        <v>57</v>
      </c>
      <c r="J95" s="78">
        <v>1757.3295059999991</v>
      </c>
      <c r="K95" s="78">
        <v>11534</v>
      </c>
      <c r="L95" s="78">
        <v>9709.9399999999951</v>
      </c>
      <c r="M95" s="78">
        <v>11467.3</v>
      </c>
      <c r="N95" s="20">
        <v>298964</v>
      </c>
      <c r="O95" s="14"/>
      <c r="P95" s="150" t="s">
        <v>86</v>
      </c>
      <c r="Q95" s="6" t="s">
        <v>242</v>
      </c>
      <c r="R95" s="14">
        <v>140</v>
      </c>
      <c r="S95" s="78">
        <v>307.3</v>
      </c>
      <c r="T95" s="14">
        <v>123918</v>
      </c>
      <c r="U95" s="14">
        <v>864</v>
      </c>
      <c r="V95" s="78">
        <v>1595.9</v>
      </c>
      <c r="W95" s="14">
        <v>10717</v>
      </c>
      <c r="X95" s="14">
        <v>2042</v>
      </c>
      <c r="Y95" s="78">
        <v>10983.8</v>
      </c>
      <c r="Z95" s="14">
        <v>43124</v>
      </c>
      <c r="AA95" s="14">
        <v>177759</v>
      </c>
      <c r="AB95" s="14">
        <v>1203438</v>
      </c>
      <c r="AC95" s="20">
        <v>52330</v>
      </c>
      <c r="AD95" s="6"/>
    </row>
    <row r="96" spans="1:30" ht="15" customHeight="1" x14ac:dyDescent="0.3">
      <c r="A96" s="150" t="s">
        <v>87</v>
      </c>
      <c r="B96" s="6" t="s">
        <v>241</v>
      </c>
      <c r="C96" s="14">
        <v>48</v>
      </c>
      <c r="D96" s="14">
        <v>0</v>
      </c>
      <c r="E96" s="77">
        <v>1.1874762258466116</v>
      </c>
      <c r="F96" s="78">
        <v>57</v>
      </c>
      <c r="G96" s="14">
        <v>0</v>
      </c>
      <c r="H96" s="14">
        <v>348090</v>
      </c>
      <c r="I96" s="14">
        <v>19</v>
      </c>
      <c r="J96" s="78">
        <v>927.5397300000003</v>
      </c>
      <c r="K96" s="78">
        <v>2260</v>
      </c>
      <c r="L96" s="78">
        <v>2203.5100000000002</v>
      </c>
      <c r="M96" s="78">
        <v>3131</v>
      </c>
      <c r="N96" s="20">
        <v>81628</v>
      </c>
      <c r="O96" s="14"/>
      <c r="P96" s="150" t="s">
        <v>87</v>
      </c>
      <c r="Q96" s="6" t="s">
        <v>241</v>
      </c>
      <c r="R96" s="14">
        <v>31</v>
      </c>
      <c r="S96" s="78">
        <v>80.2</v>
      </c>
      <c r="T96" s="14">
        <v>32340</v>
      </c>
      <c r="U96" s="14">
        <v>777</v>
      </c>
      <c r="V96" s="78">
        <v>921.6</v>
      </c>
      <c r="W96" s="14">
        <v>6189</v>
      </c>
      <c r="X96" s="14">
        <v>1566</v>
      </c>
      <c r="Y96" s="78">
        <v>3791.5</v>
      </c>
      <c r="Z96" s="14">
        <v>14886</v>
      </c>
      <c r="AA96" s="14">
        <v>53415</v>
      </c>
      <c r="AB96" s="14">
        <v>483133</v>
      </c>
      <c r="AC96" s="20">
        <v>44249</v>
      </c>
      <c r="AD96" s="6"/>
    </row>
    <row r="97" spans="1:30" ht="15" customHeight="1" x14ac:dyDescent="0.3">
      <c r="A97" s="150" t="s">
        <v>88</v>
      </c>
      <c r="B97" s="6" t="s">
        <v>240</v>
      </c>
      <c r="C97" s="14">
        <v>352</v>
      </c>
      <c r="D97" s="14">
        <v>95</v>
      </c>
      <c r="E97" s="77">
        <v>0.83879323191082544</v>
      </c>
      <c r="F97" s="78">
        <v>295.3</v>
      </c>
      <c r="G97" s="14">
        <v>0</v>
      </c>
      <c r="H97" s="14">
        <v>1803353</v>
      </c>
      <c r="I97" s="14">
        <v>164</v>
      </c>
      <c r="J97" s="78">
        <v>3396.3134260000033</v>
      </c>
      <c r="K97" s="78">
        <v>27077</v>
      </c>
      <c r="L97" s="78">
        <v>18129.752500000031</v>
      </c>
      <c r="M97" s="78">
        <v>21526.1</v>
      </c>
      <c r="N97" s="20">
        <v>561207</v>
      </c>
      <c r="O97" s="14"/>
      <c r="P97" s="150" t="s">
        <v>88</v>
      </c>
      <c r="Q97" s="6" t="s">
        <v>240</v>
      </c>
      <c r="R97" s="14">
        <v>219</v>
      </c>
      <c r="S97" s="78">
        <v>605.29999999999995</v>
      </c>
      <c r="T97" s="14">
        <v>244086</v>
      </c>
      <c r="U97" s="14">
        <v>3070</v>
      </c>
      <c r="V97" s="78">
        <v>5024.7</v>
      </c>
      <c r="W97" s="14">
        <v>33742</v>
      </c>
      <c r="X97" s="14">
        <v>6671</v>
      </c>
      <c r="Y97" s="78">
        <v>26971.200000000001</v>
      </c>
      <c r="Z97" s="14">
        <v>105893</v>
      </c>
      <c r="AA97" s="14">
        <v>383721</v>
      </c>
      <c r="AB97" s="14">
        <v>2748281</v>
      </c>
      <c r="AC97" s="20">
        <v>115576</v>
      </c>
      <c r="AD97" s="6"/>
    </row>
    <row r="98" spans="1:30" ht="15" customHeight="1" x14ac:dyDescent="0.3">
      <c r="A98" s="150" t="s">
        <v>89</v>
      </c>
      <c r="B98" s="6" t="s">
        <v>244</v>
      </c>
      <c r="C98" s="14">
        <v>123</v>
      </c>
      <c r="D98" s="14">
        <v>0</v>
      </c>
      <c r="E98" s="77">
        <v>1.3751396262438795</v>
      </c>
      <c r="F98" s="78">
        <v>169.1</v>
      </c>
      <c r="G98" s="14">
        <v>0</v>
      </c>
      <c r="H98" s="14">
        <v>1032668</v>
      </c>
      <c r="I98" s="14">
        <v>55</v>
      </c>
      <c r="J98" s="78">
        <v>5050.5474419999964</v>
      </c>
      <c r="K98" s="78">
        <v>10116</v>
      </c>
      <c r="L98" s="78">
        <v>12725.809999999994</v>
      </c>
      <c r="M98" s="78">
        <v>17776.400000000001</v>
      </c>
      <c r="N98" s="20">
        <v>463448</v>
      </c>
      <c r="O98" s="14"/>
      <c r="P98" s="150" t="s">
        <v>89</v>
      </c>
      <c r="Q98" s="6" t="s">
        <v>244</v>
      </c>
      <c r="R98" s="14">
        <v>112</v>
      </c>
      <c r="S98" s="78">
        <v>320.89999999999998</v>
      </c>
      <c r="T98" s="14">
        <v>129402</v>
      </c>
      <c r="U98" s="14">
        <v>733</v>
      </c>
      <c r="V98" s="78">
        <v>1460</v>
      </c>
      <c r="W98" s="14">
        <v>9804</v>
      </c>
      <c r="X98" s="14">
        <v>1717</v>
      </c>
      <c r="Y98" s="78">
        <v>7964.5</v>
      </c>
      <c r="Z98" s="14">
        <v>31270</v>
      </c>
      <c r="AA98" s="14">
        <v>170476</v>
      </c>
      <c r="AB98" s="14">
        <v>1666592</v>
      </c>
      <c r="AC98" s="20">
        <v>87327</v>
      </c>
      <c r="AD98" s="6"/>
    </row>
    <row r="99" spans="1:30" ht="15" customHeight="1" x14ac:dyDescent="0.3">
      <c r="A99" s="150" t="s">
        <v>90</v>
      </c>
      <c r="B99" s="6" t="s">
        <v>243</v>
      </c>
      <c r="C99" s="14">
        <v>68</v>
      </c>
      <c r="D99" s="14">
        <v>0</v>
      </c>
      <c r="E99" s="77">
        <v>1.1168716231336098</v>
      </c>
      <c r="F99" s="78">
        <v>75.900000000000006</v>
      </c>
      <c r="G99" s="14">
        <v>0</v>
      </c>
      <c r="H99" s="14">
        <v>463510</v>
      </c>
      <c r="I99" s="14">
        <v>23</v>
      </c>
      <c r="J99" s="78">
        <v>1096.6220460000002</v>
      </c>
      <c r="K99" s="78">
        <v>4210.5</v>
      </c>
      <c r="L99" s="78">
        <v>3750.5699999999993</v>
      </c>
      <c r="M99" s="78">
        <v>4847.2</v>
      </c>
      <c r="N99" s="20">
        <v>126371</v>
      </c>
      <c r="O99" s="14"/>
      <c r="P99" s="150" t="s">
        <v>90</v>
      </c>
      <c r="Q99" s="6" t="s">
        <v>243</v>
      </c>
      <c r="R99" s="14">
        <v>57</v>
      </c>
      <c r="S99" s="78">
        <v>197.9</v>
      </c>
      <c r="T99" s="14">
        <v>79803</v>
      </c>
      <c r="U99" s="14">
        <v>803.531914893617</v>
      </c>
      <c r="V99" s="78">
        <v>1013.1</v>
      </c>
      <c r="W99" s="14">
        <v>6803</v>
      </c>
      <c r="X99" s="14">
        <v>1431</v>
      </c>
      <c r="Y99" s="78">
        <v>5942.5</v>
      </c>
      <c r="Z99" s="14">
        <v>23331</v>
      </c>
      <c r="AA99" s="14">
        <v>109937</v>
      </c>
      <c r="AB99" s="14">
        <v>699818</v>
      </c>
      <c r="AC99" s="20">
        <v>28448</v>
      </c>
      <c r="AD99" s="6"/>
    </row>
    <row r="100" spans="1:30" ht="15" customHeight="1" x14ac:dyDescent="0.3">
      <c r="A100" s="150" t="s">
        <v>91</v>
      </c>
      <c r="B100" s="6" t="s">
        <v>238</v>
      </c>
      <c r="C100" s="14">
        <v>179</v>
      </c>
      <c r="D100" s="14">
        <v>0</v>
      </c>
      <c r="E100" s="77">
        <v>0.84292199849907046</v>
      </c>
      <c r="F100" s="78">
        <v>150.9</v>
      </c>
      <c r="G100" s="14">
        <v>5000</v>
      </c>
      <c r="H100" s="14">
        <v>926524</v>
      </c>
      <c r="I100" s="14">
        <v>78</v>
      </c>
      <c r="J100" s="78">
        <v>3228.6605510000004</v>
      </c>
      <c r="K100" s="78">
        <v>12818</v>
      </c>
      <c r="L100" s="78">
        <v>9801.3799999999974</v>
      </c>
      <c r="M100" s="78">
        <v>13030</v>
      </c>
      <c r="N100" s="20">
        <v>339705</v>
      </c>
      <c r="O100" s="14"/>
      <c r="P100" s="150" t="s">
        <v>91</v>
      </c>
      <c r="Q100" s="6" t="s">
        <v>238</v>
      </c>
      <c r="R100" s="14">
        <v>72</v>
      </c>
      <c r="S100" s="78">
        <v>260.89999999999998</v>
      </c>
      <c r="T100" s="14">
        <v>105207</v>
      </c>
      <c r="U100" s="14">
        <v>755</v>
      </c>
      <c r="V100" s="78">
        <v>1285.3</v>
      </c>
      <c r="W100" s="14">
        <v>8631</v>
      </c>
      <c r="X100" s="14">
        <v>2615</v>
      </c>
      <c r="Y100" s="78">
        <v>14477.1</v>
      </c>
      <c r="Z100" s="14">
        <v>56839</v>
      </c>
      <c r="AA100" s="14">
        <v>170677</v>
      </c>
      <c r="AB100" s="14">
        <v>1436906</v>
      </c>
      <c r="AC100" s="20">
        <v>49679</v>
      </c>
      <c r="AD100" s="6"/>
    </row>
    <row r="101" spans="1:30" ht="15" customHeight="1" x14ac:dyDescent="0.3">
      <c r="A101" s="150" t="s">
        <v>92</v>
      </c>
      <c r="B101" s="6" t="s">
        <v>237</v>
      </c>
      <c r="C101" s="14">
        <v>1829</v>
      </c>
      <c r="D101" s="14">
        <v>125</v>
      </c>
      <c r="E101" s="77">
        <v>1.0029856716206831</v>
      </c>
      <c r="F101" s="78">
        <v>1834.5</v>
      </c>
      <c r="G101" s="14">
        <v>46000</v>
      </c>
      <c r="H101" s="14">
        <v>11249016</v>
      </c>
      <c r="I101" s="14">
        <v>789</v>
      </c>
      <c r="J101" s="78">
        <v>34587.336420999774</v>
      </c>
      <c r="K101" s="78">
        <v>147992</v>
      </c>
      <c r="L101" s="78">
        <v>126783.97499999987</v>
      </c>
      <c r="M101" s="78">
        <v>161371.29999999999</v>
      </c>
      <c r="N101" s="20">
        <v>4207110</v>
      </c>
      <c r="O101" s="14"/>
      <c r="P101" s="150" t="s">
        <v>92</v>
      </c>
      <c r="Q101" s="6" t="s">
        <v>237</v>
      </c>
      <c r="R101" s="14">
        <v>1230</v>
      </c>
      <c r="S101" s="78">
        <v>3907.2</v>
      </c>
      <c r="T101" s="14">
        <v>1575569</v>
      </c>
      <c r="U101" s="14">
        <v>13868</v>
      </c>
      <c r="V101" s="78">
        <v>21388.7</v>
      </c>
      <c r="W101" s="14">
        <v>143629</v>
      </c>
      <c r="X101" s="14">
        <v>23936.417542827734</v>
      </c>
      <c r="Y101" s="78">
        <v>120918</v>
      </c>
      <c r="Z101" s="14">
        <v>474743</v>
      </c>
      <c r="AA101" s="14">
        <v>2193941</v>
      </c>
      <c r="AB101" s="14">
        <v>17650067</v>
      </c>
      <c r="AC101" s="20">
        <v>0</v>
      </c>
      <c r="AD101" s="6"/>
    </row>
    <row r="102" spans="1:30" ht="15" customHeight="1" x14ac:dyDescent="0.3">
      <c r="A102" s="150" t="s">
        <v>93</v>
      </c>
      <c r="B102" s="6" t="s">
        <v>236</v>
      </c>
      <c r="C102" s="14">
        <v>120</v>
      </c>
      <c r="D102" s="14">
        <v>0</v>
      </c>
      <c r="E102" s="77">
        <v>0.86678513794377843</v>
      </c>
      <c r="F102" s="78">
        <v>104</v>
      </c>
      <c r="G102" s="14">
        <v>0</v>
      </c>
      <c r="H102" s="14">
        <v>635112</v>
      </c>
      <c r="I102" s="14">
        <v>94</v>
      </c>
      <c r="J102" s="78">
        <v>1049.4896790000025</v>
      </c>
      <c r="K102" s="78">
        <v>14160.000000000004</v>
      </c>
      <c r="L102" s="78">
        <v>7179.1200000000063</v>
      </c>
      <c r="M102" s="78">
        <v>8228.6</v>
      </c>
      <c r="N102" s="20">
        <v>214528</v>
      </c>
      <c r="O102" s="14"/>
      <c r="P102" s="150" t="s">
        <v>93</v>
      </c>
      <c r="Q102" s="6" t="s">
        <v>236</v>
      </c>
      <c r="R102" s="14">
        <v>97</v>
      </c>
      <c r="S102" s="78">
        <v>157.1</v>
      </c>
      <c r="T102" s="14">
        <v>63350</v>
      </c>
      <c r="U102" s="14">
        <v>556</v>
      </c>
      <c r="V102" s="78">
        <v>664.1</v>
      </c>
      <c r="W102" s="14">
        <v>4460</v>
      </c>
      <c r="X102" s="14">
        <v>3040.3278688524592</v>
      </c>
      <c r="Y102" s="78">
        <v>11857.3</v>
      </c>
      <c r="Z102" s="14">
        <v>46554</v>
      </c>
      <c r="AA102" s="14">
        <v>114364</v>
      </c>
      <c r="AB102" s="14">
        <v>964004</v>
      </c>
      <c r="AC102" s="20">
        <v>133240</v>
      </c>
      <c r="AD102" s="6"/>
    </row>
    <row r="103" spans="1:30" ht="15" customHeight="1" x14ac:dyDescent="0.3">
      <c r="A103" s="150" t="s">
        <v>456</v>
      </c>
      <c r="B103" s="6" t="s">
        <v>259</v>
      </c>
      <c r="C103" s="14">
        <v>1460</v>
      </c>
      <c r="D103" s="14">
        <v>0</v>
      </c>
      <c r="E103" s="77">
        <v>0.74510981906337337</v>
      </c>
      <c r="F103" s="78">
        <v>1087.9000000000001</v>
      </c>
      <c r="G103" s="14">
        <v>0</v>
      </c>
      <c r="H103" s="14">
        <v>6643642</v>
      </c>
      <c r="I103" s="14">
        <v>962</v>
      </c>
      <c r="J103" s="78">
        <v>15622.31646399997</v>
      </c>
      <c r="K103" s="78">
        <v>167136.0714284</v>
      </c>
      <c r="L103" s="78">
        <v>97710.713214199204</v>
      </c>
      <c r="M103" s="78">
        <v>113333</v>
      </c>
      <c r="N103" s="20">
        <v>2954704</v>
      </c>
      <c r="O103" s="14"/>
      <c r="P103" s="150" t="s">
        <v>456</v>
      </c>
      <c r="Q103" s="6" t="s">
        <v>259</v>
      </c>
      <c r="R103" s="14">
        <v>1591</v>
      </c>
      <c r="S103" s="78">
        <v>3091.5</v>
      </c>
      <c r="T103" s="14">
        <v>1246640</v>
      </c>
      <c r="U103" s="14">
        <v>12496.222496909766</v>
      </c>
      <c r="V103" s="78">
        <v>27191.1</v>
      </c>
      <c r="W103" s="14">
        <v>182594</v>
      </c>
      <c r="X103" s="14">
        <v>18185.604790419162</v>
      </c>
      <c r="Y103" s="78">
        <v>118378.8</v>
      </c>
      <c r="Z103" s="14">
        <v>464774</v>
      </c>
      <c r="AA103" s="14">
        <v>1894008</v>
      </c>
      <c r="AB103" s="14">
        <v>11492354</v>
      </c>
      <c r="AC103" s="20">
        <v>1474103</v>
      </c>
      <c r="AD103" s="6"/>
    </row>
    <row r="104" spans="1:30" ht="15" customHeight="1" x14ac:dyDescent="0.3">
      <c r="A104" s="150" t="s">
        <v>94</v>
      </c>
      <c r="B104" s="6" t="s">
        <v>235</v>
      </c>
      <c r="C104" s="14">
        <v>41</v>
      </c>
      <c r="D104" s="14">
        <v>0</v>
      </c>
      <c r="E104" s="77">
        <v>0.75172908073429723</v>
      </c>
      <c r="F104" s="78">
        <v>30.8</v>
      </c>
      <c r="G104" s="14">
        <v>0</v>
      </c>
      <c r="H104" s="14">
        <v>188091</v>
      </c>
      <c r="I104" s="14">
        <v>22</v>
      </c>
      <c r="J104" s="78">
        <v>255.52793199999994</v>
      </c>
      <c r="K104" s="78">
        <v>3535</v>
      </c>
      <c r="L104" s="78">
        <v>1822.2449999999985</v>
      </c>
      <c r="M104" s="78">
        <v>2077.8000000000002</v>
      </c>
      <c r="N104" s="20">
        <v>54170</v>
      </c>
      <c r="O104" s="14"/>
      <c r="P104" s="150" t="s">
        <v>94</v>
      </c>
      <c r="Q104" s="6" t="s">
        <v>235</v>
      </c>
      <c r="R104" s="14">
        <v>42</v>
      </c>
      <c r="S104" s="78">
        <v>83.2</v>
      </c>
      <c r="T104" s="14">
        <v>33550</v>
      </c>
      <c r="U104" s="14">
        <v>106</v>
      </c>
      <c r="V104" s="78">
        <v>258.10000000000002</v>
      </c>
      <c r="W104" s="14">
        <v>1733</v>
      </c>
      <c r="X104" s="14">
        <v>710</v>
      </c>
      <c r="Y104" s="78">
        <v>3029.1</v>
      </c>
      <c r="Z104" s="14">
        <v>11893</v>
      </c>
      <c r="AA104" s="14">
        <v>47176</v>
      </c>
      <c r="AB104" s="14">
        <v>289437</v>
      </c>
      <c r="AC104" s="20">
        <v>15537</v>
      </c>
      <c r="AD104" s="6"/>
    </row>
    <row r="105" spans="1:30" ht="15" customHeight="1" x14ac:dyDescent="0.3">
      <c r="A105" s="150" t="s">
        <v>95</v>
      </c>
      <c r="B105" s="6" t="s">
        <v>234</v>
      </c>
      <c r="C105" s="14">
        <v>53</v>
      </c>
      <c r="D105" s="14">
        <v>0</v>
      </c>
      <c r="E105" s="77">
        <v>1.1389027516163381</v>
      </c>
      <c r="F105" s="78">
        <v>60.4</v>
      </c>
      <c r="G105" s="14">
        <v>0</v>
      </c>
      <c r="H105" s="14">
        <v>368854</v>
      </c>
      <c r="I105" s="14">
        <v>29</v>
      </c>
      <c r="J105" s="78">
        <v>879.70032000000015</v>
      </c>
      <c r="K105" s="78">
        <v>4469</v>
      </c>
      <c r="L105" s="78">
        <v>3690.29</v>
      </c>
      <c r="M105" s="78">
        <v>4570</v>
      </c>
      <c r="N105" s="20">
        <v>119144</v>
      </c>
      <c r="O105" s="14"/>
      <c r="P105" s="150" t="s">
        <v>95</v>
      </c>
      <c r="Q105" s="6" t="s">
        <v>234</v>
      </c>
      <c r="R105" s="14">
        <v>26</v>
      </c>
      <c r="S105" s="78">
        <v>59.1</v>
      </c>
      <c r="T105" s="14">
        <v>23832</v>
      </c>
      <c r="U105" s="14">
        <v>359</v>
      </c>
      <c r="V105" s="78">
        <v>684.9</v>
      </c>
      <c r="W105" s="14">
        <v>4599</v>
      </c>
      <c r="X105" s="14">
        <v>1008.8823529411765</v>
      </c>
      <c r="Y105" s="78">
        <v>4321.8999999999996</v>
      </c>
      <c r="Z105" s="14">
        <v>16968</v>
      </c>
      <c r="AA105" s="14">
        <v>45399</v>
      </c>
      <c r="AB105" s="14">
        <v>533397</v>
      </c>
      <c r="AC105" s="20">
        <v>32876</v>
      </c>
      <c r="AD105" s="6"/>
    </row>
    <row r="106" spans="1:30" ht="15" customHeight="1" x14ac:dyDescent="0.3">
      <c r="A106" s="150" t="s">
        <v>96</v>
      </c>
      <c r="B106" s="6" t="s">
        <v>233</v>
      </c>
      <c r="C106" s="14">
        <v>3190</v>
      </c>
      <c r="D106" s="14">
        <v>270</v>
      </c>
      <c r="E106" s="77">
        <v>1.2413356612353084</v>
      </c>
      <c r="F106" s="78">
        <v>3959.9</v>
      </c>
      <c r="G106" s="14">
        <v>56000</v>
      </c>
      <c r="H106" s="14">
        <v>24238515</v>
      </c>
      <c r="I106" s="14">
        <v>1185</v>
      </c>
      <c r="J106" s="78">
        <v>61306.721806000474</v>
      </c>
      <c r="K106" s="78">
        <v>207249</v>
      </c>
      <c r="L106" s="78">
        <v>205734.08499999932</v>
      </c>
      <c r="M106" s="78">
        <v>267040.8</v>
      </c>
      <c r="N106" s="20">
        <v>6962018</v>
      </c>
      <c r="O106" s="14"/>
      <c r="P106" s="150" t="s">
        <v>96</v>
      </c>
      <c r="Q106" s="6" t="s">
        <v>233</v>
      </c>
      <c r="R106" s="14">
        <v>2086</v>
      </c>
      <c r="S106" s="78">
        <v>6713.1</v>
      </c>
      <c r="T106" s="14">
        <v>2707041</v>
      </c>
      <c r="U106" s="14">
        <v>30329</v>
      </c>
      <c r="V106" s="78">
        <v>37790.9</v>
      </c>
      <c r="W106" s="14">
        <v>253774</v>
      </c>
      <c r="X106" s="14">
        <v>59973.187763713075</v>
      </c>
      <c r="Y106" s="78">
        <v>184155.7</v>
      </c>
      <c r="Z106" s="14">
        <v>723024</v>
      </c>
      <c r="AA106" s="14">
        <v>3683839</v>
      </c>
      <c r="AB106" s="14">
        <v>34879372</v>
      </c>
      <c r="AC106" s="20">
        <v>0</v>
      </c>
      <c r="AD106" s="6"/>
    </row>
    <row r="107" spans="1:30" ht="15" customHeight="1" x14ac:dyDescent="0.3">
      <c r="A107" s="150" t="s">
        <v>97</v>
      </c>
      <c r="B107" s="6" t="s">
        <v>231</v>
      </c>
      <c r="C107" s="14">
        <v>1922</v>
      </c>
      <c r="D107" s="14">
        <v>180</v>
      </c>
      <c r="E107" s="77">
        <v>1.0812753070490888</v>
      </c>
      <c r="F107" s="78">
        <v>2078.1999999999998</v>
      </c>
      <c r="G107" s="14">
        <v>0</v>
      </c>
      <c r="H107" s="14">
        <v>12691256</v>
      </c>
      <c r="I107" s="14">
        <v>759</v>
      </c>
      <c r="J107" s="78">
        <v>38219.18419499966</v>
      </c>
      <c r="K107" s="78">
        <v>145992</v>
      </c>
      <c r="L107" s="78">
        <v>140202.66250000021</v>
      </c>
      <c r="M107" s="78">
        <v>178421.8</v>
      </c>
      <c r="N107" s="20">
        <v>4651633</v>
      </c>
      <c r="O107" s="14"/>
      <c r="P107" s="150" t="s">
        <v>97</v>
      </c>
      <c r="Q107" s="6" t="s">
        <v>231</v>
      </c>
      <c r="R107" s="14">
        <v>1421</v>
      </c>
      <c r="S107" s="78">
        <v>4265</v>
      </c>
      <c r="T107" s="14">
        <v>1719851</v>
      </c>
      <c r="U107" s="14">
        <v>9654</v>
      </c>
      <c r="V107" s="78">
        <v>20239.2</v>
      </c>
      <c r="W107" s="14">
        <v>135910</v>
      </c>
      <c r="X107" s="14">
        <v>19518.510144927535</v>
      </c>
      <c r="Y107" s="78">
        <v>105322.9</v>
      </c>
      <c r="Z107" s="14">
        <v>413514</v>
      </c>
      <c r="AA107" s="14">
        <v>2269275</v>
      </c>
      <c r="AB107" s="14">
        <v>19612164</v>
      </c>
      <c r="AC107" s="20">
        <v>0</v>
      </c>
      <c r="AD107" s="6"/>
    </row>
    <row r="108" spans="1:30" ht="15" customHeight="1" x14ac:dyDescent="0.3">
      <c r="A108" s="150" t="s">
        <v>98</v>
      </c>
      <c r="B108" s="6" t="s">
        <v>230</v>
      </c>
      <c r="C108" s="14">
        <v>3849</v>
      </c>
      <c r="D108" s="14">
        <v>45</v>
      </c>
      <c r="E108" s="77">
        <v>1.0565496388351492</v>
      </c>
      <c r="F108" s="78">
        <v>4066.7</v>
      </c>
      <c r="G108" s="14">
        <v>100000</v>
      </c>
      <c r="H108" s="14">
        <v>24934727</v>
      </c>
      <c r="I108" s="14">
        <v>1500</v>
      </c>
      <c r="J108" s="78">
        <v>58628.006216000111</v>
      </c>
      <c r="K108" s="78">
        <v>264716</v>
      </c>
      <c r="L108" s="78">
        <v>224252.40050000045</v>
      </c>
      <c r="M108" s="78">
        <v>282880.40000000002</v>
      </c>
      <c r="N108" s="20">
        <v>7374972</v>
      </c>
      <c r="O108" s="14"/>
      <c r="P108" s="150" t="s">
        <v>98</v>
      </c>
      <c r="Q108" s="6" t="s">
        <v>230</v>
      </c>
      <c r="R108" s="14">
        <v>2013</v>
      </c>
      <c r="S108" s="78">
        <v>6138.5</v>
      </c>
      <c r="T108" s="14">
        <v>2475335</v>
      </c>
      <c r="U108" s="14">
        <v>20813.826875515253</v>
      </c>
      <c r="V108" s="78">
        <v>41637</v>
      </c>
      <c r="W108" s="14">
        <v>279601</v>
      </c>
      <c r="X108" s="14">
        <v>18330.964285714286</v>
      </c>
      <c r="Y108" s="78">
        <v>123061.4</v>
      </c>
      <c r="Z108" s="14">
        <v>483159</v>
      </c>
      <c r="AA108" s="14">
        <v>3238095</v>
      </c>
      <c r="AB108" s="14">
        <v>35542794</v>
      </c>
      <c r="AC108" s="20">
        <v>0</v>
      </c>
      <c r="AD108" s="6"/>
    </row>
    <row r="109" spans="1:30" ht="15" customHeight="1" x14ac:dyDescent="0.3">
      <c r="A109" s="150" t="s">
        <v>99</v>
      </c>
      <c r="B109" s="6" t="s">
        <v>229</v>
      </c>
      <c r="C109" s="14">
        <v>2392</v>
      </c>
      <c r="D109" s="14">
        <v>290</v>
      </c>
      <c r="E109" s="77">
        <v>1.0324262271163047</v>
      </c>
      <c r="F109" s="78">
        <v>2469.6</v>
      </c>
      <c r="G109" s="14">
        <v>30000</v>
      </c>
      <c r="H109" s="14">
        <v>15111477</v>
      </c>
      <c r="I109" s="14">
        <v>906</v>
      </c>
      <c r="J109" s="78">
        <v>43738.903176999855</v>
      </c>
      <c r="K109" s="78">
        <v>179616.5</v>
      </c>
      <c r="L109" s="78">
        <v>167918.56000000052</v>
      </c>
      <c r="M109" s="78">
        <v>211657.5</v>
      </c>
      <c r="N109" s="20">
        <v>5518121</v>
      </c>
      <c r="O109" s="14"/>
      <c r="P109" s="150" t="s">
        <v>99</v>
      </c>
      <c r="Q109" s="6" t="s">
        <v>229</v>
      </c>
      <c r="R109" s="14">
        <v>1452</v>
      </c>
      <c r="S109" s="78">
        <v>4168.3</v>
      </c>
      <c r="T109" s="14">
        <v>1680857</v>
      </c>
      <c r="U109" s="14">
        <v>18412.996313364056</v>
      </c>
      <c r="V109" s="78">
        <v>27267.9</v>
      </c>
      <c r="W109" s="14">
        <v>183110</v>
      </c>
      <c r="X109" s="14">
        <v>37038.550863742617</v>
      </c>
      <c r="Y109" s="78">
        <v>149468.79999999999</v>
      </c>
      <c r="Z109" s="14">
        <v>586838</v>
      </c>
      <c r="AA109" s="14">
        <v>2450805</v>
      </c>
      <c r="AB109" s="14">
        <v>23080403</v>
      </c>
      <c r="AC109" s="20">
        <v>0</v>
      </c>
      <c r="AD109" s="6"/>
    </row>
    <row r="110" spans="1:30" ht="15" customHeight="1" x14ac:dyDescent="0.3">
      <c r="A110" s="150" t="s">
        <v>100</v>
      </c>
      <c r="B110" s="6" t="s">
        <v>228</v>
      </c>
      <c r="C110" s="14">
        <v>6002</v>
      </c>
      <c r="D110" s="14">
        <v>465</v>
      </c>
      <c r="E110" s="77">
        <v>1.1057149142265796</v>
      </c>
      <c r="F110" s="78">
        <v>6636.5</v>
      </c>
      <c r="G110" s="14">
        <v>125000</v>
      </c>
      <c r="H110" s="14">
        <v>40653110</v>
      </c>
      <c r="I110" s="14">
        <v>2107</v>
      </c>
      <c r="J110" s="78">
        <v>96852.110088999034</v>
      </c>
      <c r="K110" s="78">
        <v>388105.50000001997</v>
      </c>
      <c r="L110" s="78">
        <v>355560.56450000452</v>
      </c>
      <c r="M110" s="78">
        <v>452412.7</v>
      </c>
      <c r="N110" s="20">
        <v>11794847</v>
      </c>
      <c r="O110" s="14"/>
      <c r="P110" s="150" t="s">
        <v>100</v>
      </c>
      <c r="Q110" s="6" t="s">
        <v>228</v>
      </c>
      <c r="R110" s="14">
        <v>4011</v>
      </c>
      <c r="S110" s="78">
        <v>12272.5</v>
      </c>
      <c r="T110" s="14">
        <v>4948856</v>
      </c>
      <c r="U110" s="14">
        <v>39343</v>
      </c>
      <c r="V110" s="78">
        <v>65407.3</v>
      </c>
      <c r="W110" s="14">
        <v>439223</v>
      </c>
      <c r="X110" s="14">
        <v>58373</v>
      </c>
      <c r="Y110" s="78">
        <v>298362.40000000002</v>
      </c>
      <c r="Z110" s="14">
        <v>1171418</v>
      </c>
      <c r="AA110" s="14">
        <v>6559497</v>
      </c>
      <c r="AB110" s="14">
        <v>59002454</v>
      </c>
      <c r="AC110" s="20">
        <v>0</v>
      </c>
      <c r="AD110" s="6"/>
    </row>
    <row r="111" spans="1:30" ht="15" customHeight="1" x14ac:dyDescent="0.3">
      <c r="A111" s="150" t="s">
        <v>101</v>
      </c>
      <c r="B111" s="6" t="s">
        <v>227</v>
      </c>
      <c r="C111" s="14">
        <v>4782</v>
      </c>
      <c r="D111" s="14">
        <v>430</v>
      </c>
      <c r="E111" s="77">
        <v>1.1367882360941244</v>
      </c>
      <c r="F111" s="78">
        <v>5436.1</v>
      </c>
      <c r="G111" s="14">
        <v>55000</v>
      </c>
      <c r="H111" s="14">
        <v>33252447</v>
      </c>
      <c r="I111" s="14">
        <v>1815</v>
      </c>
      <c r="J111" s="78">
        <v>92660.206864998865</v>
      </c>
      <c r="K111" s="78">
        <v>314020</v>
      </c>
      <c r="L111" s="78">
        <v>297431.86449999717</v>
      </c>
      <c r="M111" s="78">
        <v>390092.1</v>
      </c>
      <c r="N111" s="20">
        <v>10170087</v>
      </c>
      <c r="O111" s="14"/>
      <c r="P111" s="150" t="s">
        <v>101</v>
      </c>
      <c r="Q111" s="6" t="s">
        <v>227</v>
      </c>
      <c r="R111" s="14">
        <v>3329</v>
      </c>
      <c r="S111" s="78">
        <v>9897.2000000000007</v>
      </c>
      <c r="T111" s="14">
        <v>3991022</v>
      </c>
      <c r="U111" s="14">
        <v>32234.342399999998</v>
      </c>
      <c r="V111" s="78">
        <v>49337</v>
      </c>
      <c r="W111" s="14">
        <v>331308</v>
      </c>
      <c r="X111" s="14">
        <v>52195.287500000006</v>
      </c>
      <c r="Y111" s="78">
        <v>258638.9</v>
      </c>
      <c r="Z111" s="14">
        <v>1015457</v>
      </c>
      <c r="AA111" s="14">
        <v>5337787</v>
      </c>
      <c r="AB111" s="14">
        <v>48760321</v>
      </c>
      <c r="AC111" s="20">
        <v>0</v>
      </c>
      <c r="AD111" s="6"/>
    </row>
    <row r="112" spans="1:30" ht="15" customHeight="1" x14ac:dyDescent="0.3">
      <c r="A112" s="150" t="s">
        <v>102</v>
      </c>
      <c r="B112" s="6" t="s">
        <v>226</v>
      </c>
      <c r="C112" s="14">
        <v>2160</v>
      </c>
      <c r="D112" s="14">
        <v>110</v>
      </c>
      <c r="E112" s="77">
        <v>1.0760267665384224</v>
      </c>
      <c r="F112" s="78">
        <v>2324.1999999999998</v>
      </c>
      <c r="G112" s="14">
        <v>64000</v>
      </c>
      <c r="H112" s="14">
        <v>14257541</v>
      </c>
      <c r="I112" s="14">
        <v>718</v>
      </c>
      <c r="J112" s="78">
        <v>33115.045875000171</v>
      </c>
      <c r="K112" s="78">
        <v>133514</v>
      </c>
      <c r="L112" s="78">
        <v>122405.32000000081</v>
      </c>
      <c r="M112" s="78">
        <v>155520.4</v>
      </c>
      <c r="N112" s="20">
        <v>4054571</v>
      </c>
      <c r="O112" s="14"/>
      <c r="P112" s="150" t="s">
        <v>102</v>
      </c>
      <c r="Q112" s="6" t="s">
        <v>226</v>
      </c>
      <c r="R112" s="14">
        <v>1613</v>
      </c>
      <c r="S112" s="78">
        <v>4472.6000000000004</v>
      </c>
      <c r="T112" s="14">
        <v>1803565</v>
      </c>
      <c r="U112" s="14">
        <v>11850</v>
      </c>
      <c r="V112" s="78">
        <v>23601.4</v>
      </c>
      <c r="W112" s="14">
        <v>158488</v>
      </c>
      <c r="X112" s="14">
        <v>20535</v>
      </c>
      <c r="Y112" s="78">
        <v>109709.7</v>
      </c>
      <c r="Z112" s="14">
        <v>430738</v>
      </c>
      <c r="AA112" s="14">
        <v>2392791</v>
      </c>
      <c r="AB112" s="14">
        <v>20704903</v>
      </c>
      <c r="AC112" s="20">
        <v>750222</v>
      </c>
      <c r="AD112" s="6"/>
    </row>
    <row r="113" spans="1:30" ht="15" customHeight="1" x14ac:dyDescent="0.3">
      <c r="A113" s="150" t="s">
        <v>151</v>
      </c>
      <c r="B113" s="6" t="s">
        <v>225</v>
      </c>
      <c r="C113" s="14">
        <v>60</v>
      </c>
      <c r="D113" s="14">
        <v>0</v>
      </c>
      <c r="E113" s="77">
        <v>1.0324191996025973</v>
      </c>
      <c r="F113" s="78">
        <v>61.9</v>
      </c>
      <c r="G113" s="14">
        <v>5885000</v>
      </c>
      <c r="H113" s="14">
        <v>6263014</v>
      </c>
      <c r="I113" s="14">
        <v>0</v>
      </c>
      <c r="J113" s="78">
        <v>0</v>
      </c>
      <c r="K113" s="78">
        <v>0</v>
      </c>
      <c r="L113" s="78">
        <v>0</v>
      </c>
      <c r="M113" s="78">
        <v>0</v>
      </c>
      <c r="N113" s="20">
        <v>0</v>
      </c>
      <c r="O113" s="14"/>
      <c r="P113" s="150" t="s">
        <v>151</v>
      </c>
      <c r="Q113" s="6" t="s">
        <v>225</v>
      </c>
      <c r="R113" s="14">
        <v>0</v>
      </c>
      <c r="S113" s="78">
        <v>0</v>
      </c>
      <c r="T113" s="14">
        <v>0</v>
      </c>
      <c r="U113" s="14">
        <v>0</v>
      </c>
      <c r="V113" s="78">
        <v>0</v>
      </c>
      <c r="W113" s="14">
        <v>0</v>
      </c>
      <c r="X113" s="14">
        <v>0</v>
      </c>
      <c r="Y113" s="78">
        <v>0</v>
      </c>
      <c r="Z113" s="14">
        <v>0</v>
      </c>
      <c r="AA113" s="14">
        <v>0</v>
      </c>
      <c r="AB113" s="14">
        <v>6263014</v>
      </c>
      <c r="AC113" s="20">
        <v>884679</v>
      </c>
      <c r="AD113" s="6"/>
    </row>
    <row r="114" spans="1:30" ht="15" customHeight="1" x14ac:dyDescent="0.3">
      <c r="A114" s="150" t="s">
        <v>103</v>
      </c>
      <c r="B114" s="6" t="s">
        <v>223</v>
      </c>
      <c r="C114" s="14">
        <v>27</v>
      </c>
      <c r="D114" s="14">
        <v>0</v>
      </c>
      <c r="E114" s="77">
        <v>1.1048244649352836</v>
      </c>
      <c r="F114" s="78">
        <v>29.8</v>
      </c>
      <c r="G114" s="14">
        <v>270000</v>
      </c>
      <c r="H114" s="14">
        <v>451984</v>
      </c>
      <c r="I114" s="14">
        <v>6</v>
      </c>
      <c r="J114" s="78">
        <v>462.24000000000007</v>
      </c>
      <c r="K114" s="78">
        <v>2816</v>
      </c>
      <c r="L114" s="78">
        <v>2890.4500000000003</v>
      </c>
      <c r="M114" s="78">
        <v>3352.7</v>
      </c>
      <c r="N114" s="20">
        <v>87408</v>
      </c>
      <c r="O114" s="14"/>
      <c r="P114" s="150" t="s">
        <v>103</v>
      </c>
      <c r="Q114" s="6" t="s">
        <v>223</v>
      </c>
      <c r="R114" s="14">
        <v>12</v>
      </c>
      <c r="S114" s="78">
        <v>62</v>
      </c>
      <c r="T114" s="14">
        <v>25001</v>
      </c>
      <c r="U114" s="14">
        <v>175</v>
      </c>
      <c r="V114" s="78">
        <v>194.4</v>
      </c>
      <c r="W114" s="14">
        <v>1305</v>
      </c>
      <c r="X114" s="14">
        <v>206</v>
      </c>
      <c r="Y114" s="78">
        <v>1261.0999999999999</v>
      </c>
      <c r="Z114" s="14">
        <v>4951</v>
      </c>
      <c r="AA114" s="14">
        <v>31257</v>
      </c>
      <c r="AB114" s="14">
        <v>570649</v>
      </c>
      <c r="AC114" s="20">
        <v>47724</v>
      </c>
      <c r="AD114" s="6"/>
    </row>
    <row r="115" spans="1:30" ht="15" customHeight="1" x14ac:dyDescent="0.3">
      <c r="A115" s="150" t="s">
        <v>133</v>
      </c>
      <c r="B115" s="6" t="s">
        <v>222</v>
      </c>
      <c r="C115" s="14">
        <v>21</v>
      </c>
      <c r="D115" s="14">
        <v>0</v>
      </c>
      <c r="E115" s="77">
        <v>0.99509999999999899</v>
      </c>
      <c r="F115" s="78">
        <v>20.9</v>
      </c>
      <c r="G115" s="14">
        <v>0</v>
      </c>
      <c r="H115" s="14">
        <v>127633</v>
      </c>
      <c r="I115" s="14">
        <v>9</v>
      </c>
      <c r="J115" s="78">
        <v>112.67100000000002</v>
      </c>
      <c r="K115" s="78">
        <v>2180</v>
      </c>
      <c r="L115" s="78">
        <v>1516.190000000001</v>
      </c>
      <c r="M115" s="78">
        <v>1628.9</v>
      </c>
      <c r="N115" s="20">
        <v>42467</v>
      </c>
      <c r="O115" s="14"/>
      <c r="P115" s="150" t="s">
        <v>133</v>
      </c>
      <c r="Q115" s="6" t="s">
        <v>222</v>
      </c>
      <c r="R115" s="14">
        <v>33</v>
      </c>
      <c r="S115" s="78">
        <v>56.8</v>
      </c>
      <c r="T115" s="14">
        <v>22904</v>
      </c>
      <c r="U115" s="14">
        <v>470</v>
      </c>
      <c r="V115" s="78">
        <v>522.20000000000005</v>
      </c>
      <c r="W115" s="14">
        <v>3507</v>
      </c>
      <c r="X115" s="14">
        <v>512</v>
      </c>
      <c r="Y115" s="78">
        <v>2298.6999999999998</v>
      </c>
      <c r="Z115" s="14">
        <v>9025</v>
      </c>
      <c r="AA115" s="14">
        <v>35436</v>
      </c>
      <c r="AB115" s="14">
        <v>205536</v>
      </c>
      <c r="AC115" s="20">
        <v>21876</v>
      </c>
      <c r="AD115" s="6"/>
    </row>
    <row r="116" spans="1:30" ht="15" customHeight="1" x14ac:dyDescent="0.3">
      <c r="A116" s="150" t="s">
        <v>104</v>
      </c>
      <c r="B116" s="6" t="s">
        <v>221</v>
      </c>
      <c r="C116" s="14">
        <v>104</v>
      </c>
      <c r="D116" s="14">
        <v>0</v>
      </c>
      <c r="E116" s="77">
        <v>1.534284442562452</v>
      </c>
      <c r="F116" s="78">
        <v>159.6</v>
      </c>
      <c r="G116" s="14">
        <v>0</v>
      </c>
      <c r="H116" s="14">
        <v>974653</v>
      </c>
      <c r="I116" s="14">
        <v>27</v>
      </c>
      <c r="J116" s="78">
        <v>1467.7008300000005</v>
      </c>
      <c r="K116" s="78">
        <v>8235</v>
      </c>
      <c r="L116" s="78">
        <v>8841.1200000000026</v>
      </c>
      <c r="M116" s="78">
        <v>10308.799999999999</v>
      </c>
      <c r="N116" s="20">
        <v>268761</v>
      </c>
      <c r="O116" s="14"/>
      <c r="P116" s="150" t="s">
        <v>104</v>
      </c>
      <c r="Q116" s="6" t="s">
        <v>221</v>
      </c>
      <c r="R116" s="14">
        <v>29</v>
      </c>
      <c r="S116" s="78">
        <v>139.4</v>
      </c>
      <c r="T116" s="14">
        <v>56213</v>
      </c>
      <c r="U116" s="14">
        <v>565.13513513513522</v>
      </c>
      <c r="V116" s="78">
        <v>731.4</v>
      </c>
      <c r="W116" s="14">
        <v>4912</v>
      </c>
      <c r="X116" s="14">
        <v>1027</v>
      </c>
      <c r="Y116" s="78">
        <v>4872.8</v>
      </c>
      <c r="Z116" s="14">
        <v>19131</v>
      </c>
      <c r="AA116" s="14">
        <v>80256</v>
      </c>
      <c r="AB116" s="14">
        <v>1323670</v>
      </c>
      <c r="AC116" s="20">
        <v>78546</v>
      </c>
      <c r="AD116" s="6"/>
    </row>
    <row r="117" spans="1:30" ht="15" customHeight="1" x14ac:dyDescent="0.3">
      <c r="A117" s="150" t="s">
        <v>105</v>
      </c>
      <c r="B117" s="6" t="s">
        <v>220</v>
      </c>
      <c r="C117" s="14">
        <v>282</v>
      </c>
      <c r="D117" s="14">
        <v>0</v>
      </c>
      <c r="E117" s="77">
        <v>1.3696266519247111</v>
      </c>
      <c r="F117" s="78">
        <v>386.2</v>
      </c>
      <c r="G117" s="14">
        <v>5000</v>
      </c>
      <c r="H117" s="14">
        <v>2363465</v>
      </c>
      <c r="I117" s="14">
        <v>156</v>
      </c>
      <c r="J117" s="78">
        <v>5324.3608600000052</v>
      </c>
      <c r="K117" s="78">
        <v>27683</v>
      </c>
      <c r="L117" s="78">
        <v>24538.420000000013</v>
      </c>
      <c r="M117" s="78">
        <v>29862.799999999999</v>
      </c>
      <c r="N117" s="20">
        <v>778553</v>
      </c>
      <c r="O117" s="14"/>
      <c r="P117" s="150" t="s">
        <v>105</v>
      </c>
      <c r="Q117" s="6" t="s">
        <v>220</v>
      </c>
      <c r="R117" s="14">
        <v>189</v>
      </c>
      <c r="S117" s="78">
        <v>475.2</v>
      </c>
      <c r="T117" s="14">
        <v>191623</v>
      </c>
      <c r="U117" s="14">
        <v>2941.5666666666666</v>
      </c>
      <c r="V117" s="78">
        <v>4814.7</v>
      </c>
      <c r="W117" s="14">
        <v>32332</v>
      </c>
      <c r="X117" s="14">
        <v>5522</v>
      </c>
      <c r="Y117" s="78">
        <v>24716.6</v>
      </c>
      <c r="Z117" s="14">
        <v>97041</v>
      </c>
      <c r="AA117" s="14">
        <v>320996</v>
      </c>
      <c r="AB117" s="14">
        <v>3463014</v>
      </c>
      <c r="AC117" s="20">
        <v>426043</v>
      </c>
      <c r="AD117" s="6"/>
    </row>
    <row r="118" spans="1:30" ht="15" customHeight="1" x14ac:dyDescent="0.3">
      <c r="A118" s="150" t="s">
        <v>106</v>
      </c>
      <c r="B118" s="6" t="s">
        <v>219</v>
      </c>
      <c r="C118" s="14">
        <v>248</v>
      </c>
      <c r="D118" s="14">
        <v>30</v>
      </c>
      <c r="E118" s="77">
        <v>0.73171760547078479</v>
      </c>
      <c r="F118" s="78">
        <v>181.5</v>
      </c>
      <c r="G118" s="14">
        <v>19000</v>
      </c>
      <c r="H118" s="14">
        <v>1127393</v>
      </c>
      <c r="I118" s="14">
        <v>209</v>
      </c>
      <c r="J118" s="78">
        <v>2287.2162019999978</v>
      </c>
      <c r="K118" s="78">
        <v>28199.99999999988</v>
      </c>
      <c r="L118" s="78">
        <v>14297.400000000011</v>
      </c>
      <c r="M118" s="78">
        <v>16584.599999999999</v>
      </c>
      <c r="N118" s="20">
        <v>432377</v>
      </c>
      <c r="O118" s="14"/>
      <c r="P118" s="150" t="s">
        <v>106</v>
      </c>
      <c r="Q118" s="6" t="s">
        <v>219</v>
      </c>
      <c r="R118" s="14">
        <v>184</v>
      </c>
      <c r="S118" s="78">
        <v>361.8</v>
      </c>
      <c r="T118" s="14">
        <v>145895</v>
      </c>
      <c r="U118" s="14">
        <v>1176.1481481481483</v>
      </c>
      <c r="V118" s="78">
        <v>2226.6999999999998</v>
      </c>
      <c r="W118" s="14">
        <v>14953</v>
      </c>
      <c r="X118" s="14">
        <v>2708.7191011235955</v>
      </c>
      <c r="Y118" s="78">
        <v>10776.5</v>
      </c>
      <c r="Z118" s="14">
        <v>42310</v>
      </c>
      <c r="AA118" s="14">
        <v>203158</v>
      </c>
      <c r="AB118" s="14">
        <v>1762928</v>
      </c>
      <c r="AC118" s="20">
        <v>89300</v>
      </c>
      <c r="AD118" s="6"/>
    </row>
    <row r="119" spans="1:30" ht="15" customHeight="1" x14ac:dyDescent="0.3">
      <c r="A119" s="150" t="s">
        <v>453</v>
      </c>
      <c r="B119" s="6" t="s">
        <v>218</v>
      </c>
      <c r="C119" s="14">
        <v>718</v>
      </c>
      <c r="D119" s="14">
        <v>150</v>
      </c>
      <c r="E119" s="77">
        <v>0.80396520093182899</v>
      </c>
      <c r="F119" s="78">
        <v>577.20000000000005</v>
      </c>
      <c r="G119" s="14">
        <v>0</v>
      </c>
      <c r="H119" s="14">
        <v>3524874</v>
      </c>
      <c r="I119" s="14">
        <v>591</v>
      </c>
      <c r="J119" s="78">
        <v>9510.6564050000125</v>
      </c>
      <c r="K119" s="78">
        <v>87720.000000000102</v>
      </c>
      <c r="L119" s="78">
        <v>52194.137724266322</v>
      </c>
      <c r="M119" s="78">
        <v>61704.800000000003</v>
      </c>
      <c r="N119" s="20">
        <v>1608705</v>
      </c>
      <c r="O119" s="14"/>
      <c r="P119" s="150" t="s">
        <v>453</v>
      </c>
      <c r="Q119" s="6" t="s">
        <v>218</v>
      </c>
      <c r="R119" s="14">
        <v>713</v>
      </c>
      <c r="S119" s="78">
        <v>1495.3</v>
      </c>
      <c r="T119" s="14">
        <v>602976</v>
      </c>
      <c r="U119" s="14">
        <v>7906</v>
      </c>
      <c r="V119" s="78">
        <v>16824</v>
      </c>
      <c r="W119" s="14">
        <v>112977</v>
      </c>
      <c r="X119" s="14">
        <v>24503</v>
      </c>
      <c r="Y119" s="78">
        <v>108600.9</v>
      </c>
      <c r="Z119" s="14">
        <v>426384</v>
      </c>
      <c r="AA119" s="14">
        <v>1142337</v>
      </c>
      <c r="AB119" s="14">
        <v>6275916</v>
      </c>
      <c r="AC119" s="20">
        <v>244566</v>
      </c>
      <c r="AD119" s="6"/>
    </row>
    <row r="120" spans="1:30" ht="15" customHeight="1" x14ac:dyDescent="0.3">
      <c r="A120" s="150" t="s">
        <v>107</v>
      </c>
      <c r="B120" s="6" t="s">
        <v>217</v>
      </c>
      <c r="C120" s="14">
        <v>514</v>
      </c>
      <c r="D120" s="14">
        <v>0</v>
      </c>
      <c r="E120" s="77">
        <v>1.2483874298104962</v>
      </c>
      <c r="F120" s="78">
        <v>641.70000000000005</v>
      </c>
      <c r="G120" s="14">
        <v>5000</v>
      </c>
      <c r="H120" s="14">
        <v>3923766</v>
      </c>
      <c r="I120" s="14">
        <v>150</v>
      </c>
      <c r="J120" s="78">
        <v>11704.99492800002</v>
      </c>
      <c r="K120" s="78">
        <v>25478</v>
      </c>
      <c r="L120" s="78">
        <v>28662.549999999996</v>
      </c>
      <c r="M120" s="78">
        <v>40367.5</v>
      </c>
      <c r="N120" s="20">
        <v>1052421</v>
      </c>
      <c r="O120" s="14"/>
      <c r="P120" s="150" t="s">
        <v>107</v>
      </c>
      <c r="Q120" s="6" t="s">
        <v>217</v>
      </c>
      <c r="R120" s="14">
        <v>299</v>
      </c>
      <c r="S120" s="78">
        <v>999.3</v>
      </c>
      <c r="T120" s="14">
        <v>402965</v>
      </c>
      <c r="U120" s="14">
        <v>2368.9759036144578</v>
      </c>
      <c r="V120" s="78">
        <v>4440.3</v>
      </c>
      <c r="W120" s="14">
        <v>29818</v>
      </c>
      <c r="X120" s="14">
        <v>4133.55</v>
      </c>
      <c r="Y120" s="78">
        <v>16492.099999999999</v>
      </c>
      <c r="Z120" s="14">
        <v>64751</v>
      </c>
      <c r="AA120" s="14">
        <v>497534</v>
      </c>
      <c r="AB120" s="14">
        <v>5473721</v>
      </c>
      <c r="AC120" s="20">
        <v>0</v>
      </c>
      <c r="AD120" s="6"/>
    </row>
    <row r="121" spans="1:30" ht="15" customHeight="1" x14ac:dyDescent="0.3">
      <c r="A121" s="150" t="s">
        <v>108</v>
      </c>
      <c r="B121" s="6" t="s">
        <v>216</v>
      </c>
      <c r="C121" s="14">
        <v>1087</v>
      </c>
      <c r="D121" s="14">
        <v>0</v>
      </c>
      <c r="E121" s="77">
        <v>1.0691574143523299</v>
      </c>
      <c r="F121" s="78">
        <v>1162.2</v>
      </c>
      <c r="G121" s="14">
        <v>31000</v>
      </c>
      <c r="H121" s="14">
        <v>7128381</v>
      </c>
      <c r="I121" s="14">
        <v>289</v>
      </c>
      <c r="J121" s="78">
        <v>19183.428486000019</v>
      </c>
      <c r="K121" s="78">
        <v>55340</v>
      </c>
      <c r="L121" s="78">
        <v>54445.780000000021</v>
      </c>
      <c r="M121" s="78">
        <v>73629.2</v>
      </c>
      <c r="N121" s="20">
        <v>1919586</v>
      </c>
      <c r="O121" s="14"/>
      <c r="P121" s="150" t="s">
        <v>108</v>
      </c>
      <c r="Q121" s="6" t="s">
        <v>216</v>
      </c>
      <c r="R121" s="14">
        <v>669</v>
      </c>
      <c r="S121" s="78">
        <v>2408.1999999999998</v>
      </c>
      <c r="T121" s="14">
        <v>971101</v>
      </c>
      <c r="U121" s="14">
        <v>5026</v>
      </c>
      <c r="V121" s="78">
        <v>8926</v>
      </c>
      <c r="W121" s="14">
        <v>59940</v>
      </c>
      <c r="X121" s="14">
        <v>9614.2279511533252</v>
      </c>
      <c r="Y121" s="78">
        <v>38414.400000000001</v>
      </c>
      <c r="Z121" s="14">
        <v>150821</v>
      </c>
      <c r="AA121" s="14">
        <v>1181862</v>
      </c>
      <c r="AB121" s="14">
        <v>10229829</v>
      </c>
      <c r="AC121" s="20">
        <v>861060</v>
      </c>
      <c r="AD121" s="6"/>
    </row>
    <row r="122" spans="1:30" ht="15" customHeight="1" x14ac:dyDescent="0.3">
      <c r="A122" s="150" t="s">
        <v>109</v>
      </c>
      <c r="B122" s="6" t="s">
        <v>215</v>
      </c>
      <c r="C122" s="14">
        <v>1491</v>
      </c>
      <c r="D122" s="14">
        <v>95</v>
      </c>
      <c r="E122" s="77">
        <v>1.1353890560360478</v>
      </c>
      <c r="F122" s="78">
        <v>1692.9</v>
      </c>
      <c r="G122" s="14">
        <v>28000</v>
      </c>
      <c r="H122" s="14">
        <v>10366286</v>
      </c>
      <c r="I122" s="14">
        <v>508</v>
      </c>
      <c r="J122" s="78">
        <v>26965.999566000097</v>
      </c>
      <c r="K122" s="78">
        <v>89393.5</v>
      </c>
      <c r="L122" s="78">
        <v>82893.444499999896</v>
      </c>
      <c r="M122" s="78">
        <v>109859.4</v>
      </c>
      <c r="N122" s="20">
        <v>2864143</v>
      </c>
      <c r="O122" s="14"/>
      <c r="P122" s="150" t="s">
        <v>109</v>
      </c>
      <c r="Q122" s="6" t="s">
        <v>215</v>
      </c>
      <c r="R122" s="14">
        <v>1336</v>
      </c>
      <c r="S122" s="78">
        <v>3589.6</v>
      </c>
      <c r="T122" s="14">
        <v>1447497</v>
      </c>
      <c r="U122" s="14">
        <v>10549</v>
      </c>
      <c r="V122" s="78">
        <v>16946.400000000001</v>
      </c>
      <c r="W122" s="14">
        <v>113799</v>
      </c>
      <c r="X122" s="14">
        <v>10608.507317073168</v>
      </c>
      <c r="Y122" s="78">
        <v>61850.6</v>
      </c>
      <c r="Z122" s="14">
        <v>242835</v>
      </c>
      <c r="AA122" s="14">
        <v>1804131</v>
      </c>
      <c r="AB122" s="14">
        <v>15034560</v>
      </c>
      <c r="AC122" s="20">
        <v>0</v>
      </c>
      <c r="AD122" s="6"/>
    </row>
    <row r="123" spans="1:30" ht="15" customHeight="1" x14ac:dyDescent="0.3">
      <c r="A123" s="150" t="s">
        <v>110</v>
      </c>
      <c r="B123" s="6" t="s">
        <v>214</v>
      </c>
      <c r="C123" s="14">
        <v>2437</v>
      </c>
      <c r="D123" s="14">
        <v>590</v>
      </c>
      <c r="E123" s="77">
        <v>0.91431592793942806</v>
      </c>
      <c r="F123" s="78">
        <v>2228.1999999999998</v>
      </c>
      <c r="G123" s="14">
        <v>220000</v>
      </c>
      <c r="H123" s="14">
        <v>13827283</v>
      </c>
      <c r="I123" s="14">
        <v>1110</v>
      </c>
      <c r="J123" s="78">
        <v>26265.690361000121</v>
      </c>
      <c r="K123" s="78">
        <v>228872.5</v>
      </c>
      <c r="L123" s="78">
        <v>174330.41750000021</v>
      </c>
      <c r="M123" s="78">
        <v>200596.1</v>
      </c>
      <c r="N123" s="20">
        <v>5229739</v>
      </c>
      <c r="O123" s="14"/>
      <c r="P123" s="150" t="s">
        <v>110</v>
      </c>
      <c r="Q123" s="6" t="s">
        <v>214</v>
      </c>
      <c r="R123" s="14">
        <v>1506</v>
      </c>
      <c r="S123" s="78">
        <v>3320.3</v>
      </c>
      <c r="T123" s="14">
        <v>1338903</v>
      </c>
      <c r="U123" s="14">
        <v>20884</v>
      </c>
      <c r="V123" s="78">
        <v>45914</v>
      </c>
      <c r="W123" s="14">
        <v>308322</v>
      </c>
      <c r="X123" s="14">
        <v>48432.288135593219</v>
      </c>
      <c r="Y123" s="78">
        <v>226756.8</v>
      </c>
      <c r="Z123" s="14">
        <v>890283</v>
      </c>
      <c r="AA123" s="14">
        <v>2537508</v>
      </c>
      <c r="AB123" s="14">
        <v>21594530</v>
      </c>
      <c r="AC123" s="20">
        <v>1924842</v>
      </c>
      <c r="AD123" s="6"/>
    </row>
    <row r="124" spans="1:30" ht="15" customHeight="1" x14ac:dyDescent="0.3">
      <c r="A124" s="150" t="s">
        <v>111</v>
      </c>
      <c r="B124" s="6" t="s">
        <v>213</v>
      </c>
      <c r="C124" s="14">
        <v>8627</v>
      </c>
      <c r="D124" s="14">
        <v>250</v>
      </c>
      <c r="E124" s="77">
        <v>1.130444585117603</v>
      </c>
      <c r="F124" s="78">
        <v>9752.2999999999993</v>
      </c>
      <c r="G124" s="14">
        <v>266000</v>
      </c>
      <c r="H124" s="14">
        <v>59821833</v>
      </c>
      <c r="I124" s="14">
        <v>2890</v>
      </c>
      <c r="J124" s="78">
        <v>159460.10587800088</v>
      </c>
      <c r="K124" s="78">
        <v>541522.5</v>
      </c>
      <c r="L124" s="78">
        <v>534350.18849999597</v>
      </c>
      <c r="M124" s="78">
        <v>693810.3</v>
      </c>
      <c r="N124" s="20">
        <v>18088322</v>
      </c>
      <c r="O124" s="14"/>
      <c r="P124" s="150" t="s">
        <v>111</v>
      </c>
      <c r="Q124" s="6" t="s">
        <v>213</v>
      </c>
      <c r="R124" s="14">
        <v>5835</v>
      </c>
      <c r="S124" s="78">
        <v>18923.8</v>
      </c>
      <c r="T124" s="14">
        <v>7630976</v>
      </c>
      <c r="U124" s="14">
        <v>56971</v>
      </c>
      <c r="V124" s="78">
        <v>90584.9</v>
      </c>
      <c r="W124" s="14">
        <v>608296</v>
      </c>
      <c r="X124" s="14">
        <v>103438.86845353927</v>
      </c>
      <c r="Y124" s="78">
        <v>463542.4</v>
      </c>
      <c r="Z124" s="14">
        <v>1819941</v>
      </c>
      <c r="AA124" s="14">
        <v>10059213</v>
      </c>
      <c r="AB124" s="14">
        <v>87969368</v>
      </c>
      <c r="AC124" s="20">
        <v>0</v>
      </c>
      <c r="AD124" s="6"/>
    </row>
    <row r="125" spans="1:30" ht="15" customHeight="1" x14ac:dyDescent="0.3">
      <c r="A125" s="150" t="s">
        <v>112</v>
      </c>
      <c r="B125" s="6" t="s">
        <v>212</v>
      </c>
      <c r="C125" s="14">
        <v>66</v>
      </c>
      <c r="D125" s="14">
        <v>0</v>
      </c>
      <c r="E125" s="77">
        <v>1.3202330064737258</v>
      </c>
      <c r="F125" s="78">
        <v>87.1</v>
      </c>
      <c r="G125" s="14">
        <v>40000</v>
      </c>
      <c r="H125" s="14">
        <v>571907</v>
      </c>
      <c r="I125" s="14">
        <v>22</v>
      </c>
      <c r="J125" s="78">
        <v>1852.3801079999996</v>
      </c>
      <c r="K125" s="78">
        <v>3540</v>
      </c>
      <c r="L125" s="78">
        <v>4446.3199999999988</v>
      </c>
      <c r="M125" s="78">
        <v>6298.7</v>
      </c>
      <c r="N125" s="20">
        <v>164213</v>
      </c>
      <c r="O125" s="14"/>
      <c r="P125" s="150" t="s">
        <v>112</v>
      </c>
      <c r="Q125" s="6" t="s">
        <v>212</v>
      </c>
      <c r="R125" s="14">
        <v>48</v>
      </c>
      <c r="S125" s="78">
        <v>157.4</v>
      </c>
      <c r="T125" s="14">
        <v>63471</v>
      </c>
      <c r="U125" s="14">
        <v>462</v>
      </c>
      <c r="V125" s="78">
        <v>628.29999999999995</v>
      </c>
      <c r="W125" s="14">
        <v>4219</v>
      </c>
      <c r="X125" s="14">
        <v>331</v>
      </c>
      <c r="Y125" s="78">
        <v>2345.5</v>
      </c>
      <c r="Z125" s="14">
        <v>9209</v>
      </c>
      <c r="AA125" s="14">
        <v>76899</v>
      </c>
      <c r="AB125" s="14">
        <v>813019</v>
      </c>
      <c r="AC125" s="20">
        <v>22750</v>
      </c>
      <c r="AD125" s="6"/>
    </row>
    <row r="126" spans="1:30" ht="15" customHeight="1" x14ac:dyDescent="0.3">
      <c r="A126" s="150" t="s">
        <v>113</v>
      </c>
      <c r="B126" s="6" t="s">
        <v>211</v>
      </c>
      <c r="C126" s="14">
        <v>66</v>
      </c>
      <c r="D126" s="14">
        <v>0</v>
      </c>
      <c r="E126" s="77">
        <v>1.7850428688217064</v>
      </c>
      <c r="F126" s="78">
        <v>117.8</v>
      </c>
      <c r="G126" s="14">
        <v>0</v>
      </c>
      <c r="H126" s="14">
        <v>719387</v>
      </c>
      <c r="I126" s="14">
        <v>32</v>
      </c>
      <c r="J126" s="78">
        <v>2302.7579459999993</v>
      </c>
      <c r="K126" s="78">
        <v>6989.5</v>
      </c>
      <c r="L126" s="78">
        <v>8236.9925000000021</v>
      </c>
      <c r="M126" s="78">
        <v>10539.8</v>
      </c>
      <c r="N126" s="20">
        <v>274783</v>
      </c>
      <c r="O126" s="14"/>
      <c r="P126" s="150" t="s">
        <v>113</v>
      </c>
      <c r="Q126" s="6" t="s">
        <v>211</v>
      </c>
      <c r="R126" s="14">
        <v>79</v>
      </c>
      <c r="S126" s="78">
        <v>219.3</v>
      </c>
      <c r="T126" s="14">
        <v>88432</v>
      </c>
      <c r="U126" s="14">
        <v>769</v>
      </c>
      <c r="V126" s="78">
        <v>769</v>
      </c>
      <c r="W126" s="14">
        <v>5164</v>
      </c>
      <c r="X126" s="14">
        <v>2069.3818181818183</v>
      </c>
      <c r="Y126" s="78">
        <v>6359.6</v>
      </c>
      <c r="Z126" s="14">
        <v>24969</v>
      </c>
      <c r="AA126" s="14">
        <v>118565</v>
      </c>
      <c r="AB126" s="14">
        <v>1112735</v>
      </c>
      <c r="AC126" s="20">
        <v>39346</v>
      </c>
      <c r="AD126" s="6"/>
    </row>
    <row r="127" spans="1:30" ht="15" customHeight="1" x14ac:dyDescent="0.3">
      <c r="A127" s="150" t="s">
        <v>114</v>
      </c>
      <c r="B127" s="6" t="s">
        <v>206</v>
      </c>
      <c r="C127" s="14">
        <v>205</v>
      </c>
      <c r="D127" s="14">
        <v>0</v>
      </c>
      <c r="E127" s="77">
        <v>1.2955812270109983</v>
      </c>
      <c r="F127" s="78">
        <v>265.60000000000002</v>
      </c>
      <c r="G127" s="14">
        <v>0</v>
      </c>
      <c r="H127" s="14">
        <v>1621979</v>
      </c>
      <c r="I127" s="14">
        <v>55</v>
      </c>
      <c r="J127" s="78">
        <v>3787.3809179999962</v>
      </c>
      <c r="K127" s="78">
        <v>11324</v>
      </c>
      <c r="L127" s="78">
        <v>13603.220000000007</v>
      </c>
      <c r="M127" s="78">
        <v>17390.599999999999</v>
      </c>
      <c r="N127" s="20">
        <v>453390</v>
      </c>
      <c r="O127" s="14"/>
      <c r="P127" s="150" t="s">
        <v>114</v>
      </c>
      <c r="Q127" s="6" t="s">
        <v>206</v>
      </c>
      <c r="R127" s="14">
        <v>84</v>
      </c>
      <c r="S127" s="78">
        <v>361.3</v>
      </c>
      <c r="T127" s="14">
        <v>145693</v>
      </c>
      <c r="U127" s="14">
        <v>1553.3483146067415</v>
      </c>
      <c r="V127" s="78">
        <v>2135.9</v>
      </c>
      <c r="W127" s="14">
        <v>14343</v>
      </c>
      <c r="X127" s="14">
        <v>2504</v>
      </c>
      <c r="Y127" s="78">
        <v>8449.6</v>
      </c>
      <c r="Z127" s="14">
        <v>33174</v>
      </c>
      <c r="AA127" s="14">
        <v>193210</v>
      </c>
      <c r="AB127" s="14">
        <v>2268579</v>
      </c>
      <c r="AC127" s="20">
        <v>167314</v>
      </c>
      <c r="AD127" s="6"/>
    </row>
    <row r="128" spans="1:30" ht="15" customHeight="1" x14ac:dyDescent="0.3">
      <c r="A128" s="150" t="s">
        <v>150</v>
      </c>
      <c r="B128" s="6" t="s">
        <v>550</v>
      </c>
      <c r="C128" s="14">
        <v>35</v>
      </c>
      <c r="D128" s="14">
        <v>0</v>
      </c>
      <c r="E128" s="77">
        <v>0.7253999999999996</v>
      </c>
      <c r="F128" s="78">
        <v>25.4</v>
      </c>
      <c r="G128" s="14">
        <v>0</v>
      </c>
      <c r="H128" s="14">
        <v>155114</v>
      </c>
      <c r="I128" s="14">
        <v>15</v>
      </c>
      <c r="J128" s="78">
        <v>214.85833500000004</v>
      </c>
      <c r="K128" s="78">
        <v>2435</v>
      </c>
      <c r="L128" s="78">
        <v>1234.5449999999996</v>
      </c>
      <c r="M128" s="78">
        <v>1449.4</v>
      </c>
      <c r="N128" s="20">
        <v>37787</v>
      </c>
      <c r="O128" s="14"/>
      <c r="P128" s="150" t="s">
        <v>150</v>
      </c>
      <c r="Q128" s="6" t="s">
        <v>208</v>
      </c>
      <c r="R128" s="14">
        <v>33</v>
      </c>
      <c r="S128" s="78">
        <v>63</v>
      </c>
      <c r="T128" s="14">
        <v>25405</v>
      </c>
      <c r="U128" s="14">
        <v>0</v>
      </c>
      <c r="V128" s="78">
        <v>0</v>
      </c>
      <c r="W128" s="14">
        <v>0</v>
      </c>
      <c r="X128" s="14">
        <v>0</v>
      </c>
      <c r="Y128" s="78">
        <v>0</v>
      </c>
      <c r="Z128" s="14">
        <v>0</v>
      </c>
      <c r="AA128" s="14">
        <v>25405</v>
      </c>
      <c r="AB128" s="14">
        <v>218306</v>
      </c>
      <c r="AC128" s="20">
        <v>0</v>
      </c>
      <c r="AD128" s="6"/>
    </row>
    <row r="129" spans="1:30" ht="15" customHeight="1" x14ac:dyDescent="0.3">
      <c r="A129" s="150" t="s">
        <v>115</v>
      </c>
      <c r="B129" s="6" t="s">
        <v>207</v>
      </c>
      <c r="C129" s="14">
        <v>62</v>
      </c>
      <c r="D129" s="14">
        <v>62</v>
      </c>
      <c r="E129" s="77">
        <v>0.98588679245283095</v>
      </c>
      <c r="F129" s="78">
        <v>61.1</v>
      </c>
      <c r="G129" s="14">
        <v>5000</v>
      </c>
      <c r="H129" s="14">
        <v>378129</v>
      </c>
      <c r="I129" s="14">
        <v>0</v>
      </c>
      <c r="J129" s="78">
        <v>0</v>
      </c>
      <c r="K129" s="78">
        <v>2395</v>
      </c>
      <c r="L129" s="78">
        <v>3333.4999999999986</v>
      </c>
      <c r="M129" s="78">
        <v>3333.5</v>
      </c>
      <c r="N129" s="20">
        <v>86908</v>
      </c>
      <c r="O129" s="14"/>
      <c r="P129" s="150" t="s">
        <v>115</v>
      </c>
      <c r="Q129" s="6" t="s">
        <v>207</v>
      </c>
      <c r="R129" s="14">
        <v>6</v>
      </c>
      <c r="S129" s="78">
        <v>14.2</v>
      </c>
      <c r="T129" s="14">
        <v>5726</v>
      </c>
      <c r="U129" s="14">
        <v>810</v>
      </c>
      <c r="V129" s="78">
        <v>810</v>
      </c>
      <c r="W129" s="14">
        <v>5439</v>
      </c>
      <c r="X129" s="14">
        <v>1877.5384615384614</v>
      </c>
      <c r="Y129" s="78">
        <v>2451.1999999999998</v>
      </c>
      <c r="Z129" s="14">
        <v>9624</v>
      </c>
      <c r="AA129" s="14">
        <v>20789</v>
      </c>
      <c r="AB129" s="14">
        <v>485826</v>
      </c>
      <c r="AC129" s="20">
        <v>107515</v>
      </c>
      <c r="AD129" s="6"/>
    </row>
    <row r="130" spans="1:30" ht="15" customHeight="1" x14ac:dyDescent="0.3">
      <c r="A130" s="150" t="s">
        <v>116</v>
      </c>
      <c r="B130" s="6" t="s">
        <v>204</v>
      </c>
      <c r="C130" s="14">
        <v>1401</v>
      </c>
      <c r="D130" s="14">
        <v>400</v>
      </c>
      <c r="E130" s="77">
        <v>0.91266443871512992</v>
      </c>
      <c r="F130" s="78">
        <v>1278.5999999999999</v>
      </c>
      <c r="G130" s="14">
        <v>255000</v>
      </c>
      <c r="H130" s="14">
        <v>8063218</v>
      </c>
      <c r="I130" s="14">
        <v>493</v>
      </c>
      <c r="J130" s="78">
        <v>16084.159439000055</v>
      </c>
      <c r="K130" s="78">
        <v>102108.28571429</v>
      </c>
      <c r="L130" s="78">
        <v>78851.179857144642</v>
      </c>
      <c r="M130" s="78">
        <v>94935.3</v>
      </c>
      <c r="N130" s="20">
        <v>2475057</v>
      </c>
      <c r="O130" s="14"/>
      <c r="P130" s="150" t="s">
        <v>116</v>
      </c>
      <c r="Q130" s="6" t="s">
        <v>204</v>
      </c>
      <c r="R130" s="14">
        <v>1149</v>
      </c>
      <c r="S130" s="78">
        <v>2619.8000000000002</v>
      </c>
      <c r="T130" s="14">
        <v>1056428</v>
      </c>
      <c r="U130" s="14">
        <v>7495.243128964059</v>
      </c>
      <c r="V130" s="78">
        <v>17479.7</v>
      </c>
      <c r="W130" s="14">
        <v>117380</v>
      </c>
      <c r="X130" s="14">
        <v>16541.511747082943</v>
      </c>
      <c r="Y130" s="78">
        <v>82905.399999999994</v>
      </c>
      <c r="Z130" s="14">
        <v>325500</v>
      </c>
      <c r="AA130" s="14">
        <v>1499308</v>
      </c>
      <c r="AB130" s="14">
        <v>12037583</v>
      </c>
      <c r="AC130" s="20">
        <v>787520</v>
      </c>
      <c r="AD130" s="6"/>
    </row>
    <row r="131" spans="1:30" ht="15" customHeight="1" x14ac:dyDescent="0.3">
      <c r="A131" s="150" t="s">
        <v>117</v>
      </c>
      <c r="B131" s="6" t="s">
        <v>203</v>
      </c>
      <c r="C131" s="14">
        <v>313</v>
      </c>
      <c r="D131" s="14">
        <v>35</v>
      </c>
      <c r="E131" s="77">
        <v>1.0839631337887465</v>
      </c>
      <c r="F131" s="78">
        <v>339.3</v>
      </c>
      <c r="G131" s="14">
        <v>5000</v>
      </c>
      <c r="H131" s="14">
        <v>2077054</v>
      </c>
      <c r="I131" s="14">
        <v>71</v>
      </c>
      <c r="J131" s="78">
        <v>4454.2793519999996</v>
      </c>
      <c r="K131" s="78">
        <v>14610</v>
      </c>
      <c r="L131" s="78">
        <v>15435.519999999986</v>
      </c>
      <c r="M131" s="78">
        <v>19889.8</v>
      </c>
      <c r="N131" s="20">
        <v>518547</v>
      </c>
      <c r="O131" s="14"/>
      <c r="P131" s="150" t="s">
        <v>117</v>
      </c>
      <c r="Q131" s="6" t="s">
        <v>203</v>
      </c>
      <c r="R131" s="14">
        <v>140</v>
      </c>
      <c r="S131" s="78">
        <v>447.7</v>
      </c>
      <c r="T131" s="14">
        <v>180534</v>
      </c>
      <c r="U131" s="14">
        <v>2549</v>
      </c>
      <c r="V131" s="78">
        <v>3729.6</v>
      </c>
      <c r="W131" s="14">
        <v>25045</v>
      </c>
      <c r="X131" s="14">
        <v>5340</v>
      </c>
      <c r="Y131" s="78">
        <v>15311</v>
      </c>
      <c r="Z131" s="14">
        <v>60113</v>
      </c>
      <c r="AA131" s="14">
        <v>265692</v>
      </c>
      <c r="AB131" s="14">
        <v>2861293</v>
      </c>
      <c r="AC131" s="20">
        <v>132325</v>
      </c>
      <c r="AD131" s="6"/>
    </row>
    <row r="132" spans="1:30" ht="15" customHeight="1" x14ac:dyDescent="0.3">
      <c r="A132" s="150" t="s">
        <v>118</v>
      </c>
      <c r="B132" s="6" t="s">
        <v>202</v>
      </c>
      <c r="C132" s="14">
        <v>4598</v>
      </c>
      <c r="D132" s="14">
        <v>145</v>
      </c>
      <c r="E132" s="77">
        <v>1.0361867042093926</v>
      </c>
      <c r="F132" s="78">
        <v>4764.3999999999996</v>
      </c>
      <c r="G132" s="14">
        <v>97000</v>
      </c>
      <c r="H132" s="14">
        <v>29192476</v>
      </c>
      <c r="I132" s="14">
        <v>1877</v>
      </c>
      <c r="J132" s="78">
        <v>99713.173196000818</v>
      </c>
      <c r="K132" s="78">
        <v>356174.5</v>
      </c>
      <c r="L132" s="78">
        <v>332256.05399999564</v>
      </c>
      <c r="M132" s="78">
        <v>431969.2</v>
      </c>
      <c r="N132" s="20">
        <v>11261865</v>
      </c>
      <c r="O132" s="14"/>
      <c r="P132" s="150" t="s">
        <v>118</v>
      </c>
      <c r="Q132" s="6" t="s">
        <v>202</v>
      </c>
      <c r="R132" s="14">
        <v>3167</v>
      </c>
      <c r="S132" s="78">
        <v>10187.1</v>
      </c>
      <c r="T132" s="14">
        <v>4107923</v>
      </c>
      <c r="U132" s="14">
        <v>27581.192307692305</v>
      </c>
      <c r="V132" s="78">
        <v>38649.9</v>
      </c>
      <c r="W132" s="14">
        <v>259542</v>
      </c>
      <c r="X132" s="14">
        <v>43078.865122615804</v>
      </c>
      <c r="Y132" s="78">
        <v>190436.3</v>
      </c>
      <c r="Z132" s="14">
        <v>747683</v>
      </c>
      <c r="AA132" s="14">
        <v>5115148</v>
      </c>
      <c r="AB132" s="14">
        <v>45569489</v>
      </c>
      <c r="AC132" s="20">
        <v>0</v>
      </c>
      <c r="AD132" s="6"/>
    </row>
    <row r="133" spans="1:30" ht="15" customHeight="1" x14ac:dyDescent="0.3">
      <c r="A133" s="150" t="s">
        <v>119</v>
      </c>
      <c r="B133" s="6" t="s">
        <v>201</v>
      </c>
      <c r="C133" s="14">
        <v>254</v>
      </c>
      <c r="D133" s="14">
        <v>0</v>
      </c>
      <c r="E133" s="77">
        <v>0.98188954113165672</v>
      </c>
      <c r="F133" s="78">
        <v>249.4</v>
      </c>
      <c r="G133" s="14">
        <v>0</v>
      </c>
      <c r="H133" s="14">
        <v>1523048</v>
      </c>
      <c r="I133" s="14">
        <v>79</v>
      </c>
      <c r="J133" s="78">
        <v>2858.5691219999999</v>
      </c>
      <c r="K133" s="78">
        <v>15570.5</v>
      </c>
      <c r="L133" s="78">
        <v>12387.402499999993</v>
      </c>
      <c r="M133" s="78">
        <v>15246</v>
      </c>
      <c r="N133" s="20">
        <v>397478</v>
      </c>
      <c r="O133" s="14"/>
      <c r="P133" s="150" t="s">
        <v>119</v>
      </c>
      <c r="Q133" s="6" t="s">
        <v>201</v>
      </c>
      <c r="R133" s="14">
        <v>210</v>
      </c>
      <c r="S133" s="78">
        <v>549.1</v>
      </c>
      <c r="T133" s="14">
        <v>221423</v>
      </c>
      <c r="U133" s="14">
        <v>2142.840336134454</v>
      </c>
      <c r="V133" s="78">
        <v>2342.6</v>
      </c>
      <c r="W133" s="14">
        <v>15731</v>
      </c>
      <c r="X133" s="14">
        <v>5542</v>
      </c>
      <c r="Y133" s="78">
        <v>18692.900000000001</v>
      </c>
      <c r="Z133" s="14">
        <v>73391</v>
      </c>
      <c r="AA133" s="14">
        <v>310545</v>
      </c>
      <c r="AB133" s="14">
        <v>2231071</v>
      </c>
      <c r="AC133" s="20">
        <v>193326</v>
      </c>
      <c r="AD133" s="6"/>
    </row>
    <row r="134" spans="1:30" ht="15" customHeight="1" x14ac:dyDescent="0.3">
      <c r="A134" s="150" t="s">
        <v>395</v>
      </c>
      <c r="B134" s="6" t="s">
        <v>394</v>
      </c>
      <c r="C134" s="14">
        <v>92</v>
      </c>
      <c r="D134" s="14">
        <v>0</v>
      </c>
      <c r="E134" s="77">
        <v>1.4099503035475394</v>
      </c>
      <c r="F134" s="78">
        <v>129.69999999999999</v>
      </c>
      <c r="G134" s="14">
        <v>75000</v>
      </c>
      <c r="H134" s="14">
        <v>867058</v>
      </c>
      <c r="I134" s="14">
        <v>34</v>
      </c>
      <c r="J134" s="78">
        <v>2538.4138020000005</v>
      </c>
      <c r="K134" s="78">
        <v>9140</v>
      </c>
      <c r="L134" s="78">
        <v>11843.507499999998</v>
      </c>
      <c r="M134" s="78">
        <v>14381.9</v>
      </c>
      <c r="N134" s="20">
        <v>374950</v>
      </c>
      <c r="O134" s="14"/>
      <c r="P134" s="150" t="s">
        <v>395</v>
      </c>
      <c r="Q134" s="6" t="s">
        <v>394</v>
      </c>
      <c r="R134" s="14">
        <v>62</v>
      </c>
      <c r="S134" s="78">
        <v>168</v>
      </c>
      <c r="T134" s="14">
        <v>67746</v>
      </c>
      <c r="U134" s="14">
        <v>826</v>
      </c>
      <c r="V134" s="78">
        <v>1250.9000000000001</v>
      </c>
      <c r="W134" s="14">
        <v>8400</v>
      </c>
      <c r="X134" s="14">
        <v>1305</v>
      </c>
      <c r="Y134" s="78">
        <v>5841.5</v>
      </c>
      <c r="Z134" s="14">
        <v>22935</v>
      </c>
      <c r="AA134" s="14">
        <v>99081</v>
      </c>
      <c r="AB134" s="14">
        <v>1341089</v>
      </c>
      <c r="AC134" s="20">
        <v>86976</v>
      </c>
      <c r="AD134" s="6"/>
    </row>
    <row r="135" spans="1:30" ht="15" customHeight="1" x14ac:dyDescent="0.3">
      <c r="A135" s="150" t="s">
        <v>134</v>
      </c>
      <c r="B135" s="6" t="s">
        <v>261</v>
      </c>
      <c r="C135" s="14">
        <v>28</v>
      </c>
      <c r="D135" s="14">
        <v>0</v>
      </c>
      <c r="E135" s="77">
        <v>0.72540000000000071</v>
      </c>
      <c r="F135" s="78">
        <v>20.3</v>
      </c>
      <c r="G135" s="14">
        <v>0</v>
      </c>
      <c r="H135" s="14">
        <v>123969</v>
      </c>
      <c r="I135" s="14">
        <v>33</v>
      </c>
      <c r="J135" s="78">
        <v>684.44989799999996</v>
      </c>
      <c r="K135" s="78">
        <v>3360.0000000000014</v>
      </c>
      <c r="L135" s="78">
        <v>1710.8178869778867</v>
      </c>
      <c r="M135" s="78">
        <v>2395.3000000000002</v>
      </c>
      <c r="N135" s="20">
        <v>62448</v>
      </c>
      <c r="O135" s="14"/>
      <c r="P135" s="150" t="s">
        <v>134</v>
      </c>
      <c r="Q135" s="6" t="s">
        <v>261</v>
      </c>
      <c r="R135" s="14">
        <v>73</v>
      </c>
      <c r="S135" s="78">
        <v>174.8</v>
      </c>
      <c r="T135" s="14">
        <v>70488</v>
      </c>
      <c r="U135" s="14">
        <v>206</v>
      </c>
      <c r="V135" s="78">
        <v>378.3</v>
      </c>
      <c r="W135" s="14">
        <v>2540</v>
      </c>
      <c r="X135" s="14">
        <v>1591</v>
      </c>
      <c r="Y135" s="78">
        <v>5091.2</v>
      </c>
      <c r="Z135" s="14">
        <v>19989</v>
      </c>
      <c r="AA135" s="14">
        <v>93017</v>
      </c>
      <c r="AB135" s="14">
        <v>279434</v>
      </c>
      <c r="AC135" s="20">
        <v>8857</v>
      </c>
      <c r="AD135" s="6"/>
    </row>
    <row r="136" spans="1:30" ht="15" customHeight="1" x14ac:dyDescent="0.3">
      <c r="A136" s="150" t="s">
        <v>120</v>
      </c>
      <c r="B136" s="6" t="s">
        <v>200</v>
      </c>
      <c r="C136" s="14">
        <v>1331</v>
      </c>
      <c r="D136" s="14">
        <v>280</v>
      </c>
      <c r="E136" s="77">
        <v>1.0680074579369945</v>
      </c>
      <c r="F136" s="78">
        <v>1421.5</v>
      </c>
      <c r="G136" s="14">
        <v>477000</v>
      </c>
      <c r="H136" s="14">
        <v>9157887</v>
      </c>
      <c r="I136" s="14">
        <v>354</v>
      </c>
      <c r="J136" s="78">
        <v>14363.688698000042</v>
      </c>
      <c r="K136" s="78">
        <v>107410.5</v>
      </c>
      <c r="L136" s="78">
        <v>116114.80675000002</v>
      </c>
      <c r="M136" s="78">
        <v>130478.5</v>
      </c>
      <c r="N136" s="20">
        <v>3401704</v>
      </c>
      <c r="O136" s="14"/>
      <c r="P136" s="150" t="s">
        <v>120</v>
      </c>
      <c r="Q136" s="6" t="s">
        <v>200</v>
      </c>
      <c r="R136" s="14">
        <v>1362</v>
      </c>
      <c r="S136" s="78">
        <v>2756.8</v>
      </c>
      <c r="T136" s="14">
        <v>1111673</v>
      </c>
      <c r="U136" s="14">
        <v>6397</v>
      </c>
      <c r="V136" s="78">
        <v>14815</v>
      </c>
      <c r="W136" s="14">
        <v>99486</v>
      </c>
      <c r="X136" s="14">
        <v>18507.285714285714</v>
      </c>
      <c r="Y136" s="78">
        <v>69371.100000000006</v>
      </c>
      <c r="Z136" s="14">
        <v>272362</v>
      </c>
      <c r="AA136" s="14">
        <v>1483521</v>
      </c>
      <c r="AB136" s="14">
        <v>13588112</v>
      </c>
      <c r="AC136" s="20">
        <v>1098700</v>
      </c>
      <c r="AD136" s="6"/>
    </row>
    <row r="137" spans="1:30" ht="15" customHeight="1" x14ac:dyDescent="0.3">
      <c r="A137" s="150" t="s">
        <v>121</v>
      </c>
      <c r="B137" s="6" t="s">
        <v>199</v>
      </c>
      <c r="C137" s="14">
        <v>2611</v>
      </c>
      <c r="D137" s="14">
        <v>145</v>
      </c>
      <c r="E137" s="77">
        <v>1.0390729030696075</v>
      </c>
      <c r="F137" s="78">
        <v>2713</v>
      </c>
      <c r="G137" s="14">
        <v>5000</v>
      </c>
      <c r="H137" s="14">
        <v>16572884</v>
      </c>
      <c r="I137" s="14">
        <v>909</v>
      </c>
      <c r="J137" s="78">
        <v>44316.757239999744</v>
      </c>
      <c r="K137" s="78">
        <v>161668</v>
      </c>
      <c r="L137" s="78">
        <v>147310.20150000046</v>
      </c>
      <c r="M137" s="78">
        <v>191627</v>
      </c>
      <c r="N137" s="20">
        <v>4995906</v>
      </c>
      <c r="O137" s="14"/>
      <c r="P137" s="150" t="s">
        <v>121</v>
      </c>
      <c r="Q137" s="6" t="s">
        <v>199</v>
      </c>
      <c r="R137" s="14">
        <v>1736</v>
      </c>
      <c r="S137" s="78">
        <v>5089.8</v>
      </c>
      <c r="T137" s="14">
        <v>2052449</v>
      </c>
      <c r="U137" s="14">
        <v>7376</v>
      </c>
      <c r="V137" s="78">
        <v>16867</v>
      </c>
      <c r="W137" s="14">
        <v>113265</v>
      </c>
      <c r="X137" s="14">
        <v>14655.533807829182</v>
      </c>
      <c r="Y137" s="78">
        <v>93144.2</v>
      </c>
      <c r="Z137" s="14">
        <v>365699</v>
      </c>
      <c r="AA137" s="14">
        <v>2531413</v>
      </c>
      <c r="AB137" s="14">
        <v>24100203</v>
      </c>
      <c r="AC137" s="20">
        <v>0</v>
      </c>
      <c r="AD137" s="6"/>
    </row>
    <row r="138" spans="1:30" ht="15" customHeight="1" x14ac:dyDescent="0.3">
      <c r="A138" s="150" t="s">
        <v>122</v>
      </c>
      <c r="B138" s="6" t="s">
        <v>198</v>
      </c>
      <c r="C138" s="14">
        <v>1039</v>
      </c>
      <c r="D138" s="14">
        <v>35</v>
      </c>
      <c r="E138" s="77">
        <v>1.0607713248786668</v>
      </c>
      <c r="F138" s="78">
        <v>1102.0999999999999</v>
      </c>
      <c r="G138" s="14">
        <v>21000</v>
      </c>
      <c r="H138" s="14">
        <v>6751359</v>
      </c>
      <c r="I138" s="14">
        <v>373</v>
      </c>
      <c r="J138" s="78">
        <v>18484.904340000088</v>
      </c>
      <c r="K138" s="78">
        <v>64804</v>
      </c>
      <c r="L138" s="78">
        <v>59994.327500000029</v>
      </c>
      <c r="M138" s="78">
        <v>78479.199999999997</v>
      </c>
      <c r="N138" s="20">
        <v>2046030</v>
      </c>
      <c r="O138" s="14"/>
      <c r="P138" s="150" t="s">
        <v>122</v>
      </c>
      <c r="Q138" s="6" t="s">
        <v>198</v>
      </c>
      <c r="R138" s="14">
        <v>690</v>
      </c>
      <c r="S138" s="78">
        <v>2279</v>
      </c>
      <c r="T138" s="14">
        <v>919001</v>
      </c>
      <c r="U138" s="14">
        <v>6485</v>
      </c>
      <c r="V138" s="78">
        <v>10843.3</v>
      </c>
      <c r="W138" s="14">
        <v>72815</v>
      </c>
      <c r="X138" s="14">
        <v>12542</v>
      </c>
      <c r="Y138" s="78">
        <v>54224.4</v>
      </c>
      <c r="Z138" s="14">
        <v>212894</v>
      </c>
      <c r="AA138" s="14">
        <v>1204710</v>
      </c>
      <c r="AB138" s="14">
        <v>10002099</v>
      </c>
      <c r="AC138" s="20">
        <v>0</v>
      </c>
      <c r="AD138" s="6"/>
    </row>
    <row r="139" spans="1:30" ht="15" customHeight="1" x14ac:dyDescent="0.3">
      <c r="A139" s="150" t="s">
        <v>123</v>
      </c>
      <c r="B139" s="6" t="s">
        <v>197</v>
      </c>
      <c r="C139" s="14">
        <v>17</v>
      </c>
      <c r="D139" s="14">
        <v>0</v>
      </c>
      <c r="E139" s="77">
        <v>0.72539999999999727</v>
      </c>
      <c r="F139" s="78">
        <v>12.3</v>
      </c>
      <c r="G139" s="14">
        <v>0</v>
      </c>
      <c r="H139" s="14">
        <v>75114</v>
      </c>
      <c r="I139" s="14">
        <v>14</v>
      </c>
      <c r="J139" s="78">
        <v>401.54406799999987</v>
      </c>
      <c r="K139" s="78">
        <v>1920</v>
      </c>
      <c r="L139" s="78">
        <v>975.91</v>
      </c>
      <c r="M139" s="78">
        <v>1377.5</v>
      </c>
      <c r="N139" s="20">
        <v>35913</v>
      </c>
      <c r="O139" s="14"/>
      <c r="P139" s="150" t="s">
        <v>123</v>
      </c>
      <c r="Q139" s="6" t="s">
        <v>197</v>
      </c>
      <c r="R139" s="14">
        <v>16</v>
      </c>
      <c r="S139" s="78">
        <v>22.8</v>
      </c>
      <c r="T139" s="14">
        <v>9194</v>
      </c>
      <c r="U139" s="14">
        <v>223</v>
      </c>
      <c r="V139" s="78">
        <v>223</v>
      </c>
      <c r="W139" s="14">
        <v>1497</v>
      </c>
      <c r="X139" s="14">
        <v>527</v>
      </c>
      <c r="Y139" s="78">
        <v>1897.2</v>
      </c>
      <c r="Z139" s="14">
        <v>7449</v>
      </c>
      <c r="AA139" s="14">
        <v>18140</v>
      </c>
      <c r="AB139" s="14">
        <v>129167</v>
      </c>
      <c r="AC139" s="20">
        <v>0</v>
      </c>
      <c r="AD139" s="6"/>
    </row>
    <row r="140" spans="1:30" ht="15" customHeight="1" x14ac:dyDescent="0.3">
      <c r="A140" s="150" t="s">
        <v>152</v>
      </c>
      <c r="B140" s="6" t="s">
        <v>195</v>
      </c>
      <c r="C140" s="14">
        <v>0</v>
      </c>
      <c r="D140" s="14">
        <v>0</v>
      </c>
      <c r="E140" s="77">
        <v>0</v>
      </c>
      <c r="F140" s="78">
        <v>0</v>
      </c>
      <c r="G140" s="14">
        <v>0</v>
      </c>
      <c r="H140" s="14">
        <v>0</v>
      </c>
      <c r="I140" s="14">
        <v>0</v>
      </c>
      <c r="J140" s="78">
        <v>0</v>
      </c>
      <c r="K140" s="78">
        <v>0</v>
      </c>
      <c r="L140" s="78">
        <v>0</v>
      </c>
      <c r="M140" s="78">
        <v>0</v>
      </c>
      <c r="N140" s="20">
        <v>0</v>
      </c>
      <c r="O140" s="14"/>
      <c r="P140" s="150" t="s">
        <v>152</v>
      </c>
      <c r="Q140" s="6" t="s">
        <v>195</v>
      </c>
      <c r="R140" s="14">
        <v>0</v>
      </c>
      <c r="S140" s="78">
        <v>0</v>
      </c>
      <c r="T140" s="14">
        <v>0</v>
      </c>
      <c r="U140" s="14">
        <v>0</v>
      </c>
      <c r="V140" s="78">
        <v>0</v>
      </c>
      <c r="W140" s="14">
        <v>0</v>
      </c>
      <c r="X140" s="14">
        <v>0</v>
      </c>
      <c r="Y140" s="78">
        <v>0</v>
      </c>
      <c r="Z140" s="14">
        <v>0</v>
      </c>
      <c r="AA140" s="14">
        <v>0</v>
      </c>
      <c r="AB140" s="14">
        <v>0</v>
      </c>
      <c r="AC140" s="20">
        <v>0</v>
      </c>
      <c r="AD140" s="6"/>
    </row>
    <row r="141" spans="1:30" ht="15" customHeight="1" x14ac:dyDescent="0.3">
      <c r="A141" s="150" t="s">
        <v>124</v>
      </c>
      <c r="B141" s="6" t="s">
        <v>549</v>
      </c>
      <c r="C141" s="14">
        <v>173</v>
      </c>
      <c r="D141" s="14">
        <v>0</v>
      </c>
      <c r="E141" s="77">
        <v>1.6821863174817258</v>
      </c>
      <c r="F141" s="78">
        <v>291</v>
      </c>
      <c r="G141" s="14">
        <v>6000</v>
      </c>
      <c r="H141" s="14">
        <v>1783093</v>
      </c>
      <c r="I141" s="14">
        <v>58</v>
      </c>
      <c r="J141" s="78">
        <v>3128.962732</v>
      </c>
      <c r="K141" s="78">
        <v>10454.5</v>
      </c>
      <c r="L141" s="78">
        <v>10363.052499999996</v>
      </c>
      <c r="M141" s="78">
        <v>13492</v>
      </c>
      <c r="N141" s="20">
        <v>351750</v>
      </c>
      <c r="O141" s="14"/>
      <c r="P141" s="150" t="s">
        <v>124</v>
      </c>
      <c r="Q141" s="6" t="s">
        <v>193</v>
      </c>
      <c r="R141" s="14">
        <v>139</v>
      </c>
      <c r="S141" s="78">
        <v>392.8</v>
      </c>
      <c r="T141" s="14">
        <v>158396</v>
      </c>
      <c r="U141" s="14">
        <v>953</v>
      </c>
      <c r="V141" s="78">
        <v>1510.1</v>
      </c>
      <c r="W141" s="14">
        <v>10141</v>
      </c>
      <c r="X141" s="14">
        <v>1075</v>
      </c>
      <c r="Y141" s="78">
        <v>6189.4</v>
      </c>
      <c r="Z141" s="14">
        <v>24301</v>
      </c>
      <c r="AA141" s="14">
        <v>192838</v>
      </c>
      <c r="AB141" s="14">
        <v>2327681</v>
      </c>
      <c r="AC141" s="20">
        <v>181774</v>
      </c>
      <c r="AD141" s="6"/>
    </row>
    <row r="142" spans="1:30" ht="15" customHeight="1" x14ac:dyDescent="0.3">
      <c r="A142" s="150" t="s">
        <v>125</v>
      </c>
      <c r="B142" s="6" t="s">
        <v>191</v>
      </c>
      <c r="C142" s="14">
        <v>3540</v>
      </c>
      <c r="D142" s="14">
        <v>105</v>
      </c>
      <c r="E142" s="77">
        <v>1.1027163115094061</v>
      </c>
      <c r="F142" s="78">
        <v>3903.6</v>
      </c>
      <c r="G142" s="14">
        <v>5000</v>
      </c>
      <c r="H142" s="14">
        <v>23843700</v>
      </c>
      <c r="I142" s="14">
        <v>1007</v>
      </c>
      <c r="J142" s="78">
        <v>61598.356059000733</v>
      </c>
      <c r="K142" s="78">
        <v>195467.99999993999</v>
      </c>
      <c r="L142" s="78">
        <v>192791.49499996728</v>
      </c>
      <c r="M142" s="78">
        <v>254389.9</v>
      </c>
      <c r="N142" s="20">
        <v>6632197</v>
      </c>
      <c r="O142" s="14"/>
      <c r="P142" s="150" t="s">
        <v>125</v>
      </c>
      <c r="Q142" s="6" t="s">
        <v>191</v>
      </c>
      <c r="R142" s="14">
        <v>2205</v>
      </c>
      <c r="S142" s="78">
        <v>7034.3</v>
      </c>
      <c r="T142" s="14">
        <v>2836564</v>
      </c>
      <c r="U142" s="14">
        <v>22558.177196804649</v>
      </c>
      <c r="V142" s="78">
        <v>36401.9</v>
      </c>
      <c r="W142" s="14">
        <v>244446</v>
      </c>
      <c r="X142" s="14">
        <v>42466.061849375714</v>
      </c>
      <c r="Y142" s="78">
        <v>171346.2</v>
      </c>
      <c r="Z142" s="14">
        <v>672732</v>
      </c>
      <c r="AA142" s="14">
        <v>3753742</v>
      </c>
      <c r="AB142" s="14">
        <v>34229639</v>
      </c>
      <c r="AC142" s="20">
        <v>0</v>
      </c>
      <c r="AD142" s="6"/>
    </row>
    <row r="143" spans="1:30" ht="15" customHeight="1" x14ac:dyDescent="0.3">
      <c r="A143" s="150" t="s">
        <v>126</v>
      </c>
      <c r="B143" s="6" t="s">
        <v>190</v>
      </c>
      <c r="C143" s="14">
        <v>177</v>
      </c>
      <c r="D143" s="14">
        <v>0</v>
      </c>
      <c r="E143" s="77">
        <v>1.3924782125482007</v>
      </c>
      <c r="F143" s="78">
        <v>246.5</v>
      </c>
      <c r="G143" s="14">
        <v>5000</v>
      </c>
      <c r="H143" s="14">
        <v>1510339</v>
      </c>
      <c r="I143" s="14">
        <v>114</v>
      </c>
      <c r="J143" s="78">
        <v>5365.5905209999983</v>
      </c>
      <c r="K143" s="78">
        <v>15616.5</v>
      </c>
      <c r="L143" s="78">
        <v>14650.347499999994</v>
      </c>
      <c r="M143" s="78">
        <v>20015.900000000001</v>
      </c>
      <c r="N143" s="20">
        <v>521834</v>
      </c>
      <c r="O143" s="14"/>
      <c r="P143" s="150" t="s">
        <v>126</v>
      </c>
      <c r="Q143" s="6" t="s">
        <v>190</v>
      </c>
      <c r="R143" s="14">
        <v>129</v>
      </c>
      <c r="S143" s="78">
        <v>323.10000000000002</v>
      </c>
      <c r="T143" s="14">
        <v>130289</v>
      </c>
      <c r="U143" s="14">
        <v>1732.5257731958761</v>
      </c>
      <c r="V143" s="78">
        <v>2370.8000000000002</v>
      </c>
      <c r="W143" s="14">
        <v>15920</v>
      </c>
      <c r="X143" s="14">
        <v>1873</v>
      </c>
      <c r="Y143" s="78">
        <v>10470.5</v>
      </c>
      <c r="Z143" s="14">
        <v>41109</v>
      </c>
      <c r="AA143" s="14">
        <v>187318</v>
      </c>
      <c r="AB143" s="14">
        <v>2219491</v>
      </c>
      <c r="AC143" s="20">
        <v>130860</v>
      </c>
      <c r="AD143" s="6"/>
    </row>
    <row r="144" spans="1:30" ht="15" customHeight="1" x14ac:dyDescent="0.3">
      <c r="A144" s="150" t="s">
        <v>127</v>
      </c>
      <c r="B144" s="6" t="s">
        <v>185</v>
      </c>
      <c r="C144" s="14">
        <v>1547</v>
      </c>
      <c r="D144" s="14">
        <v>115</v>
      </c>
      <c r="E144" s="77">
        <v>1.2407557138848373</v>
      </c>
      <c r="F144" s="78">
        <v>1919.4</v>
      </c>
      <c r="G144" s="14">
        <v>30000</v>
      </c>
      <c r="H144" s="14">
        <v>11751488</v>
      </c>
      <c r="I144" s="14">
        <v>638</v>
      </c>
      <c r="J144" s="78">
        <v>29762.197202000061</v>
      </c>
      <c r="K144" s="78">
        <v>113413.5</v>
      </c>
      <c r="L144" s="78">
        <v>112151.77874999995</v>
      </c>
      <c r="M144" s="78">
        <v>141914</v>
      </c>
      <c r="N144" s="20">
        <v>3699839</v>
      </c>
      <c r="O144" s="14"/>
      <c r="P144" s="150" t="s">
        <v>127</v>
      </c>
      <c r="Q144" s="6" t="s">
        <v>185</v>
      </c>
      <c r="R144" s="14">
        <v>1067</v>
      </c>
      <c r="S144" s="78">
        <v>3056</v>
      </c>
      <c r="T144" s="14">
        <v>1232325</v>
      </c>
      <c r="U144" s="14">
        <v>14425</v>
      </c>
      <c r="V144" s="78">
        <v>19479.900000000001</v>
      </c>
      <c r="W144" s="14">
        <v>130812</v>
      </c>
      <c r="X144" s="14">
        <v>31546</v>
      </c>
      <c r="Y144" s="78">
        <v>102731.9</v>
      </c>
      <c r="Z144" s="14">
        <v>403342</v>
      </c>
      <c r="AA144" s="14">
        <v>1766479</v>
      </c>
      <c r="AB144" s="14">
        <v>17217806</v>
      </c>
      <c r="AC144" s="20">
        <v>0</v>
      </c>
      <c r="AD144" s="6"/>
    </row>
    <row r="145" spans="1:30" ht="15" customHeight="1" x14ac:dyDescent="0.3">
      <c r="A145" s="150" t="s">
        <v>128</v>
      </c>
      <c r="B145" s="6" t="s">
        <v>183</v>
      </c>
      <c r="C145" s="14">
        <v>1653</v>
      </c>
      <c r="D145" s="14">
        <v>85</v>
      </c>
      <c r="E145" s="77">
        <v>1.1429406696847779</v>
      </c>
      <c r="F145" s="78">
        <v>1889.3</v>
      </c>
      <c r="G145" s="14">
        <v>24000</v>
      </c>
      <c r="H145" s="14">
        <v>11561672</v>
      </c>
      <c r="I145" s="14">
        <v>604</v>
      </c>
      <c r="J145" s="78">
        <v>28159.069642000108</v>
      </c>
      <c r="K145" s="78">
        <v>115188.5</v>
      </c>
      <c r="L145" s="78">
        <v>113295.03125000025</v>
      </c>
      <c r="M145" s="78">
        <v>141454.1</v>
      </c>
      <c r="N145" s="20">
        <v>3687848</v>
      </c>
      <c r="O145" s="14"/>
      <c r="P145" s="150" t="s">
        <v>128</v>
      </c>
      <c r="Q145" s="6" t="s">
        <v>183</v>
      </c>
      <c r="R145" s="14">
        <v>981</v>
      </c>
      <c r="S145" s="78">
        <v>2974.4</v>
      </c>
      <c r="T145" s="14">
        <v>1199420</v>
      </c>
      <c r="U145" s="14">
        <v>13238</v>
      </c>
      <c r="V145" s="78">
        <v>19819.3</v>
      </c>
      <c r="W145" s="14">
        <v>133091</v>
      </c>
      <c r="X145" s="14">
        <v>28823</v>
      </c>
      <c r="Y145" s="78">
        <v>101386.3</v>
      </c>
      <c r="Z145" s="14">
        <v>398059</v>
      </c>
      <c r="AA145" s="14">
        <v>1730570</v>
      </c>
      <c r="AB145" s="14">
        <v>16980090</v>
      </c>
      <c r="AC145" s="20">
        <v>0</v>
      </c>
      <c r="AD145" s="6"/>
    </row>
    <row r="146" spans="1:30" ht="16" customHeight="1" x14ac:dyDescent="0.3">
      <c r="A146" s="151" t="s">
        <v>412</v>
      </c>
      <c r="B146" s="156"/>
      <c r="C146" s="101">
        <v>179567</v>
      </c>
      <c r="D146" s="101">
        <v>9875</v>
      </c>
      <c r="E146" s="152"/>
      <c r="F146" s="153">
        <v>212436.19999999995</v>
      </c>
      <c r="G146" s="101">
        <v>11294000</v>
      </c>
      <c r="H146" s="101">
        <v>1308610000</v>
      </c>
      <c r="I146" s="101">
        <v>65327</v>
      </c>
      <c r="J146" s="153">
        <v>3206320.2844669949</v>
      </c>
      <c r="K146" s="153">
        <f>SUM(K8:K145)</f>
        <v>12038231.499999741</v>
      </c>
      <c r="L146" s="153">
        <v>11480693.588128166</v>
      </c>
      <c r="M146" s="153">
        <v>14687014.000000007</v>
      </c>
      <c r="N146" s="102">
        <v>382904998</v>
      </c>
      <c r="O146" s="129"/>
      <c r="P146" s="151" t="s">
        <v>412</v>
      </c>
      <c r="Q146" s="101"/>
      <c r="R146" s="101">
        <v>119331</v>
      </c>
      <c r="S146" s="153">
        <v>356081.49999999983</v>
      </c>
      <c r="T146" s="101">
        <v>143588998</v>
      </c>
      <c r="U146" s="101">
        <v>1043749.882446542</v>
      </c>
      <c r="V146" s="153">
        <v>1781889.1999999995</v>
      </c>
      <c r="W146" s="101">
        <v>11965752</v>
      </c>
      <c r="X146" s="101">
        <v>1961407.2380706712</v>
      </c>
      <c r="Y146" s="153">
        <v>9143097.1999999974</v>
      </c>
      <c r="Z146" s="101">
        <v>35897247</v>
      </c>
      <c r="AA146" s="101">
        <v>191451997</v>
      </c>
      <c r="AB146" s="101">
        <v>1882966995</v>
      </c>
      <c r="AC146" s="102">
        <v>39285561</v>
      </c>
      <c r="AD146" s="6"/>
    </row>
    <row r="147" spans="1:30" ht="13.4" customHeight="1" x14ac:dyDescent="0.3">
      <c r="A147" s="6"/>
      <c r="B147" s="6"/>
      <c r="C147" s="6"/>
      <c r="D147" s="6"/>
      <c r="E147" s="6"/>
      <c r="F147" s="6"/>
      <c r="G147" s="6"/>
      <c r="H147" s="6"/>
      <c r="I147" s="7"/>
      <c r="J147" s="7"/>
      <c r="K147" s="7"/>
      <c r="L147" s="205"/>
      <c r="M147" s="6"/>
      <c r="N147" s="6"/>
      <c r="O147" s="6"/>
      <c r="P147" s="6"/>
      <c r="Q147" s="6"/>
      <c r="R147" s="7"/>
      <c r="S147" s="6"/>
      <c r="T147" s="6"/>
      <c r="U147" s="7"/>
      <c r="V147" s="6"/>
      <c r="W147" s="6"/>
      <c r="X147" s="7"/>
      <c r="Y147" s="6"/>
      <c r="Z147" s="6"/>
      <c r="AA147" s="6"/>
      <c r="AB147" s="14"/>
      <c r="AC147" s="6"/>
      <c r="AD147" s="6"/>
    </row>
    <row r="148" spans="1:30" ht="15" customHeight="1" x14ac:dyDescent="0.3">
      <c r="A148" s="150" t="s">
        <v>512</v>
      </c>
      <c r="B148" s="6" t="s">
        <v>511</v>
      </c>
      <c r="C148" s="14">
        <f>C57+C141</f>
        <v>308</v>
      </c>
      <c r="D148" s="14">
        <f t="shared" ref="D148:AC148" si="0">D57+D141</f>
        <v>0</v>
      </c>
      <c r="E148" s="77">
        <f t="shared" si="0"/>
        <v>3.3691697320461138</v>
      </c>
      <c r="F148" s="78">
        <f t="shared" si="0"/>
        <v>518.70000000000005</v>
      </c>
      <c r="G148" s="14">
        <f t="shared" si="0"/>
        <v>11000</v>
      </c>
      <c r="H148" s="14">
        <f t="shared" si="0"/>
        <v>3178623</v>
      </c>
      <c r="I148" s="14">
        <f t="shared" si="0"/>
        <v>120</v>
      </c>
      <c r="J148" s="78">
        <f t="shared" si="0"/>
        <v>7441.3951779999998</v>
      </c>
      <c r="K148" s="78">
        <f t="shared" si="0"/>
        <v>23077</v>
      </c>
      <c r="L148" s="78">
        <f t="shared" si="0"/>
        <v>23960.792499999996</v>
      </c>
      <c r="M148" s="78">
        <f t="shared" si="0"/>
        <v>31402.2</v>
      </c>
      <c r="N148" s="20">
        <f t="shared" si="0"/>
        <v>818687</v>
      </c>
      <c r="O148" s="14">
        <f t="shared" si="0"/>
        <v>0</v>
      </c>
      <c r="P148" s="150" t="s">
        <v>512</v>
      </c>
      <c r="Q148" s="6" t="s">
        <v>511</v>
      </c>
      <c r="R148" s="14">
        <f t="shared" si="0"/>
        <v>259</v>
      </c>
      <c r="S148" s="78">
        <f t="shared" si="0"/>
        <v>696.3</v>
      </c>
      <c r="T148" s="14">
        <f t="shared" si="0"/>
        <v>280782</v>
      </c>
      <c r="U148" s="14">
        <f t="shared" si="0"/>
        <v>1495</v>
      </c>
      <c r="V148" s="78">
        <f t="shared" si="0"/>
        <v>2677.5</v>
      </c>
      <c r="W148" s="14">
        <f t="shared" si="0"/>
        <v>17980</v>
      </c>
      <c r="X148" s="14">
        <f t="shared" si="0"/>
        <v>2613.1470588235293</v>
      </c>
      <c r="Y148" s="78">
        <f t="shared" si="0"/>
        <v>15015.4</v>
      </c>
      <c r="Z148" s="14">
        <f t="shared" si="0"/>
        <v>58953</v>
      </c>
      <c r="AA148" s="14">
        <f t="shared" si="0"/>
        <v>357715</v>
      </c>
      <c r="AB148" s="14">
        <f t="shared" si="0"/>
        <v>4355025</v>
      </c>
      <c r="AC148" s="20">
        <f t="shared" si="0"/>
        <v>220227</v>
      </c>
      <c r="AD148" s="6"/>
    </row>
    <row r="149" spans="1:30" x14ac:dyDescent="0.3">
      <c r="A149" s="19" t="s">
        <v>510</v>
      </c>
      <c r="B149" s="19" t="s">
        <v>509</v>
      </c>
      <c r="C149" s="193">
        <f>C30</f>
        <v>1595</v>
      </c>
      <c r="D149" s="193">
        <f t="shared" ref="D149:AC149" si="1">D30</f>
        <v>0</v>
      </c>
      <c r="E149" s="193">
        <f t="shared" si="1"/>
        <v>5.0707284367250747</v>
      </c>
      <c r="F149" s="193">
        <f t="shared" si="1"/>
        <v>8087.8</v>
      </c>
      <c r="G149" s="193">
        <f t="shared" si="1"/>
        <v>0</v>
      </c>
      <c r="H149" s="193">
        <f t="shared" si="1"/>
        <v>49390981</v>
      </c>
      <c r="I149" s="193">
        <f t="shared" si="1"/>
        <v>325</v>
      </c>
      <c r="J149" s="193">
        <f t="shared" si="1"/>
        <v>82316.316984000092</v>
      </c>
      <c r="K149" s="193">
        <f t="shared" si="1"/>
        <v>62013</v>
      </c>
      <c r="L149" s="193">
        <f t="shared" si="1"/>
        <v>235021.53999999975</v>
      </c>
      <c r="M149" s="193">
        <f t="shared" si="1"/>
        <v>317337.90000000002</v>
      </c>
      <c r="N149" s="193">
        <f t="shared" si="1"/>
        <v>8273313</v>
      </c>
      <c r="O149" s="193">
        <f t="shared" si="1"/>
        <v>0</v>
      </c>
      <c r="P149" s="19" t="s">
        <v>510</v>
      </c>
      <c r="Q149" s="19" t="s">
        <v>509</v>
      </c>
      <c r="R149" s="193">
        <f t="shared" si="1"/>
        <v>298</v>
      </c>
      <c r="S149" s="193">
        <f t="shared" si="1"/>
        <v>1656.9</v>
      </c>
      <c r="T149" s="193">
        <f t="shared" si="1"/>
        <v>668141</v>
      </c>
      <c r="U149" s="193">
        <f t="shared" si="1"/>
        <v>6572</v>
      </c>
      <c r="V149" s="193">
        <f t="shared" si="1"/>
        <v>9162.6</v>
      </c>
      <c r="W149" s="193">
        <f t="shared" si="1"/>
        <v>61529</v>
      </c>
      <c r="X149" s="193">
        <f t="shared" si="1"/>
        <v>16868</v>
      </c>
      <c r="Y149" s="193">
        <f t="shared" si="1"/>
        <v>59119.5</v>
      </c>
      <c r="Z149" s="193">
        <f t="shared" si="1"/>
        <v>232113</v>
      </c>
      <c r="AA149" s="193">
        <f t="shared" si="1"/>
        <v>961783</v>
      </c>
      <c r="AB149" s="193">
        <f t="shared" si="1"/>
        <v>58626077</v>
      </c>
      <c r="AC149" s="193">
        <f t="shared" si="1"/>
        <v>2697927</v>
      </c>
    </row>
    <row r="150" spans="1:30" x14ac:dyDescent="0.3">
      <c r="A150" s="150" t="s">
        <v>44</v>
      </c>
      <c r="B150" s="6" t="s">
        <v>295</v>
      </c>
      <c r="C150" s="193">
        <f>C44+C128</f>
        <v>2769</v>
      </c>
      <c r="D150" s="193">
        <f t="shared" ref="D150:AC150" si="2">D44+D128</f>
        <v>135</v>
      </c>
      <c r="E150" s="193">
        <f t="shared" si="2"/>
        <v>1.822620055390856</v>
      </c>
      <c r="F150" s="193">
        <f t="shared" si="2"/>
        <v>3025.2000000000003</v>
      </c>
      <c r="G150" s="193">
        <f t="shared" si="2"/>
        <v>50000</v>
      </c>
      <c r="H150" s="193">
        <f t="shared" si="2"/>
        <v>18524443</v>
      </c>
      <c r="I150" s="193">
        <f t="shared" si="2"/>
        <v>1048</v>
      </c>
      <c r="J150" s="193">
        <f t="shared" si="2"/>
        <v>48041.840232999821</v>
      </c>
      <c r="K150" s="193">
        <f t="shared" si="2"/>
        <v>189003</v>
      </c>
      <c r="L150" s="193">
        <f t="shared" si="2"/>
        <v>174238.66750000004</v>
      </c>
      <c r="M150" s="193">
        <f t="shared" si="2"/>
        <v>222280.5</v>
      </c>
      <c r="N150" s="193">
        <f t="shared" si="2"/>
        <v>5795072</v>
      </c>
      <c r="O150" s="193">
        <f t="shared" si="2"/>
        <v>0</v>
      </c>
      <c r="P150" s="150" t="s">
        <v>44</v>
      </c>
      <c r="Q150" s="6" t="s">
        <v>295</v>
      </c>
      <c r="R150" s="193">
        <f t="shared" si="2"/>
        <v>1861</v>
      </c>
      <c r="S150" s="193">
        <f t="shared" si="2"/>
        <v>5874.5</v>
      </c>
      <c r="T150" s="193">
        <f t="shared" si="2"/>
        <v>2368878</v>
      </c>
      <c r="U150" s="193">
        <f t="shared" si="2"/>
        <v>19244</v>
      </c>
      <c r="V150" s="193">
        <f t="shared" si="2"/>
        <v>29432.799999999999</v>
      </c>
      <c r="W150" s="193">
        <f t="shared" si="2"/>
        <v>197647</v>
      </c>
      <c r="X150" s="193">
        <f t="shared" si="2"/>
        <v>41541</v>
      </c>
      <c r="Y150" s="193">
        <f t="shared" si="2"/>
        <v>169513.1</v>
      </c>
      <c r="Z150" s="193">
        <f t="shared" si="2"/>
        <v>665535</v>
      </c>
      <c r="AA150" s="193">
        <f t="shared" si="2"/>
        <v>3232060</v>
      </c>
      <c r="AB150" s="193">
        <f t="shared" si="2"/>
        <v>27551575</v>
      </c>
      <c r="AC150" s="193">
        <f t="shared" si="2"/>
        <v>0</v>
      </c>
    </row>
  </sheetData>
  <mergeCells count="2">
    <mergeCell ref="A5:N5"/>
    <mergeCell ref="P5:AC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5">
    <tabColor theme="4" tint="0.59999389629810485"/>
  </sheetPr>
  <dimension ref="A3:U45"/>
  <sheetViews>
    <sheetView topLeftCell="C1" zoomScale="90" zoomScaleNormal="90" workbookViewId="0">
      <selection activeCell="C1" sqref="C1"/>
    </sheetView>
  </sheetViews>
  <sheetFormatPr defaultRowHeight="14.5" x14ac:dyDescent="0.35"/>
  <cols>
    <col min="1" max="6" width="4.453125" customWidth="1"/>
    <col min="7" max="7" width="77.453125" customWidth="1"/>
    <col min="8" max="13" width="14.7265625" customWidth="1"/>
    <col min="14" max="17" width="12.81640625" customWidth="1"/>
    <col min="18" max="18" width="13.54296875" customWidth="1"/>
    <col min="19" max="21" width="11" bestFit="1" customWidth="1"/>
  </cols>
  <sheetData>
    <row r="3" spans="1:21" x14ac:dyDescent="0.35">
      <c r="A3" s="19"/>
      <c r="I3" s="127"/>
      <c r="J3" s="127"/>
      <c r="K3" s="203"/>
      <c r="L3" s="127"/>
      <c r="M3" s="127"/>
      <c r="N3" s="127"/>
      <c r="O3" s="127"/>
      <c r="P3" s="127"/>
      <c r="Q3" s="173"/>
      <c r="R3" s="107"/>
      <c r="S3" s="107"/>
      <c r="T3" s="107"/>
      <c r="U3" s="107"/>
    </row>
    <row r="4" spans="1:21" x14ac:dyDescent="0.35">
      <c r="A4" s="47" t="s">
        <v>455</v>
      </c>
      <c r="L4" s="127"/>
      <c r="S4" s="47"/>
      <c r="T4" s="47"/>
    </row>
    <row r="5" spans="1:21" ht="29" x14ac:dyDescent="0.35">
      <c r="A5" s="59"/>
      <c r="B5" s="60"/>
      <c r="C5" s="60"/>
      <c r="D5" s="60"/>
      <c r="E5" s="60"/>
      <c r="F5" s="60"/>
      <c r="G5" s="61"/>
      <c r="H5" s="79" t="s">
        <v>157</v>
      </c>
      <c r="I5" s="79" t="s">
        <v>157</v>
      </c>
      <c r="J5" s="79" t="s">
        <v>157</v>
      </c>
      <c r="K5" s="79" t="s">
        <v>157</v>
      </c>
      <c r="L5" s="79" t="s">
        <v>157</v>
      </c>
      <c r="M5" s="79" t="s">
        <v>157</v>
      </c>
      <c r="N5" s="62" t="s">
        <v>354</v>
      </c>
      <c r="O5" s="63" t="s">
        <v>353</v>
      </c>
      <c r="P5" s="63" t="s">
        <v>351</v>
      </c>
      <c r="Q5" s="63" t="s">
        <v>352</v>
      </c>
      <c r="R5" s="64" t="s">
        <v>575</v>
      </c>
      <c r="S5" s="47"/>
      <c r="T5" s="47"/>
    </row>
    <row r="6" spans="1:21" ht="15" customHeight="1" x14ac:dyDescent="0.35">
      <c r="A6" s="251" t="s">
        <v>478</v>
      </c>
      <c r="B6" s="252"/>
      <c r="C6" s="252"/>
      <c r="D6" s="252"/>
      <c r="E6" s="252"/>
      <c r="F6" s="252"/>
      <c r="G6" s="253"/>
      <c r="H6" s="83">
        <f>I7+H26</f>
        <v>2105818000</v>
      </c>
      <c r="I6" s="81"/>
      <c r="J6" s="81"/>
      <c r="K6" s="81"/>
      <c r="L6" s="81"/>
      <c r="M6" s="81"/>
      <c r="N6" s="95"/>
      <c r="O6" s="53"/>
      <c r="P6" s="96"/>
      <c r="Q6" s="96"/>
      <c r="R6" s="97"/>
      <c r="S6" s="47"/>
      <c r="T6" s="47"/>
    </row>
    <row r="7" spans="1:21" ht="15" customHeight="1" x14ac:dyDescent="0.35">
      <c r="A7" s="76"/>
      <c r="B7" s="249" t="s">
        <v>479</v>
      </c>
      <c r="C7" s="249"/>
      <c r="D7" s="249"/>
      <c r="E7" s="249"/>
      <c r="F7" s="249"/>
      <c r="G7" s="250"/>
      <c r="H7" s="82"/>
      <c r="I7" s="90">
        <v>2062909000</v>
      </c>
      <c r="J7" s="81"/>
      <c r="K7" s="81"/>
      <c r="L7" s="81"/>
      <c r="M7" s="81"/>
      <c r="N7" s="54">
        <f>I7/I$7</f>
        <v>1</v>
      </c>
      <c r="O7" s="55"/>
      <c r="P7" s="55"/>
      <c r="Q7" s="55"/>
      <c r="R7" s="65"/>
      <c r="S7" s="47"/>
      <c r="T7" s="47"/>
    </row>
    <row r="8" spans="1:21" s="163" customFormat="1" ht="15" customHeight="1" x14ac:dyDescent="0.35">
      <c r="A8" s="76"/>
      <c r="B8" s="168"/>
      <c r="C8" s="249" t="s">
        <v>480</v>
      </c>
      <c r="D8" s="249"/>
      <c r="E8" s="249"/>
      <c r="F8" s="249"/>
      <c r="G8" s="250"/>
      <c r="H8" s="82"/>
      <c r="I8" s="83"/>
      <c r="J8" s="81">
        <f>I7-H27</f>
        <v>2047909000</v>
      </c>
      <c r="K8" s="81"/>
      <c r="L8" s="81"/>
      <c r="M8" s="81"/>
      <c r="N8" s="54"/>
      <c r="O8" s="55"/>
      <c r="P8" s="55"/>
      <c r="Q8" s="55"/>
      <c r="R8" s="65"/>
      <c r="S8" s="47"/>
      <c r="T8" s="47"/>
    </row>
    <row r="9" spans="1:21" ht="15" customHeight="1" x14ac:dyDescent="0.35">
      <c r="A9" s="76"/>
      <c r="B9" s="130"/>
      <c r="C9" s="254" t="s">
        <v>481</v>
      </c>
      <c r="D9" s="249"/>
      <c r="E9" s="249"/>
      <c r="F9" s="249"/>
      <c r="G9" s="250"/>
      <c r="H9" s="83"/>
      <c r="I9" s="80"/>
      <c r="J9" s="174">
        <v>2047909000</v>
      </c>
      <c r="K9" s="81"/>
      <c r="L9" s="81"/>
      <c r="M9" s="81"/>
      <c r="N9" s="54">
        <f>J9/I$7</f>
        <v>0.99272871464519274</v>
      </c>
      <c r="O9" s="56">
        <f>J9/J$9</f>
        <v>1</v>
      </c>
      <c r="P9" s="56"/>
      <c r="Q9" s="55"/>
      <c r="R9" s="65"/>
      <c r="S9" s="47"/>
      <c r="T9" s="47"/>
    </row>
    <row r="10" spans="1:21" s="163" customFormat="1" ht="15" customHeight="1" x14ac:dyDescent="0.35">
      <c r="A10" s="76"/>
      <c r="B10" s="238"/>
      <c r="C10" s="254" t="s">
        <v>573</v>
      </c>
      <c r="D10" s="254"/>
      <c r="E10" s="254"/>
      <c r="F10" s="254"/>
      <c r="G10" s="255"/>
      <c r="H10" s="83"/>
      <c r="I10" s="80"/>
      <c r="J10" s="174">
        <v>0</v>
      </c>
      <c r="K10" s="81"/>
      <c r="L10" s="81"/>
      <c r="M10" s="81"/>
      <c r="N10" s="54">
        <f>J10/I$7</f>
        <v>0</v>
      </c>
      <c r="O10" s="56">
        <f>J10/J$9</f>
        <v>0</v>
      </c>
      <c r="P10" s="56"/>
      <c r="Q10" s="55"/>
      <c r="R10" s="65"/>
      <c r="S10" s="47"/>
      <c r="T10" s="47"/>
    </row>
    <row r="11" spans="1:21" ht="15" customHeight="1" x14ac:dyDescent="0.35">
      <c r="A11" s="76"/>
      <c r="B11" s="130"/>
      <c r="C11" s="130"/>
      <c r="D11" s="249" t="s">
        <v>350</v>
      </c>
      <c r="E11" s="249"/>
      <c r="F11" s="249"/>
      <c r="G11" s="250"/>
      <c r="H11" s="83"/>
      <c r="I11" s="81"/>
      <c r="J11" s="81"/>
      <c r="K11" s="81">
        <f>ROUND(J9*O11,-3)+J10</f>
        <v>1433536000</v>
      </c>
      <c r="L11" s="81"/>
      <c r="M11" s="81"/>
      <c r="N11" s="54">
        <f>K11/I$7</f>
        <v>0.69490995482592788</v>
      </c>
      <c r="O11" s="86">
        <v>0.7</v>
      </c>
      <c r="P11" s="56">
        <f>K11/K$11</f>
        <v>1</v>
      </c>
      <c r="Q11" s="55"/>
      <c r="R11" s="65"/>
      <c r="S11" s="161"/>
      <c r="T11" s="161"/>
    </row>
    <row r="12" spans="1:21" ht="15" customHeight="1" x14ac:dyDescent="0.35">
      <c r="A12" s="204"/>
      <c r="B12" s="130"/>
      <c r="C12" s="130"/>
      <c r="D12" s="50"/>
      <c r="E12" s="249" t="s">
        <v>482</v>
      </c>
      <c r="F12" s="249"/>
      <c r="G12" s="250"/>
      <c r="H12" s="83"/>
      <c r="I12" s="81"/>
      <c r="J12" s="81"/>
      <c r="K12" s="81"/>
      <c r="L12" s="81">
        <f>K11-H28</f>
        <v>1421536000</v>
      </c>
      <c r="M12" s="81"/>
      <c r="N12" s="54">
        <f>L12/I$7</f>
        <v>0.6890929265420821</v>
      </c>
      <c r="O12" s="55">
        <f>L12/J$9</f>
        <v>0.69414021814445859</v>
      </c>
      <c r="P12" s="56">
        <f>L12/K$11</f>
        <v>0.99162909058440107</v>
      </c>
      <c r="Q12" s="56"/>
      <c r="R12" s="65"/>
      <c r="S12" s="47"/>
      <c r="T12" s="47"/>
    </row>
    <row r="13" spans="1:21" ht="15" customHeight="1" x14ac:dyDescent="0.35">
      <c r="A13" s="76"/>
      <c r="B13" s="130"/>
      <c r="C13" s="130"/>
      <c r="D13" s="50"/>
      <c r="E13" s="249" t="s">
        <v>483</v>
      </c>
      <c r="F13" s="249"/>
      <c r="G13" s="250"/>
      <c r="H13" s="83"/>
      <c r="I13" s="81"/>
      <c r="J13" s="81"/>
      <c r="K13" s="81"/>
      <c r="L13" s="81">
        <f>K11-H28-H29</f>
        <v>1403636000</v>
      </c>
      <c r="M13" s="75"/>
      <c r="N13" s="54">
        <f>L13/I$7</f>
        <v>0.6804158593520121</v>
      </c>
      <c r="O13" s="55">
        <f>L13/J$9</f>
        <v>0.6853995953921781</v>
      </c>
      <c r="P13" s="56">
        <f>L13/K$11</f>
        <v>0.97914248403946602</v>
      </c>
      <c r="Q13" s="55"/>
      <c r="R13" s="65"/>
      <c r="S13" s="47"/>
      <c r="T13" s="47"/>
    </row>
    <row r="14" spans="1:21" ht="15" customHeight="1" x14ac:dyDescent="0.35">
      <c r="A14" s="76"/>
      <c r="B14" s="130"/>
      <c r="C14" s="50"/>
      <c r="D14" s="249" t="s">
        <v>156</v>
      </c>
      <c r="E14" s="249"/>
      <c r="F14" s="249"/>
      <c r="G14" s="250"/>
      <c r="H14" s="83"/>
      <c r="I14" s="81"/>
      <c r="J14" s="81"/>
      <c r="K14" s="81">
        <f>ROUND(J9*O14,-3)</f>
        <v>409582000</v>
      </c>
      <c r="L14" s="81"/>
      <c r="M14" s="81"/>
      <c r="N14" s="54">
        <f>K14/I$7</f>
        <v>0.19854583987950997</v>
      </c>
      <c r="O14" s="87">
        <v>0.2</v>
      </c>
      <c r="P14" s="88"/>
      <c r="Q14" s="55"/>
      <c r="R14" s="65"/>
      <c r="S14" s="161"/>
      <c r="T14" s="161"/>
    </row>
    <row r="15" spans="1:21" ht="15" customHeight="1" x14ac:dyDescent="0.35">
      <c r="A15" s="76"/>
      <c r="B15" s="130"/>
      <c r="C15" s="50"/>
      <c r="D15" s="249" t="s">
        <v>339</v>
      </c>
      <c r="E15" s="249"/>
      <c r="F15" s="249"/>
      <c r="G15" s="250"/>
      <c r="H15" s="83"/>
      <c r="I15" s="81"/>
      <c r="J15" s="81"/>
      <c r="K15" s="81">
        <f>ROUND(J9*O15,-3)</f>
        <v>204791000</v>
      </c>
      <c r="L15" s="81"/>
      <c r="M15" s="81"/>
      <c r="N15" s="54">
        <f>K15/I$7</f>
        <v>9.9272919939754983E-2</v>
      </c>
      <c r="O15" s="87">
        <v>0.1</v>
      </c>
      <c r="P15" s="88"/>
      <c r="Q15" s="55">
        <f>K15/K$15</f>
        <v>1</v>
      </c>
      <c r="R15" s="65"/>
      <c r="S15" s="47"/>
      <c r="T15" s="161"/>
    </row>
    <row r="16" spans="1:21" ht="15" customHeight="1" x14ac:dyDescent="0.35">
      <c r="A16" s="76"/>
      <c r="B16" s="51"/>
      <c r="C16" s="50"/>
      <c r="D16" s="130"/>
      <c r="E16" s="249" t="s">
        <v>162</v>
      </c>
      <c r="F16" s="249"/>
      <c r="G16" s="250"/>
      <c r="H16" s="83"/>
      <c r="I16" s="81"/>
      <c r="J16" s="81"/>
      <c r="K16" s="81"/>
      <c r="L16" s="81">
        <f>K15*Q16</f>
        <v>143353700</v>
      </c>
      <c r="M16" s="81"/>
      <c r="N16" s="54">
        <f>L16/I$7</f>
        <v>6.9491043957828486E-2</v>
      </c>
      <c r="O16" s="56">
        <f>L16/J$9</f>
        <v>7.0000034181206289E-2</v>
      </c>
      <c r="P16" s="88"/>
      <c r="Q16" s="241">
        <f>7/10</f>
        <v>0.7</v>
      </c>
      <c r="R16" s="242"/>
      <c r="S16" s="160"/>
      <c r="T16" s="160"/>
    </row>
    <row r="17" spans="1:20" s="47" customFormat="1" ht="15" customHeight="1" x14ac:dyDescent="0.35">
      <c r="A17" s="66"/>
      <c r="B17" s="51"/>
      <c r="C17" s="50"/>
      <c r="D17" s="130"/>
      <c r="E17" s="249" t="s">
        <v>341</v>
      </c>
      <c r="F17" s="249"/>
      <c r="G17" s="250"/>
      <c r="H17" s="83"/>
      <c r="I17" s="81"/>
      <c r="J17" s="81"/>
      <c r="K17" s="81"/>
      <c r="L17" s="81">
        <f>K15*Q17</f>
        <v>30718650</v>
      </c>
      <c r="M17" s="81"/>
      <c r="N17" s="54">
        <f>L17/I$7</f>
        <v>1.4890937990963247E-2</v>
      </c>
      <c r="O17" s="56">
        <f>L17/J$9</f>
        <v>1.5000007324544205E-2</v>
      </c>
      <c r="P17" s="88"/>
      <c r="Q17" s="241">
        <f>3/20</f>
        <v>0.15</v>
      </c>
      <c r="R17" s="242"/>
      <c r="S17" s="160"/>
      <c r="T17" s="160"/>
    </row>
    <row r="18" spans="1:20" s="47" customFormat="1" ht="15" customHeight="1" x14ac:dyDescent="0.35">
      <c r="A18" s="66"/>
      <c r="B18" s="130"/>
      <c r="C18" s="50"/>
      <c r="D18" s="130"/>
      <c r="E18" s="130"/>
      <c r="F18" s="249" t="s">
        <v>14</v>
      </c>
      <c r="G18" s="250"/>
      <c r="H18" s="83"/>
      <c r="I18" s="81"/>
      <c r="J18" s="81"/>
      <c r="K18" s="81"/>
      <c r="L18" s="81"/>
      <c r="M18" s="81">
        <f>ROUND(L17*R18,0)</f>
        <v>7679663</v>
      </c>
      <c r="N18" s="54">
        <f>M18/I$7</f>
        <v>3.7227347401169899E-3</v>
      </c>
      <c r="O18" s="56">
        <f>M18/J$9</f>
        <v>3.750002075287525E-3</v>
      </c>
      <c r="P18" s="88"/>
      <c r="Q18" s="243">
        <f>M18/K$15</f>
        <v>3.7500002441513546E-2</v>
      </c>
      <c r="R18" s="244">
        <f>1/4</f>
        <v>0.25</v>
      </c>
    </row>
    <row r="19" spans="1:20" ht="15" customHeight="1" x14ac:dyDescent="0.35">
      <c r="A19" s="76"/>
      <c r="B19" s="130"/>
      <c r="C19" s="50"/>
      <c r="D19" s="130"/>
      <c r="E19" s="130"/>
      <c r="F19" s="249" t="s">
        <v>342</v>
      </c>
      <c r="G19" s="250"/>
      <c r="H19" s="83"/>
      <c r="I19" s="81"/>
      <c r="J19" s="81"/>
      <c r="K19" s="81"/>
      <c r="L19" s="81"/>
      <c r="M19" s="81">
        <f>ROUND(L17*R19,0)</f>
        <v>23038988</v>
      </c>
      <c r="N19" s="54">
        <f>M19/I$7</f>
        <v>1.1168203735598613E-2</v>
      </c>
      <c r="O19" s="56">
        <f>M19/J$9</f>
        <v>1.1250005737559628E-2</v>
      </c>
      <c r="P19" s="88"/>
      <c r="Q19" s="243">
        <f>M19/K$15</f>
        <v>0.11250000244151355</v>
      </c>
      <c r="R19" s="244">
        <f>3/4</f>
        <v>0.75</v>
      </c>
      <c r="S19" s="47"/>
      <c r="T19" s="47"/>
    </row>
    <row r="20" spans="1:20" ht="15" customHeight="1" x14ac:dyDescent="0.35">
      <c r="A20" s="76"/>
      <c r="B20" s="159"/>
      <c r="C20" s="50"/>
      <c r="D20" s="159"/>
      <c r="E20" s="249" t="s">
        <v>538</v>
      </c>
      <c r="F20" s="249"/>
      <c r="G20" s="250"/>
      <c r="H20" s="83"/>
      <c r="I20" s="81"/>
      <c r="J20" s="81"/>
      <c r="K20" s="81"/>
      <c r="L20" s="81">
        <f>K15*Q20</f>
        <v>30718650</v>
      </c>
      <c r="M20" s="81"/>
      <c r="N20" s="54">
        <f>L20/I$7</f>
        <v>1.4890937990963247E-2</v>
      </c>
      <c r="O20" s="56">
        <f>L20/J$9</f>
        <v>1.5000007324544205E-2</v>
      </c>
      <c r="P20" s="88"/>
      <c r="Q20" s="241">
        <f>3/20</f>
        <v>0.15</v>
      </c>
      <c r="R20" s="242"/>
      <c r="S20" s="47"/>
      <c r="T20" s="160"/>
    </row>
    <row r="21" spans="1:20" s="163" customFormat="1" ht="15" customHeight="1" x14ac:dyDescent="0.35">
      <c r="A21" s="76"/>
      <c r="B21" s="208"/>
      <c r="C21" s="50"/>
      <c r="D21" s="208"/>
      <c r="E21" s="208"/>
      <c r="F21" s="249" t="s">
        <v>536</v>
      </c>
      <c r="G21" s="250"/>
      <c r="H21" s="83"/>
      <c r="I21" s="81"/>
      <c r="J21" s="81"/>
      <c r="K21" s="81"/>
      <c r="L21" s="81"/>
      <c r="M21" s="81">
        <f>ROUND(L20*R21,0)</f>
        <v>23038988</v>
      </c>
      <c r="N21" s="54">
        <f>M21/I$7</f>
        <v>1.1168203735598613E-2</v>
      </c>
      <c r="O21" s="56">
        <f>M21/J$9</f>
        <v>1.1250005737559628E-2</v>
      </c>
      <c r="P21" s="88"/>
      <c r="Q21" s="243">
        <f>M21/K$15</f>
        <v>0.11250000244151355</v>
      </c>
      <c r="R21" s="244">
        <f>3/4</f>
        <v>0.75</v>
      </c>
      <c r="S21" s="47"/>
      <c r="T21" s="160"/>
    </row>
    <row r="22" spans="1:20" s="163" customFormat="1" ht="15" customHeight="1" x14ac:dyDescent="0.35">
      <c r="A22" s="76"/>
      <c r="B22" s="208"/>
      <c r="C22" s="50"/>
      <c r="D22" s="208"/>
      <c r="E22" s="208"/>
      <c r="F22" s="249" t="s">
        <v>537</v>
      </c>
      <c r="G22" s="250"/>
      <c r="H22" s="83"/>
      <c r="I22" s="81"/>
      <c r="J22" s="81"/>
      <c r="K22" s="81"/>
      <c r="L22" s="81"/>
      <c r="M22" s="81">
        <f>ROUND(L20*R22,0)</f>
        <v>7679663</v>
      </c>
      <c r="N22" s="54">
        <f>M22/I$7</f>
        <v>3.7227347401169899E-3</v>
      </c>
      <c r="O22" s="56">
        <f>M22/J$9</f>
        <v>3.750002075287525E-3</v>
      </c>
      <c r="P22" s="88"/>
      <c r="Q22" s="243">
        <f>M22/K$15</f>
        <v>3.7500002441513546E-2</v>
      </c>
      <c r="R22" s="244">
        <f>1/4</f>
        <v>0.25</v>
      </c>
      <c r="S22" s="47"/>
      <c r="T22" s="160"/>
    </row>
    <row r="23" spans="1:20" ht="15" customHeight="1" x14ac:dyDescent="0.35">
      <c r="A23" s="76"/>
      <c r="B23" s="130"/>
      <c r="C23" s="249" t="s">
        <v>161</v>
      </c>
      <c r="D23" s="249"/>
      <c r="E23" s="249"/>
      <c r="F23" s="249"/>
      <c r="G23" s="250"/>
      <c r="H23" s="83"/>
      <c r="I23" s="81"/>
      <c r="J23" s="81">
        <f>J8+H26</f>
        <v>2090818000</v>
      </c>
      <c r="K23" s="81"/>
      <c r="L23" s="81"/>
      <c r="M23" s="81"/>
      <c r="N23" s="54"/>
      <c r="O23" s="55"/>
      <c r="P23" s="89"/>
      <c r="Q23" s="55"/>
      <c r="R23" s="65"/>
      <c r="S23" s="47"/>
      <c r="T23" s="47"/>
    </row>
    <row r="24" spans="1:20" ht="15" customHeight="1" x14ac:dyDescent="0.35">
      <c r="A24" s="76"/>
      <c r="B24" s="131"/>
      <c r="C24" s="249" t="s">
        <v>446</v>
      </c>
      <c r="D24" s="249"/>
      <c r="E24" s="249"/>
      <c r="F24" s="249"/>
      <c r="G24" s="250"/>
      <c r="H24" s="83"/>
      <c r="I24" s="81"/>
      <c r="J24" s="81">
        <f>J8-H29</f>
        <v>2030009000</v>
      </c>
      <c r="K24" s="81">
        <f>K11+K14+K15-H29</f>
        <v>2030009000</v>
      </c>
      <c r="L24" s="81"/>
      <c r="M24" s="81"/>
      <c r="N24" s="54"/>
      <c r="O24" s="55"/>
      <c r="P24" s="89"/>
      <c r="Q24" s="55"/>
      <c r="R24" s="65"/>
      <c r="S24" s="47"/>
      <c r="T24" s="47"/>
    </row>
    <row r="25" spans="1:20" ht="15" customHeight="1" x14ac:dyDescent="0.35">
      <c r="A25" s="58"/>
      <c r="B25" s="48"/>
      <c r="C25" s="256" t="s">
        <v>447</v>
      </c>
      <c r="D25" s="256"/>
      <c r="E25" s="256"/>
      <c r="F25" s="256"/>
      <c r="G25" s="257"/>
      <c r="H25" s="81"/>
      <c r="I25" s="81"/>
      <c r="J25" s="81">
        <f>J8-H28-H29</f>
        <v>2018009000</v>
      </c>
      <c r="K25" s="81"/>
      <c r="L25" s="81">
        <f>L13+K14+K15</f>
        <v>2018009000</v>
      </c>
      <c r="M25" s="81"/>
      <c r="N25" s="54">
        <f>J25/I$7</f>
        <v>0.97823461917127708</v>
      </c>
      <c r="O25" s="121">
        <f>J25/J$9</f>
        <v>0.98539974188306223</v>
      </c>
      <c r="P25" s="85"/>
      <c r="Q25" s="85"/>
      <c r="R25" s="84"/>
      <c r="S25" s="47"/>
      <c r="T25" s="47"/>
    </row>
    <row r="26" spans="1:20" ht="15" customHeight="1" x14ac:dyDescent="0.35">
      <c r="A26" s="57"/>
      <c r="B26" s="52"/>
      <c r="C26" s="52"/>
      <c r="D26" s="52"/>
      <c r="E26" s="52"/>
      <c r="F26" s="252" t="s">
        <v>158</v>
      </c>
      <c r="G26" s="253"/>
      <c r="H26" s="91">
        <v>42909000</v>
      </c>
      <c r="I26" s="98"/>
      <c r="J26" s="98"/>
      <c r="K26" s="98"/>
      <c r="L26" s="98"/>
      <c r="M26" s="98"/>
      <c r="N26" s="67"/>
      <c r="O26" s="68"/>
      <c r="P26" s="68"/>
      <c r="Q26" s="68"/>
      <c r="R26" s="69"/>
      <c r="S26" s="47"/>
      <c r="T26" s="47"/>
    </row>
    <row r="27" spans="1:20" ht="15" customHeight="1" x14ac:dyDescent="0.35">
      <c r="A27" s="58"/>
      <c r="B27" s="48"/>
      <c r="C27" s="48"/>
      <c r="D27" s="48"/>
      <c r="E27" s="48"/>
      <c r="F27" s="249" t="s">
        <v>159</v>
      </c>
      <c r="G27" s="250"/>
      <c r="H27" s="90">
        <v>15000000</v>
      </c>
      <c r="I27" s="83"/>
      <c r="J27" s="83"/>
      <c r="K27" s="83"/>
      <c r="L27" s="83"/>
      <c r="M27" s="83"/>
      <c r="N27" s="71">
        <f>H27/I$7</f>
        <v>7.2712853548072163E-3</v>
      </c>
      <c r="O27" s="55"/>
      <c r="P27" s="55"/>
      <c r="Q27" s="55"/>
      <c r="R27" s="65"/>
      <c r="S27" s="47"/>
      <c r="T27" s="47"/>
    </row>
    <row r="28" spans="1:20" ht="15" customHeight="1" x14ac:dyDescent="0.35">
      <c r="A28" s="58"/>
      <c r="B28" s="48"/>
      <c r="C28" s="48"/>
      <c r="D28" s="48"/>
      <c r="E28" s="48"/>
      <c r="F28" s="249" t="s">
        <v>160</v>
      </c>
      <c r="G28" s="250"/>
      <c r="H28" s="90">
        <v>12000000</v>
      </c>
      <c r="I28" s="83"/>
      <c r="J28" s="83"/>
      <c r="K28" s="83"/>
      <c r="L28" s="83"/>
      <c r="M28" s="83"/>
      <c r="N28" s="71">
        <f>H28/I$7</f>
        <v>5.8170282838457734E-3</v>
      </c>
      <c r="O28" s="55">
        <f>H28/J$9</f>
        <v>5.8596353646573167E-3</v>
      </c>
      <c r="P28" s="55">
        <f>H28/K$11</f>
        <v>8.3709094155989105E-3</v>
      </c>
      <c r="Q28" s="55"/>
      <c r="R28" s="65"/>
      <c r="S28" s="47"/>
      <c r="T28" s="47"/>
    </row>
    <row r="29" spans="1:20" ht="15" customHeight="1" x14ac:dyDescent="0.35">
      <c r="A29" s="58"/>
      <c r="B29" s="48"/>
      <c r="C29" s="48"/>
      <c r="D29" s="48"/>
      <c r="E29" s="48"/>
      <c r="F29" s="249" t="s">
        <v>368</v>
      </c>
      <c r="G29" s="250"/>
      <c r="H29" s="135">
        <v>17900000</v>
      </c>
      <c r="I29" s="83"/>
      <c r="J29" s="83"/>
      <c r="K29" s="83"/>
      <c r="L29" s="83"/>
      <c r="M29" s="136"/>
      <c r="N29" s="71">
        <f>H29/I$7</f>
        <v>8.6770671900699443E-3</v>
      </c>
      <c r="O29" s="55">
        <f>H29/J$9</f>
        <v>8.7406227522804966E-3</v>
      </c>
      <c r="P29" s="55">
        <f>H29/K$11</f>
        <v>1.2486606544935042E-2</v>
      </c>
      <c r="Q29" s="55"/>
      <c r="R29" s="65"/>
      <c r="S29" s="47"/>
      <c r="T29" s="47"/>
    </row>
    <row r="30" spans="1:20" ht="15" customHeight="1" x14ac:dyDescent="0.35">
      <c r="A30" s="58"/>
      <c r="B30" s="48"/>
      <c r="C30" s="48"/>
      <c r="D30" s="48"/>
      <c r="E30" s="48"/>
      <c r="F30" s="130"/>
      <c r="G30" s="132" t="s">
        <v>574</v>
      </c>
      <c r="H30" s="90">
        <v>5000000</v>
      </c>
      <c r="I30" s="83"/>
      <c r="J30" s="83"/>
      <c r="K30" s="83"/>
      <c r="L30" s="83"/>
      <c r="M30" s="83"/>
      <c r="N30" s="71">
        <f t="shared" ref="N30:N31" si="0">H30/I$7</f>
        <v>2.4237617849357388E-3</v>
      </c>
      <c r="O30" s="55">
        <f t="shared" ref="O30:O31" si="1">H30/J$9</f>
        <v>2.4415147352738818E-3</v>
      </c>
      <c r="P30" s="55">
        <f t="shared" ref="P30:P31" si="2">H30/K$11</f>
        <v>3.487878923166213E-3</v>
      </c>
      <c r="Q30" s="55"/>
      <c r="R30" s="65"/>
      <c r="S30" s="47"/>
      <c r="T30" s="47"/>
    </row>
    <row r="31" spans="1:20" ht="15" customHeight="1" x14ac:dyDescent="0.35">
      <c r="A31" s="133"/>
      <c r="B31" s="49"/>
      <c r="C31" s="49"/>
      <c r="D31" s="49"/>
      <c r="E31" s="49"/>
      <c r="F31" s="49"/>
      <c r="G31" s="134" t="s">
        <v>431</v>
      </c>
      <c r="H31" s="143">
        <f>H29-H30</f>
        <v>12900000</v>
      </c>
      <c r="I31" s="49"/>
      <c r="J31" s="49"/>
      <c r="K31" s="49"/>
      <c r="L31" s="49"/>
      <c r="M31" s="49"/>
      <c r="N31" s="72">
        <f t="shared" si="0"/>
        <v>6.2533054051342064E-3</v>
      </c>
      <c r="O31" s="70">
        <f t="shared" si="1"/>
        <v>6.2991080170066152E-3</v>
      </c>
      <c r="P31" s="70">
        <f t="shared" si="2"/>
        <v>8.9987276217688289E-3</v>
      </c>
      <c r="Q31" s="49"/>
      <c r="R31" s="128"/>
      <c r="S31" s="47"/>
      <c r="T31" s="47"/>
    </row>
    <row r="32" spans="1:20" x14ac:dyDescent="0.35">
      <c r="A32" s="47" t="s">
        <v>572</v>
      </c>
    </row>
    <row r="33" spans="3:15" x14ac:dyDescent="0.35">
      <c r="C33" s="106"/>
      <c r="D33" s="106"/>
      <c r="E33" s="106"/>
      <c r="F33" s="106"/>
      <c r="G33" s="106"/>
      <c r="H33" s="106"/>
      <c r="I33" s="106"/>
      <c r="K33" s="106"/>
      <c r="L33" s="106"/>
      <c r="M33" s="106"/>
    </row>
    <row r="34" spans="3:15" x14ac:dyDescent="0.35">
      <c r="H34" s="144"/>
      <c r="I34" s="145"/>
      <c r="J34" s="145"/>
      <c r="K34" s="145"/>
      <c r="L34" s="145"/>
      <c r="M34" s="145"/>
      <c r="N34" s="145"/>
      <c r="O34" s="5"/>
    </row>
    <row r="35" spans="3:15" x14ac:dyDescent="0.35">
      <c r="H35" s="144"/>
      <c r="I35" s="145"/>
      <c r="J35" s="145"/>
      <c r="K35" s="145"/>
      <c r="L35" s="145"/>
      <c r="M35" s="145"/>
      <c r="N35" s="145"/>
      <c r="O35" s="5"/>
    </row>
    <row r="36" spans="3:15" x14ac:dyDescent="0.35">
      <c r="H36" s="144"/>
      <c r="I36" s="145"/>
      <c r="J36" s="145"/>
      <c r="K36" s="145"/>
      <c r="L36" s="145"/>
      <c r="M36" s="145"/>
      <c r="N36" s="145"/>
      <c r="O36" s="5"/>
    </row>
    <row r="37" spans="3:15" x14ac:dyDescent="0.35">
      <c r="H37" s="144"/>
      <c r="I37" s="145"/>
      <c r="J37" s="145"/>
      <c r="K37" s="145"/>
      <c r="L37" s="145"/>
      <c r="M37" s="145"/>
      <c r="N37" s="145"/>
      <c r="O37" s="5"/>
    </row>
    <row r="38" spans="3:15" x14ac:dyDescent="0.35">
      <c r="H38" s="144"/>
      <c r="I38" s="145"/>
      <c r="J38" s="145"/>
      <c r="K38" s="145"/>
      <c r="L38" s="145"/>
      <c r="M38" s="145"/>
      <c r="N38" s="145"/>
      <c r="O38" s="163"/>
    </row>
    <row r="39" spans="3:15" x14ac:dyDescent="0.35">
      <c r="H39" s="144"/>
      <c r="I39" s="145"/>
      <c r="J39" s="145"/>
      <c r="K39" s="145"/>
      <c r="L39" s="145"/>
      <c r="M39" s="145"/>
      <c r="N39" s="145"/>
      <c r="O39" s="145"/>
    </row>
    <row r="40" spans="3:15" x14ac:dyDescent="0.35">
      <c r="H40" s="144"/>
      <c r="I40" s="145"/>
      <c r="J40" s="145"/>
      <c r="K40" s="145"/>
      <c r="L40" s="145"/>
      <c r="M40" s="145"/>
      <c r="N40" s="145"/>
      <c r="O40" s="145"/>
    </row>
    <row r="41" spans="3:15" x14ac:dyDescent="0.35">
      <c r="H41" s="144"/>
      <c r="I41" s="145"/>
      <c r="J41" s="145"/>
      <c r="K41" s="145"/>
      <c r="L41" s="145"/>
      <c r="M41" s="145"/>
      <c r="N41" s="145"/>
      <c r="O41" s="5"/>
    </row>
    <row r="42" spans="3:15" x14ac:dyDescent="0.35">
      <c r="H42" s="144"/>
      <c r="I42" s="145"/>
      <c r="J42" s="145"/>
      <c r="K42" s="145"/>
      <c r="L42" s="145"/>
      <c r="M42" s="145"/>
      <c r="N42" s="145"/>
      <c r="O42" s="5"/>
    </row>
    <row r="43" spans="3:15" x14ac:dyDescent="0.35">
      <c r="H43" s="144"/>
      <c r="I43" s="145"/>
      <c r="J43" s="145"/>
      <c r="K43" s="145"/>
      <c r="L43" s="145"/>
      <c r="M43" s="145"/>
      <c r="N43" s="145"/>
      <c r="O43" s="5"/>
    </row>
    <row r="44" spans="3:15" x14ac:dyDescent="0.35">
      <c r="H44" s="144"/>
      <c r="I44" s="145"/>
      <c r="J44" s="145"/>
      <c r="K44" s="145"/>
      <c r="L44" s="145"/>
      <c r="M44" s="145"/>
      <c r="N44" s="145"/>
      <c r="O44" s="5"/>
    </row>
    <row r="45" spans="3:15" x14ac:dyDescent="0.35">
      <c r="H45" s="144"/>
      <c r="I45" s="145"/>
      <c r="J45" s="145"/>
      <c r="K45" s="145"/>
      <c r="L45" s="145"/>
      <c r="M45" s="145"/>
      <c r="N45" s="145"/>
      <c r="O45" s="163"/>
    </row>
  </sheetData>
  <mergeCells count="24">
    <mergeCell ref="F29:G29"/>
    <mergeCell ref="F28:G28"/>
    <mergeCell ref="F27:G27"/>
    <mergeCell ref="F26:G26"/>
    <mergeCell ref="C25:G25"/>
    <mergeCell ref="E13:G13"/>
    <mergeCell ref="A6:G6"/>
    <mergeCell ref="B7:G7"/>
    <mergeCell ref="C9:G9"/>
    <mergeCell ref="D11:G11"/>
    <mergeCell ref="E12:G12"/>
    <mergeCell ref="C8:G8"/>
    <mergeCell ref="C10:G10"/>
    <mergeCell ref="C24:G24"/>
    <mergeCell ref="C23:G23"/>
    <mergeCell ref="D14:G14"/>
    <mergeCell ref="D15:G15"/>
    <mergeCell ref="E16:G16"/>
    <mergeCell ref="E17:G17"/>
    <mergeCell ref="F18:G18"/>
    <mergeCell ref="F19:G19"/>
    <mergeCell ref="E20:G20"/>
    <mergeCell ref="F21:G21"/>
    <mergeCell ref="F22:G22"/>
  </mergeCells>
  <pageMargins left="0.7" right="0.7" top="0.75" bottom="0.75" header="0.3" footer="0.3"/>
  <pageSetup paperSize="9" orientation="portrait" r:id="rId1"/>
  <ignoredErrors>
    <ignoredError sqref="Q20 N20:O20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6">
    <tabColor theme="4" tint="0.59999389629810485"/>
  </sheetPr>
  <dimension ref="A1:AU314"/>
  <sheetViews>
    <sheetView zoomScaleNormal="100" workbookViewId="0">
      <pane xSplit="2" ySplit="5" topLeftCell="F102" activePane="bottomRight" state="frozen"/>
      <selection pane="topRight" activeCell="C1" sqref="C1"/>
      <selection pane="bottomLeft" activeCell="A6" sqref="A6"/>
      <selection pane="bottomRight"/>
    </sheetView>
  </sheetViews>
  <sheetFormatPr defaultColWidth="13.1796875" defaultRowHeight="14.5" x14ac:dyDescent="0.35"/>
  <cols>
    <col min="1" max="1" width="11.54296875" style="6" customWidth="1"/>
    <col min="2" max="2" width="42.1796875" style="6" customWidth="1"/>
    <col min="3" max="3" width="18.54296875" style="6" hidden="1" customWidth="1"/>
    <col min="4" max="5" width="16.453125" style="6" hidden="1" customWidth="1"/>
    <col min="6" max="6" width="16.7265625" style="6" customWidth="1"/>
    <col min="7" max="7" width="18.7265625" style="7" customWidth="1"/>
    <col min="8" max="8" width="10.26953125" style="7" customWidth="1"/>
    <col min="9" max="11" width="10.26953125" style="6" customWidth="1"/>
    <col min="12" max="12" width="12.26953125" style="6" customWidth="1"/>
    <col min="13" max="13" width="11.1796875" style="6" customWidth="1"/>
    <col min="14" max="14" width="10.26953125" style="6" customWidth="1"/>
    <col min="15" max="15" width="12.26953125" style="6" customWidth="1"/>
    <col min="16" max="17" width="10.26953125" style="6" customWidth="1"/>
    <col min="18" max="18" width="12.26953125" style="6" customWidth="1"/>
    <col min="19" max="20" width="10.26953125" style="6" customWidth="1"/>
    <col min="21" max="21" width="12.26953125" style="6" customWidth="1"/>
    <col min="22" max="23" width="10.26953125" style="6" customWidth="1"/>
    <col min="24" max="24" width="12.26953125" style="6" customWidth="1"/>
    <col min="25" max="25" width="11.453125" style="6" customWidth="1"/>
    <col min="26" max="26" width="10.26953125" style="6" customWidth="1"/>
    <col min="27" max="27" width="12.26953125" style="6" customWidth="1"/>
    <col min="28" max="28" width="11.453125" style="6" customWidth="1"/>
    <col min="29" max="29" width="10.26953125" style="6" customWidth="1"/>
    <col min="30" max="30" width="12.26953125" style="6" customWidth="1"/>
    <col min="31" max="31" width="10.26953125" style="6" customWidth="1"/>
    <col min="32" max="32" width="15.453125" style="6" customWidth="1"/>
    <col min="33" max="33" width="20.7265625" style="6" customWidth="1"/>
    <col min="34" max="34" width="20.7265625" customWidth="1"/>
    <col min="35" max="36" width="20.7265625" style="6" customWidth="1"/>
    <col min="37" max="37" width="20.7265625" customWidth="1"/>
    <col min="38" max="38" width="20.7265625" style="6" customWidth="1"/>
    <col min="39" max="39" width="20.7265625" customWidth="1"/>
    <col min="40" max="40" width="20.7265625" style="163" customWidth="1"/>
    <col min="41" max="41" width="20.7265625" customWidth="1"/>
    <col min="42" max="42" width="21.81640625" style="6" customWidth="1"/>
    <col min="43" max="43" width="21.81640625" style="7" customWidth="1"/>
    <col min="44" max="44" width="21.81640625" style="6" customWidth="1"/>
    <col min="45" max="45" width="25.54296875" style="7" customWidth="1"/>
    <col min="46" max="47" width="25.54296875" style="6" customWidth="1"/>
    <col min="48" max="16384" width="13.1796875" style="6"/>
  </cols>
  <sheetData>
    <row r="1" spans="1:47" x14ac:dyDescent="0.35">
      <c r="A1" s="7" t="s">
        <v>435</v>
      </c>
      <c r="D1" s="7"/>
      <c r="E1" s="7"/>
      <c r="F1" s="175"/>
      <c r="G1" s="5"/>
      <c r="H1" s="8"/>
      <c r="M1" s="14"/>
      <c r="V1" s="7"/>
      <c r="AB1" s="7"/>
      <c r="AG1" s="8"/>
      <c r="AH1" s="8"/>
      <c r="AI1" s="8"/>
      <c r="AJ1" s="8"/>
      <c r="AK1" s="202"/>
      <c r="AL1" s="8"/>
      <c r="AN1" s="8"/>
      <c r="AO1" s="7"/>
      <c r="AP1" s="7"/>
      <c r="AS1" s="6"/>
    </row>
    <row r="2" spans="1:47" ht="53.25" customHeight="1" x14ac:dyDescent="0.3">
      <c r="A2" s="117" t="s">
        <v>335</v>
      </c>
      <c r="B2" s="18"/>
      <c r="C2" s="18"/>
      <c r="D2" s="18"/>
      <c r="E2" s="18"/>
      <c r="F2" s="270" t="s">
        <v>576</v>
      </c>
      <c r="G2" s="271"/>
      <c r="H2" s="271"/>
      <c r="I2" s="271"/>
      <c r="J2" s="269"/>
      <c r="K2" s="269"/>
      <c r="L2" s="269"/>
      <c r="M2" s="269"/>
      <c r="N2" s="269"/>
      <c r="O2" s="269"/>
      <c r="P2" s="289"/>
      <c r="Q2" s="289"/>
      <c r="R2" s="289"/>
      <c r="S2" s="289"/>
      <c r="T2" s="289"/>
      <c r="U2" s="289"/>
      <c r="V2" s="289"/>
      <c r="W2" s="289"/>
      <c r="X2" s="289"/>
      <c r="Y2" s="289"/>
      <c r="Z2" s="289"/>
      <c r="AA2" s="289"/>
      <c r="AB2" s="289"/>
      <c r="AC2" s="289"/>
      <c r="AD2" s="289"/>
      <c r="AE2" s="269"/>
      <c r="AF2" s="272"/>
      <c r="AG2" s="279" t="s">
        <v>451</v>
      </c>
      <c r="AH2" s="279"/>
      <c r="AI2" s="279"/>
      <c r="AJ2" s="279"/>
      <c r="AK2" s="279"/>
      <c r="AL2" s="279"/>
      <c r="AM2" s="279"/>
      <c r="AN2" s="279"/>
      <c r="AO2" s="280"/>
      <c r="AP2" s="282" t="s">
        <v>599</v>
      </c>
      <c r="AQ2" s="283"/>
      <c r="AR2" s="283"/>
      <c r="AS2" s="284"/>
      <c r="AT2" s="138" t="s">
        <v>434</v>
      </c>
      <c r="AU2" s="137" t="s">
        <v>433</v>
      </c>
    </row>
    <row r="3" spans="1:47" s="9" customFormat="1" ht="15" customHeight="1" x14ac:dyDescent="0.3">
      <c r="A3" s="26"/>
      <c r="B3" s="26"/>
      <c r="C3" s="26"/>
      <c r="D3" s="26"/>
      <c r="E3" s="26"/>
      <c r="F3" s="260" t="s">
        <v>437</v>
      </c>
      <c r="G3" s="261"/>
      <c r="H3" s="261"/>
      <c r="I3" s="261"/>
      <c r="J3" s="261"/>
      <c r="K3" s="261"/>
      <c r="L3" s="262"/>
      <c r="M3" s="260" t="s">
        <v>156</v>
      </c>
      <c r="N3" s="261"/>
      <c r="O3" s="262"/>
      <c r="P3" s="263" t="s">
        <v>339</v>
      </c>
      <c r="Q3" s="264"/>
      <c r="R3" s="264"/>
      <c r="S3" s="264"/>
      <c r="T3" s="264"/>
      <c r="U3" s="264"/>
      <c r="V3" s="264"/>
      <c r="W3" s="264"/>
      <c r="X3" s="264"/>
      <c r="Y3" s="264"/>
      <c r="Z3" s="264"/>
      <c r="AA3" s="264"/>
      <c r="AB3" s="264"/>
      <c r="AC3" s="264"/>
      <c r="AD3" s="265"/>
      <c r="AE3" s="260" t="s">
        <v>13</v>
      </c>
      <c r="AF3" s="262"/>
      <c r="AG3" s="258" t="s">
        <v>540</v>
      </c>
      <c r="AH3" s="258" t="s">
        <v>541</v>
      </c>
      <c r="AI3" s="258" t="s">
        <v>542</v>
      </c>
      <c r="AJ3" s="258" t="s">
        <v>543</v>
      </c>
      <c r="AK3" s="258" t="s">
        <v>544</v>
      </c>
      <c r="AL3" s="258" t="s">
        <v>545</v>
      </c>
      <c r="AM3" s="258" t="s">
        <v>546</v>
      </c>
      <c r="AN3" s="258" t="s">
        <v>547</v>
      </c>
      <c r="AO3" s="259" t="s">
        <v>470</v>
      </c>
      <c r="AP3" s="287" t="s">
        <v>370</v>
      </c>
      <c r="AQ3" s="285" t="s">
        <v>371</v>
      </c>
      <c r="AR3" s="286" t="s">
        <v>372</v>
      </c>
      <c r="AS3" s="288" t="s">
        <v>436</v>
      </c>
      <c r="AT3" s="281"/>
      <c r="AU3" s="281"/>
    </row>
    <row r="4" spans="1:47" s="10" customFormat="1" ht="29.25" customHeight="1" x14ac:dyDescent="0.35">
      <c r="A4" s="27"/>
      <c r="B4" s="27"/>
      <c r="C4" s="27"/>
      <c r="D4" s="27"/>
      <c r="E4" s="27"/>
      <c r="F4" s="266" t="s">
        <v>168</v>
      </c>
      <c r="G4" s="267"/>
      <c r="H4" s="267"/>
      <c r="I4" s="267"/>
      <c r="J4" s="267"/>
      <c r="K4" s="267"/>
      <c r="L4" s="268"/>
      <c r="M4" s="273" t="s">
        <v>169</v>
      </c>
      <c r="N4" s="274"/>
      <c r="O4" s="275"/>
      <c r="P4" s="274" t="s">
        <v>170</v>
      </c>
      <c r="Q4" s="274"/>
      <c r="R4" s="274"/>
      <c r="S4" s="276" t="s">
        <v>171</v>
      </c>
      <c r="T4" s="277"/>
      <c r="U4" s="278"/>
      <c r="V4" s="276" t="s">
        <v>340</v>
      </c>
      <c r="W4" s="277"/>
      <c r="X4" s="278"/>
      <c r="Y4" s="276" t="s">
        <v>528</v>
      </c>
      <c r="Z4" s="277"/>
      <c r="AA4" s="278"/>
      <c r="AB4" s="276" t="s">
        <v>529</v>
      </c>
      <c r="AC4" s="277"/>
      <c r="AD4" s="278"/>
      <c r="AE4" s="273" t="s">
        <v>530</v>
      </c>
      <c r="AF4" s="275"/>
      <c r="AG4" s="258"/>
      <c r="AH4" s="258"/>
      <c r="AI4" s="258"/>
      <c r="AJ4" s="258"/>
      <c r="AK4" s="258"/>
      <c r="AL4" s="258"/>
      <c r="AM4" s="258"/>
      <c r="AN4" s="258"/>
      <c r="AO4" s="259"/>
      <c r="AP4" s="287"/>
      <c r="AQ4" s="285"/>
      <c r="AR4" s="286"/>
      <c r="AS4" s="288"/>
      <c r="AT4" s="281"/>
      <c r="AU4" s="281"/>
    </row>
    <row r="5" spans="1:47" s="9" customFormat="1" ht="50.25" customHeight="1" x14ac:dyDescent="0.3">
      <c r="A5" s="26" t="s">
        <v>334</v>
      </c>
      <c r="B5" s="28" t="s">
        <v>333</v>
      </c>
      <c r="C5" s="28" t="s">
        <v>344</v>
      </c>
      <c r="D5" s="28" t="s">
        <v>343</v>
      </c>
      <c r="E5" s="28" t="s">
        <v>387</v>
      </c>
      <c r="F5" s="74" t="s">
        <v>379</v>
      </c>
      <c r="G5" s="21" t="s">
        <v>452</v>
      </c>
      <c r="H5" s="22" t="s">
        <v>477</v>
      </c>
      <c r="I5" s="21" t="s">
        <v>177</v>
      </c>
      <c r="J5" s="21" t="s">
        <v>175</v>
      </c>
      <c r="K5" s="21" t="s">
        <v>163</v>
      </c>
      <c r="L5" s="21" t="s">
        <v>440</v>
      </c>
      <c r="M5" s="23" t="s">
        <v>164</v>
      </c>
      <c r="N5" s="21" t="s">
        <v>165</v>
      </c>
      <c r="O5" s="25" t="s">
        <v>441</v>
      </c>
      <c r="P5" s="24" t="s">
        <v>166</v>
      </c>
      <c r="Q5" s="21" t="s">
        <v>167</v>
      </c>
      <c r="R5" s="24" t="s">
        <v>442</v>
      </c>
      <c r="S5" s="23" t="s">
        <v>172</v>
      </c>
      <c r="T5" s="21" t="s">
        <v>173</v>
      </c>
      <c r="U5" s="25" t="s">
        <v>443</v>
      </c>
      <c r="V5" s="23" t="s">
        <v>179</v>
      </c>
      <c r="W5" s="21" t="s">
        <v>178</v>
      </c>
      <c r="X5" s="227" t="s">
        <v>444</v>
      </c>
      <c r="Y5" s="23" t="s">
        <v>531</v>
      </c>
      <c r="Z5" s="21" t="s">
        <v>174</v>
      </c>
      <c r="AA5" s="25" t="s">
        <v>445</v>
      </c>
      <c r="AB5" s="23" t="s">
        <v>571</v>
      </c>
      <c r="AC5" s="21" t="s">
        <v>532</v>
      </c>
      <c r="AD5" s="227" t="s">
        <v>533</v>
      </c>
      <c r="AE5" s="23" t="s">
        <v>534</v>
      </c>
      <c r="AF5" s="25" t="s">
        <v>535</v>
      </c>
      <c r="AG5" s="246" t="s">
        <v>577</v>
      </c>
      <c r="AH5" s="246" t="s">
        <v>578</v>
      </c>
      <c r="AI5" s="246" t="s">
        <v>579</v>
      </c>
      <c r="AJ5" s="246" t="s">
        <v>580</v>
      </c>
      <c r="AK5" s="246" t="s">
        <v>581</v>
      </c>
      <c r="AL5" s="246" t="s">
        <v>582</v>
      </c>
      <c r="AM5" s="246" t="s">
        <v>583</v>
      </c>
      <c r="AN5" s="246" t="s">
        <v>584</v>
      </c>
      <c r="AO5" s="245" t="s">
        <v>585</v>
      </c>
      <c r="AP5" s="104" t="s">
        <v>432</v>
      </c>
      <c r="AQ5" s="104" t="s">
        <v>373</v>
      </c>
      <c r="AR5" s="104" t="s">
        <v>539</v>
      </c>
      <c r="AS5" s="100" t="s">
        <v>374</v>
      </c>
      <c r="AT5" s="119" t="s">
        <v>375</v>
      </c>
      <c r="AU5" s="118" t="s">
        <v>376</v>
      </c>
    </row>
    <row r="6" spans="1:47" ht="13" x14ac:dyDescent="0.3">
      <c r="A6" s="7" t="s">
        <v>392</v>
      </c>
      <c r="B6" s="11" t="s">
        <v>393</v>
      </c>
      <c r="C6" s="11" t="s">
        <v>180</v>
      </c>
      <c r="D6" s="11" t="s">
        <v>337</v>
      </c>
      <c r="E6" s="11" t="s">
        <v>388</v>
      </c>
      <c r="F6" s="109">
        <v>2484</v>
      </c>
      <c r="G6" s="114">
        <f>Ohj.lask.[[#This Row],[Tavoitteelliset opiskelija-vuodet]]-Ohj.lask.[[#This Row],[Järjestämisluvan opisk.vuosien vähimmäismäärä]]</f>
        <v>1798</v>
      </c>
      <c r="H6" s="36">
        <v>4282</v>
      </c>
      <c r="I6" s="12">
        <f>IFERROR(VLOOKUP($A6,'2.1 Toteut. op.vuodet'!$A:$T,COLUMN('2.1 Toteut. op.vuodet'!S:S),FALSE),0)</f>
        <v>0.86719544430065265</v>
      </c>
      <c r="J6" s="78">
        <f t="shared" ref="J6:J37" si="0">IFERROR(ROUND(H6*I6,1),0)</f>
        <v>3713.3</v>
      </c>
      <c r="K6" s="13">
        <f>IFERROR(Ohj.lask.[[#This Row],[Painotetut opiskelija-vuodet]]/Ohj.lask.[[#Totals],[Painotetut opiskelija-vuodet]],0)</f>
        <v>1.7189357439386134E-2</v>
      </c>
      <c r="L6" s="14">
        <f>ROUND(IFERROR('1.1 Jakotaulu'!L$13*Ohj.lask.[[#This Row],[%-osuus 1]],0),0)</f>
        <v>24127601</v>
      </c>
      <c r="M6" s="157">
        <f>IFERROR(ROUND(VLOOKUP($A6,'2.2 Tutk. ja osien pain. pist.'!$A:$Q,COLUMN('2.2 Tutk. ja osien pain. pist.'!O:O),FALSE),1),0)</f>
        <v>305445.09999999998</v>
      </c>
      <c r="N6" s="13">
        <f>IFERROR(Ohj.lask.[[#This Row],[Painotetut pisteet 2]]/Ohj.lask.[[#Totals],[Painotetut pisteet 2]],0)</f>
        <v>1.9669584826842987E-2</v>
      </c>
      <c r="O6" s="20">
        <f>ROUND(IFERROR('1.1 Jakotaulu'!K$14*Ohj.lask.[[#This Row],[%-osuus 2]],0),0)</f>
        <v>8056308</v>
      </c>
      <c r="P6" s="158">
        <f>IFERROR(ROUND(VLOOKUP($A6,'2.3 Työll. ja jatko-opisk.'!$A:$Z,COLUMN('2.3 Työll. ja jatko-opisk.'!M:M),FALSE),1),0)</f>
        <v>6855.9</v>
      </c>
      <c r="Q6" s="13">
        <f>IFERROR(Ohj.lask.[[#This Row],[Painotetut pisteet 3]]/Ohj.lask.[[#Totals],[Painotetut pisteet 3]],0)</f>
        <v>2.2013387391500768E-2</v>
      </c>
      <c r="R6" s="14">
        <f>ROUND(IFERROR('1.1 Jakotaulu'!L$16*Ohj.lask.[[#This Row],[%-osuus 3]],0),0)</f>
        <v>3155701</v>
      </c>
      <c r="S6" s="157">
        <f>IFERROR(ROUND(VLOOKUP($A6,'2.4 Aloittaneet palaute'!$A:$J,COLUMN('2.4 Aloittaneet palaute'!I:I),FALSE),1),0)</f>
        <v>56294.400000000001</v>
      </c>
      <c r="T6" s="17">
        <f>IFERROR(Ohj.lask.[[#This Row],[Painotetut pisteet 4]]/Ohj.lask.[[#Totals],[Painotetut pisteet 4]],0)</f>
        <v>3.589146565233968E-2</v>
      </c>
      <c r="U6" s="20">
        <f>ROUND(IFERROR('1.1 Jakotaulu'!M$18*Ohj.lask.[[#This Row],[%-osuus 4]],0),0)</f>
        <v>275634</v>
      </c>
      <c r="V6" s="157">
        <f>IFERROR(ROUND(VLOOKUP($A6,'2.5 Päättäneet palaute'!$A:$Z,COLUMN('2.5 Päättäneet palaute'!Y:Y),FALSE),1),0)</f>
        <v>315245.09999999998</v>
      </c>
      <c r="W6" s="17">
        <f>IFERROR(Ohj.lask.[[#This Row],[Painotetut pisteet 5]]/Ohj.lask.[[#Totals],[Painotetut pisteet 5]],0)</f>
        <v>3.3127360439932294E-2</v>
      </c>
      <c r="X6" s="20">
        <f>ROUND(IFERROR('1.1 Jakotaulu'!M$19*Ohj.lask.[[#This Row],[%-osuus 5]],0),0)</f>
        <v>763221</v>
      </c>
      <c r="Y6" s="157">
        <f>IFERROR(ROUND(VLOOKUP($A6,'2.6 Työpaikkaohjaajakysely'!A:I,COLUMN('2.6 Työpaikkaohjaajakysely'!H:H),FALSE),1),0)</f>
        <v>16234763.1</v>
      </c>
      <c r="Z6" s="13">
        <f>IFERROR(Ohj.lask.[[#This Row],[Painotetut pisteet 6]]/Ohj.lask.[[#Totals],[Painotetut pisteet 6]],0)</f>
        <v>4.0630763966848976E-2</v>
      </c>
      <c r="AA6" s="20">
        <f>ROUND(IFERROR('1.1 Jakotaulu'!M$21*Ohj.lask.[[#This Row],[%-osuus 6]],0),0)</f>
        <v>936092</v>
      </c>
      <c r="AB6" s="157">
        <f>IFERROR(ROUND(VLOOKUP($A6,'2.7 Työpaikkakysely'!A:G,COLUMN('2.7 Työpaikkakysely'!F:F),FALSE),1),0)</f>
        <v>5813344.7999999998</v>
      </c>
      <c r="AC6" s="13">
        <f>IFERROR(Ohj.lask.[[#This Row],[Pisteet 7]]/Ohj.lask.[[#Totals],[Pisteet 7]],0)</f>
        <v>3.041016890216346E-2</v>
      </c>
      <c r="AD6" s="20">
        <f>ROUND(IFERROR('1.1 Jakotaulu'!M$22*Ohj.lask.[[#This Row],[%-osuus 7]],0),0)</f>
        <v>233540</v>
      </c>
      <c r="AE6" s="16">
        <f>IFERROR(Ohj.lask.[[#This Row],[Jaettava € 8]]/Ohj.lask.[[#Totals],[Jaettava € 8]],"")</f>
        <v>1.8606506214788932E-2</v>
      </c>
      <c r="AF6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37548097</v>
      </c>
      <c r="AG6" s="105">
        <v>0</v>
      </c>
      <c r="AH6" s="105">
        <v>0</v>
      </c>
      <c r="AI6" s="105">
        <v>0</v>
      </c>
      <c r="AJ6" s="105">
        <v>0</v>
      </c>
      <c r="AK6" s="105">
        <v>0</v>
      </c>
      <c r="AL6" s="105">
        <v>0</v>
      </c>
      <c r="AM6" s="105">
        <v>135000</v>
      </c>
      <c r="AN6" s="105">
        <v>0</v>
      </c>
      <c r="AO6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135000</v>
      </c>
      <c r="AP6" s="14">
        <f>Ohj.lask.[[#This Row],[Jaettava € 1]]+Ohj.lask.[[#This Row],[Harkinnanvarainen korotus 9, €]]</f>
        <v>24262601</v>
      </c>
      <c r="AQ6" s="105">
        <f>Ohj.lask.[[#This Row],[Jaettava € 2]]</f>
        <v>8056308</v>
      </c>
      <c r="AR6" s="14">
        <f>Ohj.lask.[[#This Row],[Jaettava € 3]]+Ohj.lask.[[#This Row],[Jaettava € 4]]+Ohj.lask.[[#This Row],[Jaettava € 5]]+Ohj.lask.[[#This Row],[Jaettava € 6]]+Ohj.lask.[[#This Row],[Jaettava € 7]]</f>
        <v>5364188</v>
      </c>
      <c r="AS6" s="37">
        <f>Ohj.lask.[[#This Row],[Jaettava € 8]]+Ohj.lask.[[#This Row],[Harkinnanvarainen korotus 9, €]]</f>
        <v>37683097</v>
      </c>
      <c r="AT6" s="37">
        <v>2356362</v>
      </c>
      <c r="AU6" s="20">
        <f>Ohj.lask.[[#This Row],[Perus-, suoritus- ja vaikuttavuusrahoitus yhteensä, €]]+Ohj.lask.[[#This Row],[Alv-korvaus, €]]</f>
        <v>40039459</v>
      </c>
    </row>
    <row r="7" spans="1:47" ht="13" x14ac:dyDescent="0.3">
      <c r="A7" s="7" t="s">
        <v>332</v>
      </c>
      <c r="B7" s="11" t="s">
        <v>15</v>
      </c>
      <c r="C7" s="11" t="s">
        <v>189</v>
      </c>
      <c r="D7" s="11" t="s">
        <v>337</v>
      </c>
      <c r="E7" s="11" t="s">
        <v>388</v>
      </c>
      <c r="F7" s="109">
        <v>329</v>
      </c>
      <c r="G7" s="114">
        <f>Ohj.lask.[[#This Row],[Tavoitteelliset opiskelija-vuodet]]-Ohj.lask.[[#This Row],[Järjestämisluvan opisk.vuosien vähimmäismäärä]]</f>
        <v>3</v>
      </c>
      <c r="H7" s="36">
        <v>332</v>
      </c>
      <c r="I7" s="12">
        <f>IFERROR(VLOOKUP($A7,'2.1 Toteut. op.vuodet'!$A:$T,COLUMN('2.1 Toteut. op.vuodet'!S:S),FALSE),0)</f>
        <v>1.1572317990232279</v>
      </c>
      <c r="J7" s="78">
        <f t="shared" si="0"/>
        <v>384.2</v>
      </c>
      <c r="K7" s="13">
        <f>IFERROR(Ohj.lask.[[#This Row],[Painotetut opiskelija-vuodet]]/Ohj.lask.[[#Totals],[Painotetut opiskelija-vuodet]],0)</f>
        <v>1.7785126782678892E-3</v>
      </c>
      <c r="L7" s="14">
        <f>ROUND(IFERROR('1.1 Jakotaulu'!L$13*Ohj.lask.[[#This Row],[%-osuus 1]],0),0)</f>
        <v>2496384</v>
      </c>
      <c r="M7" s="157">
        <f>IFERROR(ROUND(VLOOKUP($A7,'2.2 Tutk. ja osien pain. pist.'!$A:$Q,COLUMN('2.2 Tutk. ja osien pain. pist.'!O:O),FALSE),1),0)</f>
        <v>37520</v>
      </c>
      <c r="N7" s="13">
        <f>IFERROR(Ohj.lask.[[#This Row],[Painotetut pisteet 2]]/Ohj.lask.[[#Totals],[Painotetut pisteet 2]],0)</f>
        <v>2.4161553834163617E-3</v>
      </c>
      <c r="O7" s="20">
        <f>ROUND(IFERROR('1.1 Jakotaulu'!K$14*Ohj.lask.[[#This Row],[%-osuus 2]],0),0)</f>
        <v>989614</v>
      </c>
      <c r="P7" s="158">
        <f>IFERROR(ROUND(VLOOKUP($A7,'2.3 Työll. ja jatko-opisk.'!$A:$Z,COLUMN('2.3 Työll. ja jatko-opisk.'!M:M),FALSE),1),0)</f>
        <v>630.9</v>
      </c>
      <c r="Q7" s="13">
        <f>IFERROR(Ohj.lask.[[#This Row],[Painotetut pisteet 3]]/Ohj.lask.[[#Totals],[Painotetut pisteet 3]],0)</f>
        <v>2.025736388409667E-3</v>
      </c>
      <c r="R7" s="14">
        <f>ROUND(IFERROR('1.1 Jakotaulu'!L$16*Ohj.lask.[[#This Row],[%-osuus 3]],0),0)</f>
        <v>290397</v>
      </c>
      <c r="S7" s="157">
        <f>IFERROR(ROUND(VLOOKUP($A7,'2.4 Aloittaneet palaute'!$A:$J,COLUMN('2.4 Aloittaneet palaute'!I:I),FALSE),1),0)</f>
        <v>5153.1000000000004</v>
      </c>
      <c r="T7" s="17">
        <f>IFERROR(Ohj.lask.[[#This Row],[Painotetut pisteet 4]]/Ohj.lask.[[#Totals],[Painotetut pisteet 4]],0)</f>
        <v>3.2854477826048706E-3</v>
      </c>
      <c r="U7" s="20">
        <f>ROUND(IFERROR('1.1 Jakotaulu'!M$18*Ohj.lask.[[#This Row],[%-osuus 4]],0),0)</f>
        <v>25231</v>
      </c>
      <c r="V7" s="157">
        <f>IFERROR(ROUND(VLOOKUP($A7,'2.5 Päättäneet palaute'!$A:$Z,COLUMN('2.5 Päättäneet palaute'!Y:Y),FALSE),1),0)</f>
        <v>25875.4</v>
      </c>
      <c r="W7" s="17">
        <f>IFERROR(Ohj.lask.[[#This Row],[Painotetut pisteet 5]]/Ohj.lask.[[#Totals],[Painotetut pisteet 5]],0)</f>
        <v>2.719102382011407E-3</v>
      </c>
      <c r="X7" s="20">
        <f>ROUND(IFERROR('1.1 Jakotaulu'!M$19*Ohj.lask.[[#This Row],[%-osuus 5]],0),0)</f>
        <v>62645</v>
      </c>
      <c r="Y7" s="157">
        <f>IFERROR(ROUND(VLOOKUP($A7,'2.6 Työpaikkaohjaajakysely'!A:I,COLUMN('2.6 Työpaikkaohjaajakysely'!H:H),FALSE),1),0)</f>
        <v>615455.80000000005</v>
      </c>
      <c r="Z7" s="13">
        <f>IFERROR(Ohj.lask.[[#This Row],[Painotetut pisteet 6]]/Ohj.lask.[[#Totals],[Painotetut pisteet 6]],0)</f>
        <v>1.5403020781885146E-3</v>
      </c>
      <c r="AA7" s="20">
        <f>ROUND(IFERROR('1.1 Jakotaulu'!M$21*Ohj.lask.[[#This Row],[%-osuus 6]],0),0)</f>
        <v>35487</v>
      </c>
      <c r="AB7" s="157">
        <f>IFERROR(ROUND(VLOOKUP($A7,'2.7 Työpaikkakysely'!A:G,COLUMN('2.7 Työpaikkakysely'!F:F),FALSE),1),0)</f>
        <v>705288</v>
      </c>
      <c r="AC7" s="13">
        <f>IFERROR(Ohj.lask.[[#This Row],[Pisteet 7]]/Ohj.lask.[[#Totals],[Pisteet 7]],0)</f>
        <v>3.6894297418362428E-3</v>
      </c>
      <c r="AD7" s="20">
        <f>ROUND(IFERROR('1.1 Jakotaulu'!M$22*Ohj.lask.[[#This Row],[%-osuus 7]],0),0)</f>
        <v>28334</v>
      </c>
      <c r="AE7" s="16">
        <f>IFERROR(Ohj.lask.[[#This Row],[Jaettava € 8]]/Ohj.lask.[[#Totals],[Jaettava € 8]],"")</f>
        <v>1.9465185735048753E-3</v>
      </c>
      <c r="AF7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3928092</v>
      </c>
      <c r="AG7" s="105">
        <v>0</v>
      </c>
      <c r="AH7" s="105">
        <v>0</v>
      </c>
      <c r="AI7" s="105">
        <v>0</v>
      </c>
      <c r="AJ7" s="105">
        <v>0</v>
      </c>
      <c r="AK7" s="105">
        <v>0</v>
      </c>
      <c r="AL7" s="105">
        <v>0</v>
      </c>
      <c r="AM7" s="105">
        <v>5000</v>
      </c>
      <c r="AN7" s="105">
        <v>0</v>
      </c>
      <c r="AO7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5000</v>
      </c>
      <c r="AP7" s="14">
        <f>Ohj.lask.[[#This Row],[Jaettava € 1]]+Ohj.lask.[[#This Row],[Harkinnanvarainen korotus 9, €]]</f>
        <v>2501384</v>
      </c>
      <c r="AQ7" s="105">
        <f>Ohj.lask.[[#This Row],[Jaettava € 2]]</f>
        <v>989614</v>
      </c>
      <c r="AR7" s="14">
        <f>Ohj.lask.[[#This Row],[Jaettava € 3]]+Ohj.lask.[[#This Row],[Jaettava € 4]]+Ohj.lask.[[#This Row],[Jaettava € 5]]+Ohj.lask.[[#This Row],[Jaettava € 6]]+Ohj.lask.[[#This Row],[Jaettava € 7]]</f>
        <v>442094</v>
      </c>
      <c r="AS7" s="37">
        <f>Ohj.lask.[[#This Row],[Jaettava € 8]]+Ohj.lask.[[#This Row],[Harkinnanvarainen korotus 9, €]]</f>
        <v>3933092</v>
      </c>
      <c r="AT7" s="37">
        <v>161794</v>
      </c>
      <c r="AU7" s="20">
        <f>Ohj.lask.[[#This Row],[Perus-, suoritus- ja vaikuttavuusrahoitus yhteensä, €]]+Ohj.lask.[[#This Row],[Alv-korvaus, €]]</f>
        <v>4094886</v>
      </c>
    </row>
    <row r="8" spans="1:47" ht="13" x14ac:dyDescent="0.3">
      <c r="A8" s="7" t="s">
        <v>331</v>
      </c>
      <c r="B8" s="11" t="s">
        <v>16</v>
      </c>
      <c r="C8" s="11" t="s">
        <v>189</v>
      </c>
      <c r="D8" s="11" t="s">
        <v>337</v>
      </c>
      <c r="E8" s="11" t="s">
        <v>388</v>
      </c>
      <c r="F8" s="109">
        <v>79</v>
      </c>
      <c r="G8" s="114">
        <f>Ohj.lask.[[#This Row],[Tavoitteelliset opiskelija-vuodet]]-Ohj.lask.[[#This Row],[Järjestämisluvan opisk.vuosien vähimmäismäärä]]</f>
        <v>20</v>
      </c>
      <c r="H8" s="36">
        <v>99</v>
      </c>
      <c r="I8" s="12">
        <f>IFERROR(VLOOKUP($A8,'2.1 Toteut. op.vuodet'!$A:$T,COLUMN('2.1 Toteut. op.vuodet'!S:S),FALSE),0)</f>
        <v>6.1080532043530811</v>
      </c>
      <c r="J8" s="78">
        <f t="shared" si="0"/>
        <v>604.70000000000005</v>
      </c>
      <c r="K8" s="13">
        <f>IFERROR(Ohj.lask.[[#This Row],[Painotetut opiskelija-vuodet]]/Ohj.lask.[[#Totals],[Painotetut opiskelija-vuodet]],0)</f>
        <v>2.7992363783149211E-3</v>
      </c>
      <c r="L8" s="14">
        <f>ROUND(IFERROR('1.1 Jakotaulu'!L$13*Ohj.lask.[[#This Row],[%-osuus 1]],0),0)</f>
        <v>3929109</v>
      </c>
      <c r="M8" s="157">
        <f>IFERROR(ROUND(VLOOKUP($A8,'2.2 Tutk. ja osien pain. pist.'!$A:$Q,COLUMN('2.2 Tutk. ja osien pain. pist.'!O:O),FALSE),1),0)</f>
        <v>13091.7</v>
      </c>
      <c r="N8" s="13">
        <f>IFERROR(Ohj.lask.[[#This Row],[Painotetut pisteet 2]]/Ohj.lask.[[#Totals],[Painotetut pisteet 2]],0)</f>
        <v>8.430592066383791E-4</v>
      </c>
      <c r="O8" s="20">
        <f>ROUND(IFERROR('1.1 Jakotaulu'!K$14*Ohj.lask.[[#This Row],[%-osuus 2]],0),0)</f>
        <v>345302</v>
      </c>
      <c r="P8" s="158">
        <f>IFERROR(ROUND(VLOOKUP($A8,'2.3 Työll. ja jatko-opisk.'!$A:$Z,COLUMN('2.3 Työll. ja jatko-opisk.'!M:M),FALSE),1),0)</f>
        <v>24</v>
      </c>
      <c r="Q8" s="13">
        <f>IFERROR(Ohj.lask.[[#This Row],[Painotetut pisteet 3]]/Ohj.lask.[[#Totals],[Painotetut pisteet 3]],0)</f>
        <v>7.7060823144447621E-5</v>
      </c>
      <c r="R8" s="14">
        <f>ROUND(IFERROR('1.1 Jakotaulu'!L$16*Ohj.lask.[[#This Row],[%-osuus 3]],0),0)</f>
        <v>11047</v>
      </c>
      <c r="S8" s="157">
        <f>IFERROR(ROUND(VLOOKUP($A8,'2.4 Aloittaneet palaute'!$A:$J,COLUMN('2.4 Aloittaneet palaute'!I:I),FALSE),1),0)</f>
        <v>264</v>
      </c>
      <c r="T8" s="17">
        <f>IFERROR(Ohj.lask.[[#This Row],[Painotetut pisteet 4]]/Ohj.lask.[[#Totals],[Painotetut pisteet 4]],0)</f>
        <v>1.683177533150309E-4</v>
      </c>
      <c r="U8" s="20">
        <f>ROUND(IFERROR('1.1 Jakotaulu'!M$18*Ohj.lask.[[#This Row],[%-osuus 4]],0),0)</f>
        <v>1293</v>
      </c>
      <c r="V8" s="157">
        <f>IFERROR(ROUND(VLOOKUP($A8,'2.5 Päättäneet palaute'!$A:$Z,COLUMN('2.5 Päättäneet palaute'!Y:Y),FALSE),1),0)</f>
        <v>2829</v>
      </c>
      <c r="W8" s="17">
        <f>IFERROR(Ohj.lask.[[#This Row],[Painotetut pisteet 5]]/Ohj.lask.[[#Totals],[Painotetut pisteet 5]],0)</f>
        <v>2.9728393140628822E-4</v>
      </c>
      <c r="X8" s="20">
        <f>ROUND(IFERROR('1.1 Jakotaulu'!M$19*Ohj.lask.[[#This Row],[%-osuus 5]],0),0)</f>
        <v>6849</v>
      </c>
      <c r="Y8" s="157">
        <f>IFERROR(ROUND(VLOOKUP($A8,'2.6 Työpaikkaohjaajakysely'!A:I,COLUMN('2.6 Työpaikkaohjaajakysely'!H:H),FALSE),1),0)</f>
        <v>62638.7</v>
      </c>
      <c r="Z8" s="13">
        <f>IFERROR(Ohj.lask.[[#This Row],[Painotetut pisteet 6]]/Ohj.lask.[[#Totals],[Painotetut pisteet 6]],0)</f>
        <v>1.5676596074815918E-4</v>
      </c>
      <c r="AA8" s="20">
        <f>ROUND(IFERROR('1.1 Jakotaulu'!M$21*Ohj.lask.[[#This Row],[%-osuus 6]],0),0)</f>
        <v>3612</v>
      </c>
      <c r="AB8" s="157">
        <f>IFERROR(ROUND(VLOOKUP($A8,'2.7 Työpaikkakysely'!A:G,COLUMN('2.7 Työpaikkakysely'!F:F),FALSE),1),0)</f>
        <v>21444</v>
      </c>
      <c r="AC8" s="13">
        <f>IFERROR(Ohj.lask.[[#This Row],[Pisteet 7]]/Ohj.lask.[[#Totals],[Pisteet 7]],0)</f>
        <v>1.1217563801445139E-4</v>
      </c>
      <c r="AD8" s="20">
        <f>ROUND(IFERROR('1.1 Jakotaulu'!M$22*Ohj.lask.[[#This Row],[%-osuus 7]],0),0)</f>
        <v>861</v>
      </c>
      <c r="AE8" s="16">
        <f>IFERROR(Ohj.lask.[[#This Row],[Jaettava € 8]]/Ohj.lask.[[#Totals],[Jaettava € 8]],"")</f>
        <v>2.1298581919109378E-3</v>
      </c>
      <c r="AF8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4298073</v>
      </c>
      <c r="AG8" s="105">
        <v>0</v>
      </c>
      <c r="AH8" s="105">
        <v>0</v>
      </c>
      <c r="AI8" s="105">
        <v>0</v>
      </c>
      <c r="AJ8" s="105">
        <v>0</v>
      </c>
      <c r="AK8" s="105">
        <v>0</v>
      </c>
      <c r="AL8" s="105">
        <v>0</v>
      </c>
      <c r="AM8" s="105">
        <v>0</v>
      </c>
      <c r="AN8" s="105">
        <v>0</v>
      </c>
      <c r="AO8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0</v>
      </c>
      <c r="AP8" s="14">
        <f>Ohj.lask.[[#This Row],[Jaettava € 1]]+Ohj.lask.[[#This Row],[Harkinnanvarainen korotus 9, €]]</f>
        <v>3929109</v>
      </c>
      <c r="AQ8" s="105">
        <f>Ohj.lask.[[#This Row],[Jaettava € 2]]</f>
        <v>345302</v>
      </c>
      <c r="AR8" s="14">
        <f>Ohj.lask.[[#This Row],[Jaettava € 3]]+Ohj.lask.[[#This Row],[Jaettava € 4]]+Ohj.lask.[[#This Row],[Jaettava € 5]]+Ohj.lask.[[#This Row],[Jaettava € 6]]+Ohj.lask.[[#This Row],[Jaettava € 7]]</f>
        <v>23662</v>
      </c>
      <c r="AS8" s="37">
        <f>Ohj.lask.[[#This Row],[Jaettava € 8]]+Ohj.lask.[[#This Row],[Harkinnanvarainen korotus 9, €]]</f>
        <v>4298073</v>
      </c>
      <c r="AT8" s="37">
        <v>184630</v>
      </c>
      <c r="AU8" s="20">
        <f>Ohj.lask.[[#This Row],[Perus-, suoritus- ja vaikuttavuusrahoitus yhteensä, €]]+Ohj.lask.[[#This Row],[Alv-korvaus, €]]</f>
        <v>4482703</v>
      </c>
    </row>
    <row r="9" spans="1:47" ht="13" x14ac:dyDescent="0.3">
      <c r="A9" s="7" t="s">
        <v>509</v>
      </c>
      <c r="B9" s="11" t="s">
        <v>510</v>
      </c>
      <c r="C9" s="11" t="s">
        <v>180</v>
      </c>
      <c r="D9" s="11" t="s">
        <v>337</v>
      </c>
      <c r="E9" s="11" t="s">
        <v>388</v>
      </c>
      <c r="F9" s="109">
        <v>1462</v>
      </c>
      <c r="G9" s="114">
        <f>Ohj.lask.[[#This Row],[Tavoitteelliset opiskelija-vuodet]]-Ohj.lask.[[#This Row],[Järjestämisluvan opisk.vuosien vähimmäismäärä]]</f>
        <v>146</v>
      </c>
      <c r="H9" s="36">
        <v>1608</v>
      </c>
      <c r="I9" s="12">
        <f>IFERROR(VLOOKUP($A9,'2.1 Toteut. op.vuodet'!$A:$T,COLUMN('2.1 Toteut. op.vuodet'!S:S),FALSE),0)</f>
        <v>5.1666874370506353</v>
      </c>
      <c r="J9" s="78">
        <f t="shared" si="0"/>
        <v>8308</v>
      </c>
      <c r="K9" s="13">
        <f>IFERROR(Ohj.lask.[[#This Row],[Painotetut opiskelija-vuodet]]/Ohj.lask.[[#Totals],[Painotetut opiskelija-vuodet]],0)</f>
        <v>3.8458832199504488E-2</v>
      </c>
      <c r="L9" s="14">
        <f>ROUND(IFERROR('1.1 Jakotaulu'!L$13*Ohj.lask.[[#This Row],[%-osuus 1]],0),0)</f>
        <v>53982201</v>
      </c>
      <c r="M9" s="157">
        <f>IFERROR(ROUND(VLOOKUP($A9,'2.2 Tutk. ja osien pain. pist.'!$A:$Q,COLUMN('2.2 Tutk. ja osien pain. pist.'!O:O),FALSE),1),0)</f>
        <v>373702.8</v>
      </c>
      <c r="N9" s="13">
        <f>IFERROR(Ohj.lask.[[#This Row],[Painotetut pisteet 2]]/Ohj.lask.[[#Totals],[Painotetut pisteet 2]],0)</f>
        <v>2.4065139446102553E-2</v>
      </c>
      <c r="O9" s="20">
        <f>ROUND(IFERROR('1.1 Jakotaulu'!K$14*Ohj.lask.[[#This Row],[%-osuus 2]],0),0)</f>
        <v>9856648</v>
      </c>
      <c r="P9" s="158">
        <f>IFERROR(ROUND(VLOOKUP($A9,'2.3 Työll. ja jatko-opisk.'!$A:$Z,COLUMN('2.3 Työll. ja jatko-opisk.'!M:M),FALSE),1),0)</f>
        <v>1545</v>
      </c>
      <c r="Q9" s="13">
        <f>IFERROR(Ohj.lask.[[#This Row],[Painotetut pisteet 3]]/Ohj.lask.[[#Totals],[Painotetut pisteet 3]],0)</f>
        <v>4.9607904899238156E-3</v>
      </c>
      <c r="R9" s="14">
        <f>ROUND(IFERROR('1.1 Jakotaulu'!L$16*Ohj.lask.[[#This Row],[%-osuus 3]],0),0)</f>
        <v>711148</v>
      </c>
      <c r="S9" s="157">
        <f>IFERROR(ROUND(VLOOKUP($A9,'2.4 Aloittaneet palaute'!$A:$J,COLUMN('2.4 Aloittaneet palaute'!I:I),FALSE),1),0)</f>
        <v>8297.7000000000007</v>
      </c>
      <c r="T9" s="17">
        <f>IFERROR(Ohj.lask.[[#This Row],[Painotetut pisteet 4]]/Ohj.lask.[[#Totals],[Painotetut pisteet 4]],0)</f>
        <v>5.2903417487959545E-3</v>
      </c>
      <c r="U9" s="20">
        <f>ROUND(IFERROR('1.1 Jakotaulu'!M$18*Ohj.lask.[[#This Row],[%-osuus 4]],0),0)</f>
        <v>40628</v>
      </c>
      <c r="V9" s="157">
        <f>IFERROR(ROUND(VLOOKUP($A9,'2.5 Päättäneet palaute'!$A:$Z,COLUMN('2.5 Päättäneet palaute'!Y:Y),FALSE),1),0)</f>
        <v>65413.8</v>
      </c>
      <c r="W9" s="17">
        <f>IFERROR(Ohj.lask.[[#This Row],[Painotetut pisteet 5]]/Ohj.lask.[[#Totals],[Painotetut pisteet 5]],0)</f>
        <v>6.8739737123452299E-3</v>
      </c>
      <c r="X9" s="20">
        <f>ROUND(IFERROR('1.1 Jakotaulu'!M$19*Ohj.lask.[[#This Row],[%-osuus 5]],0),0)</f>
        <v>158369</v>
      </c>
      <c r="Y9" s="157">
        <f>IFERROR(ROUND(VLOOKUP($A9,'2.6 Työpaikkaohjaajakysely'!A:I,COLUMN('2.6 Työpaikkaohjaajakysely'!H:H),FALSE),1),0)</f>
        <v>2433318.2999999998</v>
      </c>
      <c r="Z9" s="13">
        <f>IFERROR(Ohj.lask.[[#This Row],[Painotetut pisteet 6]]/Ohj.lask.[[#Totals],[Painotetut pisteet 6]],0)</f>
        <v>6.0898690602706855E-3</v>
      </c>
      <c r="AA9" s="20">
        <f>ROUND(IFERROR('1.1 Jakotaulu'!M$21*Ohj.lask.[[#This Row],[%-osuus 6]],0),0)</f>
        <v>140304</v>
      </c>
      <c r="AB9" s="157">
        <f>IFERROR(ROUND(VLOOKUP($A9,'2.7 Työpaikkakysely'!A:G,COLUMN('2.7 Työpaikkakysely'!F:F),FALSE),1),0)</f>
        <v>612083</v>
      </c>
      <c r="AC9" s="13">
        <f>IFERROR(Ohj.lask.[[#This Row],[Pisteet 7]]/Ohj.lask.[[#Totals],[Pisteet 7]],0)</f>
        <v>3.2018653722626117E-3</v>
      </c>
      <c r="AD9" s="20">
        <f>ROUND(IFERROR('1.1 Jakotaulu'!M$22*Ohj.lask.[[#This Row],[%-osuus 7]],0),0)</f>
        <v>24589</v>
      </c>
      <c r="AE9" s="16">
        <f>IFERROR(Ohj.lask.[[#This Row],[Jaettava € 8]]/Ohj.lask.[[#Totals],[Jaettava € 8]],"")</f>
        <v>3.2167293109198226E-2</v>
      </c>
      <c r="AF9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64913887</v>
      </c>
      <c r="AG9" s="105">
        <v>0</v>
      </c>
      <c r="AH9" s="105">
        <v>0</v>
      </c>
      <c r="AI9" s="105">
        <v>0</v>
      </c>
      <c r="AJ9" s="105">
        <v>0</v>
      </c>
      <c r="AK9" s="105">
        <v>0</v>
      </c>
      <c r="AL9" s="105">
        <v>0</v>
      </c>
      <c r="AM9" s="105">
        <v>0</v>
      </c>
      <c r="AN9" s="105">
        <v>0</v>
      </c>
      <c r="AO9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0</v>
      </c>
      <c r="AP9" s="14">
        <f>Ohj.lask.[[#This Row],[Jaettava € 1]]+Ohj.lask.[[#This Row],[Harkinnanvarainen korotus 9, €]]</f>
        <v>53982201</v>
      </c>
      <c r="AQ9" s="105">
        <f>Ohj.lask.[[#This Row],[Jaettava € 2]]</f>
        <v>9856648</v>
      </c>
      <c r="AR9" s="14">
        <f>Ohj.lask.[[#This Row],[Jaettava € 3]]+Ohj.lask.[[#This Row],[Jaettava € 4]]+Ohj.lask.[[#This Row],[Jaettava € 5]]+Ohj.lask.[[#This Row],[Jaettava € 6]]+Ohj.lask.[[#This Row],[Jaettava € 7]]</f>
        <v>1075038</v>
      </c>
      <c r="AS9" s="37">
        <f>Ohj.lask.[[#This Row],[Jaettava € 8]]+Ohj.lask.[[#This Row],[Harkinnanvarainen korotus 9, €]]</f>
        <v>64913887</v>
      </c>
      <c r="AT9" s="37">
        <v>2642014</v>
      </c>
      <c r="AU9" s="20">
        <f>Ohj.lask.[[#This Row],[Perus-, suoritus- ja vaikuttavuusrahoitus yhteensä, €]]+Ohj.lask.[[#This Row],[Alv-korvaus, €]]</f>
        <v>67555901</v>
      </c>
    </row>
    <row r="10" spans="1:47" ht="13" x14ac:dyDescent="0.3">
      <c r="A10" s="7" t="s">
        <v>330</v>
      </c>
      <c r="B10" s="11" t="s">
        <v>17</v>
      </c>
      <c r="C10" s="11" t="s">
        <v>180</v>
      </c>
      <c r="D10" s="11" t="s">
        <v>337</v>
      </c>
      <c r="E10" s="11" t="s">
        <v>388</v>
      </c>
      <c r="F10" s="109">
        <v>986</v>
      </c>
      <c r="G10" s="114">
        <f>Ohj.lask.[[#This Row],[Tavoitteelliset opiskelija-vuodet]]-Ohj.lask.[[#This Row],[Järjestämisluvan opisk.vuosien vähimmäismäärä]]</f>
        <v>145</v>
      </c>
      <c r="H10" s="36">
        <v>1131</v>
      </c>
      <c r="I10" s="12">
        <f>IFERROR(VLOOKUP($A10,'2.1 Toteut. op.vuodet'!$A:$T,COLUMN('2.1 Toteut. op.vuodet'!S:S),FALSE),0)</f>
        <v>5.4348201873437816</v>
      </c>
      <c r="J10" s="78">
        <f t="shared" si="0"/>
        <v>6146.8</v>
      </c>
      <c r="K10" s="13">
        <f>IFERROR(Ohj.lask.[[#This Row],[Painotetut opiskelija-vuodet]]/Ohj.lask.[[#Totals],[Painotetut opiskelija-vuodet]],0)</f>
        <v>2.8454351199315622E-2</v>
      </c>
      <c r="L10" s="14">
        <f>ROUND(IFERROR('1.1 Jakotaulu'!L$13*Ohj.lask.[[#This Row],[%-osuus 1]],0),0)</f>
        <v>39939552</v>
      </c>
      <c r="M10" s="157">
        <f>IFERROR(ROUND(VLOOKUP($A10,'2.2 Tutk. ja osien pain. pist.'!$A:$Q,COLUMN('2.2 Tutk. ja osien pain. pist.'!O:O),FALSE),1),0)</f>
        <v>288471.90000000002</v>
      </c>
      <c r="N10" s="13">
        <f>IFERROR(Ohj.lask.[[#This Row],[Painotetut pisteet 2]]/Ohj.lask.[[#Totals],[Painotetut pisteet 2]],0)</f>
        <v>1.8576570739588124E-2</v>
      </c>
      <c r="O10" s="20">
        <f>ROUND(IFERROR('1.1 Jakotaulu'!K$14*Ohj.lask.[[#This Row],[%-osuus 2]],0),0)</f>
        <v>7608629</v>
      </c>
      <c r="P10" s="158">
        <f>IFERROR(ROUND(VLOOKUP($A10,'2.3 Työll. ja jatko-opisk.'!$A:$Z,COLUMN('2.3 Työll. ja jatko-opisk.'!M:M),FALSE),1),0)</f>
        <v>708.3</v>
      </c>
      <c r="Q10" s="13">
        <f>IFERROR(Ohj.lask.[[#This Row],[Painotetut pisteet 3]]/Ohj.lask.[[#Totals],[Painotetut pisteet 3]],0)</f>
        <v>2.2742575430505104E-3</v>
      </c>
      <c r="R10" s="14">
        <f>ROUND(IFERROR('1.1 Jakotaulu'!L$16*Ohj.lask.[[#This Row],[%-osuus 3]],0),0)</f>
        <v>326023</v>
      </c>
      <c r="S10" s="157">
        <f>IFERROR(ROUND(VLOOKUP($A10,'2.4 Aloittaneet palaute'!$A:$J,COLUMN('2.4 Aloittaneet palaute'!I:I),FALSE),1),0)</f>
        <v>6352.1</v>
      </c>
      <c r="T10" s="17">
        <f>IFERROR(Ohj.lask.[[#This Row],[Painotetut pisteet 4]]/Ohj.lask.[[#Totals],[Painotetut pisteet 4]],0)</f>
        <v>4.0498909122439692E-3</v>
      </c>
      <c r="U10" s="20">
        <f>ROUND(IFERROR('1.1 Jakotaulu'!M$18*Ohj.lask.[[#This Row],[%-osuus 4]],0),0)</f>
        <v>31102</v>
      </c>
      <c r="V10" s="157">
        <f>IFERROR(ROUND(VLOOKUP($A10,'2.5 Päättäneet palaute'!$A:$Z,COLUMN('2.5 Päättäneet palaute'!Y:Y),FALSE),1),0)</f>
        <v>35306.800000000003</v>
      </c>
      <c r="W10" s="17">
        <f>IFERROR(Ohj.lask.[[#This Row],[Painotetut pisteet 5]]/Ohj.lask.[[#Totals],[Painotetut pisteet 5]],0)</f>
        <v>3.7101959382734311E-3</v>
      </c>
      <c r="X10" s="20">
        <f>ROUND(IFERROR('1.1 Jakotaulu'!M$19*Ohj.lask.[[#This Row],[%-osuus 5]],0),0)</f>
        <v>85479</v>
      </c>
      <c r="Y10" s="157">
        <f>IFERROR(ROUND(VLOOKUP($A10,'2.6 Työpaikkaohjaajakysely'!A:I,COLUMN('2.6 Työpaikkaohjaajakysely'!H:H),FALSE),1),0)</f>
        <v>1419663</v>
      </c>
      <c r="Z10" s="13">
        <f>IFERROR(Ohj.lask.[[#This Row],[Painotetut pisteet 6]]/Ohj.lask.[[#Totals],[Painotetut pisteet 6]],0)</f>
        <v>3.5529925450817771E-3</v>
      </c>
      <c r="AA10" s="20">
        <f>ROUND(IFERROR('1.1 Jakotaulu'!M$21*Ohj.lask.[[#This Row],[%-osuus 6]],0),0)</f>
        <v>81857</v>
      </c>
      <c r="AB10" s="157">
        <f>IFERROR(ROUND(VLOOKUP($A10,'2.7 Työpaikkakysely'!A:G,COLUMN('2.7 Työpaikkakysely'!F:F),FALSE),1),0)</f>
        <v>566759</v>
      </c>
      <c r="AC10" s="13">
        <f>IFERROR(Ohj.lask.[[#This Row],[Pisteet 7]]/Ohj.lask.[[#Totals],[Pisteet 7]],0)</f>
        <v>2.9647711446293811E-3</v>
      </c>
      <c r="AD10" s="20">
        <f>ROUND(IFERROR('1.1 Jakotaulu'!M$22*Ohj.lask.[[#This Row],[%-osuus 7]],0),0)</f>
        <v>22768</v>
      </c>
      <c r="AE10" s="16">
        <f>IFERROR(Ohj.lask.[[#This Row],[Jaettava € 8]]/Ohj.lask.[[#Totals],[Jaettava € 8]],"")</f>
        <v>2.383309985237925E-2</v>
      </c>
      <c r="AF10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48095410</v>
      </c>
      <c r="AG10" s="105">
        <v>0</v>
      </c>
      <c r="AH10" s="105">
        <v>0</v>
      </c>
      <c r="AI10" s="105">
        <v>0</v>
      </c>
      <c r="AJ10" s="105">
        <v>0</v>
      </c>
      <c r="AK10" s="105">
        <v>0</v>
      </c>
      <c r="AL10" s="105">
        <v>0</v>
      </c>
      <c r="AM10" s="105">
        <v>10000</v>
      </c>
      <c r="AN10" s="105">
        <v>0</v>
      </c>
      <c r="AO10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10000</v>
      </c>
      <c r="AP10" s="14">
        <f>Ohj.lask.[[#This Row],[Jaettava € 1]]+Ohj.lask.[[#This Row],[Harkinnanvarainen korotus 9, €]]</f>
        <v>39949552</v>
      </c>
      <c r="AQ10" s="105">
        <f>Ohj.lask.[[#This Row],[Jaettava € 2]]</f>
        <v>7608629</v>
      </c>
      <c r="AR10" s="14">
        <f>Ohj.lask.[[#This Row],[Jaettava € 3]]+Ohj.lask.[[#This Row],[Jaettava € 4]]+Ohj.lask.[[#This Row],[Jaettava € 5]]+Ohj.lask.[[#This Row],[Jaettava € 6]]+Ohj.lask.[[#This Row],[Jaettava € 7]]</f>
        <v>547229</v>
      </c>
      <c r="AS10" s="37">
        <f>Ohj.lask.[[#This Row],[Jaettava € 8]]+Ohj.lask.[[#This Row],[Harkinnanvarainen korotus 9, €]]</f>
        <v>48105410</v>
      </c>
      <c r="AT10" s="37">
        <v>2515580</v>
      </c>
      <c r="AU10" s="20">
        <f>Ohj.lask.[[#This Row],[Perus-, suoritus- ja vaikuttavuusrahoitus yhteensä, €]]+Ohj.lask.[[#This Row],[Alv-korvaus, €]]</f>
        <v>50620990</v>
      </c>
    </row>
    <row r="11" spans="1:47" ht="13" x14ac:dyDescent="0.3">
      <c r="A11" s="7" t="s">
        <v>328</v>
      </c>
      <c r="B11" s="11" t="s">
        <v>153</v>
      </c>
      <c r="C11" s="99" t="s">
        <v>180</v>
      </c>
      <c r="D11" s="99" t="s">
        <v>337</v>
      </c>
      <c r="E11" s="99" t="s">
        <v>388</v>
      </c>
      <c r="F11" s="108">
        <v>68</v>
      </c>
      <c r="G11" s="114">
        <f>Ohj.lask.[[#This Row],[Tavoitteelliset opiskelija-vuodet]]-Ohj.lask.[[#This Row],[Järjestämisluvan opisk.vuosien vähimmäismäärä]]</f>
        <v>7</v>
      </c>
      <c r="H11" s="36">
        <v>75</v>
      </c>
      <c r="I11" s="12">
        <f>IFERROR(VLOOKUP($A11,'2.1 Toteut. op.vuodet'!$A:$T,COLUMN('2.1 Toteut. op.vuodet'!S:S),FALSE),0)</f>
        <v>0.72540000000001847</v>
      </c>
      <c r="J11" s="78">
        <f t="shared" si="0"/>
        <v>54.4</v>
      </c>
      <c r="K11" s="13">
        <f>IFERROR(Ohj.lask.[[#This Row],[Painotetut opiskelija-vuodet]]/Ohj.lask.[[#Totals],[Painotetut opiskelija-vuodet]],0)</f>
        <v>2.5182480400253295E-4</v>
      </c>
      <c r="L11" s="14">
        <f>ROUND(IFERROR('1.1 Jakotaulu'!L$13*Ohj.lask.[[#This Row],[%-osuus 1]],0),0)</f>
        <v>353470</v>
      </c>
      <c r="M11" s="157">
        <f>IFERROR(ROUND(VLOOKUP($A11,'2.2 Tutk. ja osien pain. pist.'!$A:$Q,COLUMN('2.2 Tutk. ja osien pain. pist.'!O:O),FALSE),1),0)</f>
        <v>5880.2</v>
      </c>
      <c r="N11" s="13">
        <f>IFERROR(Ohj.lask.[[#This Row],[Painotetut pisteet 2]]/Ohj.lask.[[#Totals],[Painotetut pisteet 2]],0)</f>
        <v>3.7866409609714523E-4</v>
      </c>
      <c r="O11" s="20">
        <f>ROUND(IFERROR('1.1 Jakotaulu'!K$14*Ohj.lask.[[#This Row],[%-osuus 2]],0),0)</f>
        <v>155094</v>
      </c>
      <c r="P11" s="158">
        <f>IFERROR(ROUND(VLOOKUP($A11,'2.3 Työll. ja jatko-opisk.'!$A:$Z,COLUMN('2.3 Työll. ja jatko-opisk.'!M:M),FALSE),1),0)</f>
        <v>225.4</v>
      </c>
      <c r="Q11" s="17">
        <f>IFERROR(Ohj.lask.[[#This Row],[Painotetut pisteet 3]]/Ohj.lask.[[#Totals],[Painotetut pisteet 3]],0)</f>
        <v>7.2372956403160397E-4</v>
      </c>
      <c r="R11" s="14">
        <f>ROUND(IFERROR('1.1 Jakotaulu'!L$16*Ohj.lask.[[#This Row],[%-osuus 3]],0),0)</f>
        <v>103749</v>
      </c>
      <c r="S11" s="157">
        <f>IFERROR(ROUND(VLOOKUP($A11,'2.4 Aloittaneet palaute'!$A:$J,COLUMN('2.4 Aloittaneet palaute'!I:I),FALSE),1),0)</f>
        <v>2709.7</v>
      </c>
      <c r="T11" s="17">
        <f>IFERROR(Ohj.lask.[[#This Row],[Painotetut pisteet 4]]/Ohj.lask.[[#Totals],[Painotetut pisteet 4]],0)</f>
        <v>1.7276159702944668E-3</v>
      </c>
      <c r="U11" s="20">
        <f>ROUND(IFERROR('1.1 Jakotaulu'!M$18*Ohj.lask.[[#This Row],[%-osuus 4]],0),0)</f>
        <v>13268</v>
      </c>
      <c r="V11" s="157">
        <f>IFERROR(ROUND(VLOOKUP($A11,'2.5 Päättäneet palaute'!$A:$Z,COLUMN('2.5 Päättäneet palaute'!Y:Y),FALSE),1),0)</f>
        <v>24311.9</v>
      </c>
      <c r="W11" s="17">
        <f>IFERROR(Ohj.lask.[[#This Row],[Painotetut pisteet 5]]/Ohj.lask.[[#Totals],[Painotetut pisteet 5]],0)</f>
        <v>2.5548028320807842E-3</v>
      </c>
      <c r="X11" s="20">
        <f>ROUND(IFERROR('1.1 Jakotaulu'!M$19*Ohj.lask.[[#This Row],[%-osuus 5]],0),0)</f>
        <v>58860</v>
      </c>
      <c r="Y11" s="157">
        <f>IFERROR(ROUND(VLOOKUP($A11,'2.6 Työpaikkaohjaajakysely'!A:I,COLUMN('2.6 Työpaikkaohjaajakysely'!H:H),FALSE),1),0)</f>
        <v>1141438.3</v>
      </c>
      <c r="Z11" s="13">
        <f>IFERROR(Ohj.lask.[[#This Row],[Painotetut pisteet 6]]/Ohj.lask.[[#Totals],[Painotetut pisteet 6]],0)</f>
        <v>2.8566792052556254E-3</v>
      </c>
      <c r="AA11" s="20">
        <f>ROUND(IFERROR('1.1 Jakotaulu'!M$21*Ohj.lask.[[#This Row],[%-osuus 6]],0),0)</f>
        <v>65815</v>
      </c>
      <c r="AB11" s="157">
        <f>IFERROR(ROUND(VLOOKUP($A11,'2.7 Työpaikkakysely'!A:G,COLUMN('2.7 Työpaikkakysely'!F:F),FALSE),1),0)</f>
        <v>887373</v>
      </c>
      <c r="AC11" s="13">
        <f>IFERROR(Ohj.lask.[[#This Row],[Pisteet 7]]/Ohj.lask.[[#Totals],[Pisteet 7]],0)</f>
        <v>4.641933987679433E-3</v>
      </c>
      <c r="AD11" s="20">
        <f>ROUND(IFERROR('1.1 Jakotaulu'!M$22*Ohj.lask.[[#This Row],[%-osuus 7]],0),0)</f>
        <v>35648</v>
      </c>
      <c r="AE11" s="16">
        <f>IFERROR(Ohj.lask.[[#This Row],[Jaettava € 8]]/Ohj.lask.[[#Totals],[Jaettava € 8]],"")</f>
        <v>3.8944524033341775E-4</v>
      </c>
      <c r="AF11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785904</v>
      </c>
      <c r="AG11" s="105">
        <v>0</v>
      </c>
      <c r="AH11" s="105">
        <v>0</v>
      </c>
      <c r="AI11" s="105">
        <v>0</v>
      </c>
      <c r="AJ11" s="105">
        <v>0</v>
      </c>
      <c r="AK11" s="105">
        <v>0</v>
      </c>
      <c r="AL11" s="105">
        <v>0</v>
      </c>
      <c r="AM11" s="105">
        <v>8000</v>
      </c>
      <c r="AN11" s="105">
        <v>0</v>
      </c>
      <c r="AO11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8000</v>
      </c>
      <c r="AP11" s="14">
        <f>Ohj.lask.[[#This Row],[Jaettava € 1]]+Ohj.lask.[[#This Row],[Harkinnanvarainen korotus 9, €]]</f>
        <v>361470</v>
      </c>
      <c r="AQ11" s="105">
        <f>Ohj.lask.[[#This Row],[Jaettava € 2]]</f>
        <v>155094</v>
      </c>
      <c r="AR11" s="14">
        <f>Ohj.lask.[[#This Row],[Jaettava € 3]]+Ohj.lask.[[#This Row],[Jaettava € 4]]+Ohj.lask.[[#This Row],[Jaettava € 5]]+Ohj.lask.[[#This Row],[Jaettava € 6]]+Ohj.lask.[[#This Row],[Jaettava € 7]]</f>
        <v>277340</v>
      </c>
      <c r="AS11" s="37">
        <f>Ohj.lask.[[#This Row],[Jaettava € 8]]+Ohj.lask.[[#This Row],[Harkinnanvarainen korotus 9, €]]</f>
        <v>793904</v>
      </c>
      <c r="AT11" s="37">
        <v>51590</v>
      </c>
      <c r="AU11" s="20">
        <f>Ohj.lask.[[#This Row],[Perus-, suoritus- ja vaikuttavuusrahoitus yhteensä, €]]+Ohj.lask.[[#This Row],[Alv-korvaus, €]]</f>
        <v>845494</v>
      </c>
    </row>
    <row r="12" spans="1:47" ht="13" x14ac:dyDescent="0.3">
      <c r="A12" s="7" t="s">
        <v>327</v>
      </c>
      <c r="B12" s="11" t="s">
        <v>19</v>
      </c>
      <c r="C12" s="11" t="s">
        <v>180</v>
      </c>
      <c r="D12" s="11" t="s">
        <v>337</v>
      </c>
      <c r="E12" s="11" t="s">
        <v>389</v>
      </c>
      <c r="F12" s="109">
        <v>1592</v>
      </c>
      <c r="G12" s="114">
        <f>Ohj.lask.[[#This Row],[Tavoitteelliset opiskelija-vuodet]]-Ohj.lask.[[#This Row],[Järjestämisluvan opisk.vuosien vähimmäismäärä]]</f>
        <v>245</v>
      </c>
      <c r="H12" s="36">
        <v>1837</v>
      </c>
      <c r="I12" s="12">
        <f>IFERROR(VLOOKUP($A12,'2.1 Toteut. op.vuodet'!$A:$T,COLUMN('2.1 Toteut. op.vuodet'!S:S),FALSE),0)</f>
        <v>1.0802086437743459</v>
      </c>
      <c r="J12" s="78">
        <f t="shared" si="0"/>
        <v>1984.3</v>
      </c>
      <c r="K12" s="13">
        <f>IFERROR(Ohj.lask.[[#This Row],[Painotetut opiskelija-vuodet]]/Ohj.lask.[[#Totals],[Painotetut opiskelija-vuodet]],0)</f>
        <v>9.1855874739379811E-3</v>
      </c>
      <c r="L12" s="14">
        <f>ROUND(IFERROR('1.1 Jakotaulu'!L$13*Ohj.lask.[[#This Row],[%-osuus 1]],0),0)</f>
        <v>12893221</v>
      </c>
      <c r="M12" s="157">
        <f>IFERROR(ROUND(VLOOKUP($A12,'2.2 Tutk. ja osien pain. pist.'!$A:$Q,COLUMN('2.2 Tutk. ja osien pain. pist.'!O:O),FALSE),1),0)</f>
        <v>142266.29999999999</v>
      </c>
      <c r="N12" s="13">
        <f>IFERROR(Ohj.lask.[[#This Row],[Painotetut pisteet 2]]/Ohj.lask.[[#Totals],[Painotetut pisteet 2]],0)</f>
        <v>9.1614468716345165E-3</v>
      </c>
      <c r="O12" s="20">
        <f>ROUND(IFERROR('1.1 Jakotaulu'!K$14*Ohj.lask.[[#This Row],[%-osuus 2]],0),0)</f>
        <v>3752364</v>
      </c>
      <c r="P12" s="158">
        <f>IFERROR(ROUND(VLOOKUP($A12,'2.3 Työll. ja jatko-opisk.'!$A:$Z,COLUMN('2.3 Työll. ja jatko-opisk.'!M:M),FALSE),1),0)</f>
        <v>3060</v>
      </c>
      <c r="Q12" s="13">
        <f>IFERROR(Ohj.lask.[[#This Row],[Painotetut pisteet 3]]/Ohj.lask.[[#Totals],[Painotetut pisteet 3]],0)</f>
        <v>9.8252549509170728E-3</v>
      </c>
      <c r="R12" s="14">
        <f>ROUND(IFERROR('1.1 Jakotaulu'!L$16*Ohj.lask.[[#This Row],[%-osuus 3]],0),0)</f>
        <v>1408487</v>
      </c>
      <c r="S12" s="157">
        <f>IFERROR(ROUND(VLOOKUP($A12,'2.4 Aloittaneet palaute'!$A:$J,COLUMN('2.4 Aloittaneet palaute'!I:I),FALSE),1),0)</f>
        <v>14802.2</v>
      </c>
      <c r="T12" s="17">
        <f>IFERROR(Ohj.lask.[[#This Row],[Painotetut pisteet 4]]/Ohj.lask.[[#Totals],[Painotetut pisteet 4]],0)</f>
        <v>9.4373979095445093E-3</v>
      </c>
      <c r="U12" s="20">
        <f>ROUND(IFERROR('1.1 Jakotaulu'!M$18*Ohj.lask.[[#This Row],[%-osuus 4]],0),0)</f>
        <v>72476</v>
      </c>
      <c r="V12" s="157">
        <f>IFERROR(ROUND(VLOOKUP($A12,'2.5 Päättäneet palaute'!$A:$Z,COLUMN('2.5 Päättäneet palaute'!Y:Y),FALSE),1),0)</f>
        <v>88211</v>
      </c>
      <c r="W12" s="17">
        <f>IFERROR(Ohj.lask.[[#This Row],[Painotetut pisteet 5]]/Ohj.lask.[[#Totals],[Painotetut pisteet 5]],0)</f>
        <v>9.2696051160410346E-3</v>
      </c>
      <c r="X12" s="20">
        <f>ROUND(IFERROR('1.1 Jakotaulu'!M$19*Ohj.lask.[[#This Row],[%-osuus 5]],0),0)</f>
        <v>213562</v>
      </c>
      <c r="Y12" s="157">
        <f>IFERROR(ROUND(VLOOKUP($A12,'2.6 Työpaikkaohjaajakysely'!A:I,COLUMN('2.6 Työpaikkaohjaajakysely'!H:H),FALSE),1),0)</f>
        <v>2461071.7000000002</v>
      </c>
      <c r="Z12" s="13">
        <f>IFERROR(Ohj.lask.[[#This Row],[Painotetut pisteet 6]]/Ohj.lask.[[#Totals],[Painotetut pisteet 6]],0)</f>
        <v>6.1593275326691874E-3</v>
      </c>
      <c r="AA12" s="20">
        <f>ROUND(IFERROR('1.1 Jakotaulu'!M$21*Ohj.lask.[[#This Row],[%-osuus 6]],0),0)</f>
        <v>141905</v>
      </c>
      <c r="AB12" s="157">
        <f>IFERROR(ROUND(VLOOKUP($A12,'2.7 Työpaikkakysely'!A:G,COLUMN('2.7 Työpaikkakysely'!F:F),FALSE),1),0)</f>
        <v>1269005</v>
      </c>
      <c r="AC12" s="13">
        <f>IFERROR(Ohj.lask.[[#This Row],[Pisteet 7]]/Ohj.lask.[[#Totals],[Pisteet 7]],0)</f>
        <v>6.638287890250367E-3</v>
      </c>
      <c r="AD12" s="20">
        <f>ROUND(IFERROR('1.1 Jakotaulu'!M$22*Ohj.lask.[[#This Row],[%-osuus 7]],0),0)</f>
        <v>50980</v>
      </c>
      <c r="AE12" s="16">
        <f>IFERROR(Ohj.lask.[[#This Row],[Jaettava € 8]]/Ohj.lask.[[#Totals],[Jaettava € 8]],"")</f>
        <v>9.1838019552935597E-3</v>
      </c>
      <c r="AF12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18532995</v>
      </c>
      <c r="AG12" s="105">
        <v>0</v>
      </c>
      <c r="AH12" s="105">
        <v>0</v>
      </c>
      <c r="AI12" s="105">
        <v>0</v>
      </c>
      <c r="AJ12" s="105">
        <v>0</v>
      </c>
      <c r="AK12" s="105">
        <v>0</v>
      </c>
      <c r="AL12" s="105">
        <v>0</v>
      </c>
      <c r="AM12" s="105">
        <v>30000</v>
      </c>
      <c r="AN12" s="105">
        <v>0</v>
      </c>
      <c r="AO12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30000</v>
      </c>
      <c r="AP12" s="14">
        <f>Ohj.lask.[[#This Row],[Jaettava € 1]]+Ohj.lask.[[#This Row],[Harkinnanvarainen korotus 9, €]]</f>
        <v>12923221</v>
      </c>
      <c r="AQ12" s="105">
        <f>Ohj.lask.[[#This Row],[Jaettava € 2]]</f>
        <v>3752364</v>
      </c>
      <c r="AR12" s="14">
        <f>Ohj.lask.[[#This Row],[Jaettava € 3]]+Ohj.lask.[[#This Row],[Jaettava € 4]]+Ohj.lask.[[#This Row],[Jaettava € 5]]+Ohj.lask.[[#This Row],[Jaettava € 6]]+Ohj.lask.[[#This Row],[Jaettava € 7]]</f>
        <v>1887410</v>
      </c>
      <c r="AS12" s="37">
        <f>Ohj.lask.[[#This Row],[Jaettava € 8]]+Ohj.lask.[[#This Row],[Harkinnanvarainen korotus 9, €]]</f>
        <v>18562995</v>
      </c>
      <c r="AT12" s="37">
        <v>1277678</v>
      </c>
      <c r="AU12" s="20">
        <f>Ohj.lask.[[#This Row],[Perus-, suoritus- ja vaikuttavuusrahoitus yhteensä, €]]+Ohj.lask.[[#This Row],[Alv-korvaus, €]]</f>
        <v>19840673</v>
      </c>
    </row>
    <row r="13" spans="1:47" ht="13" x14ac:dyDescent="0.3">
      <c r="A13" s="7" t="s">
        <v>181</v>
      </c>
      <c r="B13" s="11" t="s">
        <v>154</v>
      </c>
      <c r="C13" s="11" t="s">
        <v>180</v>
      </c>
      <c r="D13" s="11" t="s">
        <v>337</v>
      </c>
      <c r="E13" s="11" t="s">
        <v>390</v>
      </c>
      <c r="F13" s="109">
        <v>2494</v>
      </c>
      <c r="G13" s="114">
        <f>Ohj.lask.[[#This Row],[Tavoitteelliset opiskelija-vuodet]]-Ohj.lask.[[#This Row],[Järjestämisluvan opisk.vuosien vähimmäismäärä]]</f>
        <v>685</v>
      </c>
      <c r="H13" s="36">
        <v>3179</v>
      </c>
      <c r="I13" s="12">
        <f>IFERROR(VLOOKUP($A13,'2.1 Toteut. op.vuodet'!$A:$T,COLUMN('2.1 Toteut. op.vuodet'!S:S),FALSE),0)</f>
        <v>0.97219455154816448</v>
      </c>
      <c r="J13" s="78">
        <f t="shared" si="0"/>
        <v>3090.6</v>
      </c>
      <c r="K13" s="13">
        <f>IFERROR(Ohj.lask.[[#This Row],[Painotetut opiskelija-vuodet]]/Ohj.lask.[[#Totals],[Painotetut opiskelija-vuodet]],0)</f>
        <v>1.4306796677393905E-2</v>
      </c>
      <c r="L13" s="14">
        <f>ROUND(IFERROR('1.1 Jakotaulu'!L$13*Ohj.lask.[[#This Row],[%-osuus 1]],0),0)</f>
        <v>20081535</v>
      </c>
      <c r="M13" s="157">
        <f>IFERROR(ROUND(VLOOKUP($A13,'2.2 Tutk. ja osien pain. pist.'!$A:$Q,COLUMN('2.2 Tutk. ja osien pain. pist.'!O:O),FALSE),1),0)</f>
        <v>261056.9</v>
      </c>
      <c r="N13" s="13">
        <f>IFERROR(Ohj.lask.[[#This Row],[Painotetut pisteet 2]]/Ohj.lask.[[#Totals],[Painotetut pisteet 2]],0)</f>
        <v>1.6811141639471928E-2</v>
      </c>
      <c r="O13" s="20">
        <f>ROUND(IFERROR('1.1 Jakotaulu'!K$14*Ohj.lask.[[#This Row],[%-osuus 2]],0),0)</f>
        <v>6885541</v>
      </c>
      <c r="P13" s="158">
        <f>IFERROR(ROUND(VLOOKUP($A13,'2.3 Työll. ja jatko-opisk.'!$A:$Z,COLUMN('2.3 Työll. ja jatko-opisk.'!M:M),FALSE),1),0)</f>
        <v>5433.5</v>
      </c>
      <c r="Q13" s="13">
        <f>IFERROR(Ohj.lask.[[#This Row],[Painotetut pisteet 3]]/Ohj.lask.[[#Totals],[Painotetut pisteet 3]],0)</f>
        <v>1.7446249273139841E-2</v>
      </c>
      <c r="R13" s="14">
        <f>ROUND(IFERROR('1.1 Jakotaulu'!L$16*Ohj.lask.[[#This Row],[%-osuus 3]],0),0)</f>
        <v>2500984</v>
      </c>
      <c r="S13" s="157">
        <f>IFERROR(ROUND(VLOOKUP($A13,'2.4 Aloittaneet palaute'!$A:$J,COLUMN('2.4 Aloittaneet palaute'!I:I),FALSE),1),0)</f>
        <v>39674.199999999997</v>
      </c>
      <c r="T13" s="17">
        <f>IFERROR(Ohj.lask.[[#This Row],[Painotetut pisteet 4]]/Ohj.lask.[[#Totals],[Painotetut pisteet 4]],0)</f>
        <v>2.5294970487012115E-2</v>
      </c>
      <c r="U13" s="20">
        <f>ROUND(IFERROR('1.1 Jakotaulu'!M$18*Ohj.lask.[[#This Row],[%-osuus 4]],0),0)</f>
        <v>194257</v>
      </c>
      <c r="V13" s="157">
        <f>IFERROR(ROUND(VLOOKUP($A13,'2.5 Päättäneet palaute'!$A:$Z,COLUMN('2.5 Päättäneet palaute'!Y:Y),FALSE),1),0)</f>
        <v>253597.5</v>
      </c>
      <c r="W13" s="17">
        <f>IFERROR(Ohj.lask.[[#This Row],[Painotetut pisteet 5]]/Ohj.lask.[[#Totals],[Painotetut pisteet 5]],0)</f>
        <v>2.6649155812939616E-2</v>
      </c>
      <c r="X13" s="20">
        <f>ROUND(IFERROR('1.1 Jakotaulu'!M$19*Ohj.lask.[[#This Row],[%-osuus 5]],0),0)</f>
        <v>613970</v>
      </c>
      <c r="Y13" s="157">
        <f>IFERROR(ROUND(VLOOKUP($A13,'2.6 Työpaikkaohjaajakysely'!A:I,COLUMN('2.6 Työpaikkaohjaajakysely'!H:H),FALSE),1),0)</f>
        <v>7164640</v>
      </c>
      <c r="Z13" s="13">
        <f>IFERROR(Ohj.lask.[[#This Row],[Painotetut pisteet 6]]/Ohj.lask.[[#Totals],[Painotetut pisteet 6]],0)</f>
        <v>1.7930954394243352E-2</v>
      </c>
      <c r="AA13" s="20">
        <f>ROUND(IFERROR('1.1 Jakotaulu'!M$21*Ohj.lask.[[#This Row],[%-osuus 6]],0),0)</f>
        <v>413111</v>
      </c>
      <c r="AB13" s="157">
        <f>IFERROR(ROUND(VLOOKUP($A13,'2.7 Työpaikkakysely'!A:G,COLUMN('2.7 Työpaikkakysely'!F:F),FALSE),1),0)</f>
        <v>3876166.6</v>
      </c>
      <c r="AC13" s="13">
        <f>IFERROR(Ohj.lask.[[#This Row],[Pisteet 7]]/Ohj.lask.[[#Totals],[Pisteet 7]],0)</f>
        <v>2.0276602378535104E-2</v>
      </c>
      <c r="AD13" s="20">
        <f>ROUND(IFERROR('1.1 Jakotaulu'!M$22*Ohj.lask.[[#This Row],[%-osuus 7]],0),0)</f>
        <v>155717</v>
      </c>
      <c r="AE13" s="16">
        <f>IFERROR(Ohj.lask.[[#This Row],[Jaettava € 8]]/Ohj.lask.[[#Totals],[Jaettava € 8]],"")</f>
        <v>1.5284924398255904E-2</v>
      </c>
      <c r="AF13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30845115</v>
      </c>
      <c r="AG13" s="105">
        <v>0</v>
      </c>
      <c r="AH13" s="105">
        <v>0</v>
      </c>
      <c r="AI13" s="105">
        <v>0</v>
      </c>
      <c r="AJ13" s="105">
        <v>0</v>
      </c>
      <c r="AK13" s="105">
        <v>0</v>
      </c>
      <c r="AL13" s="105">
        <v>0</v>
      </c>
      <c r="AM13" s="105">
        <v>62000</v>
      </c>
      <c r="AN13" s="105">
        <v>0</v>
      </c>
      <c r="AO13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62000</v>
      </c>
      <c r="AP13" s="14">
        <f>Ohj.lask.[[#This Row],[Jaettava € 1]]+Ohj.lask.[[#This Row],[Harkinnanvarainen korotus 9, €]]</f>
        <v>20143535</v>
      </c>
      <c r="AQ13" s="105">
        <f>Ohj.lask.[[#This Row],[Jaettava € 2]]</f>
        <v>6885541</v>
      </c>
      <c r="AR13" s="14">
        <f>Ohj.lask.[[#This Row],[Jaettava € 3]]+Ohj.lask.[[#This Row],[Jaettava € 4]]+Ohj.lask.[[#This Row],[Jaettava € 5]]+Ohj.lask.[[#This Row],[Jaettava € 6]]+Ohj.lask.[[#This Row],[Jaettava € 7]]</f>
        <v>3878039</v>
      </c>
      <c r="AS13" s="37">
        <f>Ohj.lask.[[#This Row],[Jaettava € 8]]+Ohj.lask.[[#This Row],[Harkinnanvarainen korotus 9, €]]</f>
        <v>30907115</v>
      </c>
      <c r="AT13" s="37">
        <v>1958113</v>
      </c>
      <c r="AU13" s="20">
        <f>Ohj.lask.[[#This Row],[Perus-, suoritus- ja vaikuttavuusrahoitus yhteensä, €]]+Ohj.lask.[[#This Row],[Alv-korvaus, €]]</f>
        <v>32865228</v>
      </c>
    </row>
    <row r="14" spans="1:47" ht="13" x14ac:dyDescent="0.3">
      <c r="A14" s="7" t="s">
        <v>326</v>
      </c>
      <c r="B14" s="11" t="s">
        <v>20</v>
      </c>
      <c r="C14" s="11" t="s">
        <v>180</v>
      </c>
      <c r="D14" s="11" t="s">
        <v>337</v>
      </c>
      <c r="E14" s="11" t="s">
        <v>388</v>
      </c>
      <c r="F14" s="109">
        <v>0</v>
      </c>
      <c r="G14" s="114">
        <f>Ohj.lask.[[#This Row],[Tavoitteelliset opiskelija-vuodet]]-Ohj.lask.[[#This Row],[Järjestämisluvan opisk.vuosien vähimmäismäärä]]</f>
        <v>3</v>
      </c>
      <c r="H14" s="36">
        <v>3</v>
      </c>
      <c r="I14" s="12">
        <f>IFERROR(VLOOKUP($A14,'2.1 Toteut. op.vuodet'!$A:$T,COLUMN('2.1 Toteut. op.vuodet'!S:S),FALSE),0)</f>
        <v>0.790685999999998</v>
      </c>
      <c r="J14" s="78">
        <f t="shared" si="0"/>
        <v>2.4</v>
      </c>
      <c r="K14" s="13">
        <f>IFERROR(Ohj.lask.[[#This Row],[Painotetut opiskelija-vuodet]]/Ohj.lask.[[#Totals],[Painotetut opiskelija-vuodet]],0)</f>
        <v>1.110991782364116E-5</v>
      </c>
      <c r="L14" s="14">
        <f>ROUND(IFERROR('1.1 Jakotaulu'!L$13*Ohj.lask.[[#This Row],[%-osuus 1]],0),0)</f>
        <v>15594</v>
      </c>
      <c r="M14" s="157">
        <f>IFERROR(ROUND(VLOOKUP($A14,'2.2 Tutk. ja osien pain. pist.'!$A:$Q,COLUMN('2.2 Tutk. ja osien pain. pist.'!O:O),FALSE),1),0)</f>
        <v>578</v>
      </c>
      <c r="N14" s="13">
        <f>IFERROR(Ohj.lask.[[#This Row],[Painotetut pisteet 2]]/Ohj.lask.[[#Totals],[Painotetut pisteet 2]],0)</f>
        <v>3.7221157025977001E-5</v>
      </c>
      <c r="O14" s="20">
        <f>ROUND(IFERROR('1.1 Jakotaulu'!K$14*Ohj.lask.[[#This Row],[%-osuus 2]],0),0)</f>
        <v>15245</v>
      </c>
      <c r="P14" s="158">
        <f>IFERROR(ROUND(VLOOKUP($A14,'2.3 Työll. ja jatko-opisk.'!$A:$Z,COLUMN('2.3 Työll. ja jatko-opisk.'!M:M),FALSE),1),0)</f>
        <v>52.7</v>
      </c>
      <c r="Q14" s="13">
        <f>IFERROR(Ohj.lask.[[#This Row],[Painotetut pisteet 3]]/Ohj.lask.[[#Totals],[Painotetut pisteet 3]],0)</f>
        <v>1.6921272415468293E-4</v>
      </c>
      <c r="R14" s="14">
        <f>ROUND(IFERROR('1.1 Jakotaulu'!L$16*Ohj.lask.[[#This Row],[%-osuus 3]],0),0)</f>
        <v>24257</v>
      </c>
      <c r="S14" s="157">
        <f>IFERROR(ROUND(VLOOKUP($A14,'2.4 Aloittaneet palaute'!$A:$J,COLUMN('2.4 Aloittaneet palaute'!I:I),FALSE),1),0)</f>
        <v>0</v>
      </c>
      <c r="T14" s="17">
        <f>IFERROR(Ohj.lask.[[#This Row],[Painotetut pisteet 4]]/Ohj.lask.[[#Totals],[Painotetut pisteet 4]],0)</f>
        <v>0</v>
      </c>
      <c r="U14" s="20">
        <f>ROUND(IFERROR('1.1 Jakotaulu'!M$18*Ohj.lask.[[#This Row],[%-osuus 4]],0),0)</f>
        <v>0</v>
      </c>
      <c r="V14" s="157">
        <f>IFERROR(ROUND(VLOOKUP($A14,'2.5 Päättäneet palaute'!$A:$Z,COLUMN('2.5 Päättäneet palaute'!Y:Y),FALSE),1),0)</f>
        <v>1168.0999999999999</v>
      </c>
      <c r="W14" s="17">
        <f>IFERROR(Ohj.lask.[[#This Row],[Painotetut pisteet 5]]/Ohj.lask.[[#Totals],[Painotetut pisteet 5]],0)</f>
        <v>1.2274915527595801E-4</v>
      </c>
      <c r="X14" s="20">
        <f>ROUND(IFERROR('1.1 Jakotaulu'!M$19*Ohj.lask.[[#This Row],[%-osuus 5]],0),0)</f>
        <v>2828</v>
      </c>
      <c r="Y14" s="157">
        <f>IFERROR(ROUND(VLOOKUP($A14,'2.6 Työpaikkaohjaajakysely'!A:I,COLUMN('2.6 Työpaikkaohjaajakysely'!H:H),FALSE),1),0)</f>
        <v>3623.9</v>
      </c>
      <c r="Z14" s="13">
        <f>IFERROR(Ohj.lask.[[#This Row],[Painotetut pisteet 6]]/Ohj.lask.[[#Totals],[Painotetut pisteet 6]],0)</f>
        <v>9.0695395203804359E-6</v>
      </c>
      <c r="AA14" s="20">
        <f>ROUND(IFERROR('1.1 Jakotaulu'!M$21*Ohj.lask.[[#This Row],[%-osuus 6]],0),0)</f>
        <v>209</v>
      </c>
      <c r="AB14" s="157">
        <f>IFERROR(ROUND(VLOOKUP($A14,'2.7 Työpaikkakysely'!A:G,COLUMN('2.7 Työpaikkakysely'!F:F),FALSE),1),0)</f>
        <v>2440</v>
      </c>
      <c r="AC14" s="13">
        <f>IFERROR(Ohj.lask.[[#This Row],[Pisteet 7]]/Ohj.lask.[[#Totals],[Pisteet 7]],0)</f>
        <v>1.2763875991198534E-5</v>
      </c>
      <c r="AD14" s="20">
        <f>ROUND(IFERROR('1.1 Jakotaulu'!M$22*Ohj.lask.[[#This Row],[%-osuus 7]],0),0)</f>
        <v>98</v>
      </c>
      <c r="AE14" s="16">
        <f>IFERROR(Ohj.lask.[[#This Row],[Jaettava € 8]]/Ohj.lask.[[#Totals],[Jaettava € 8]],"")</f>
        <v>2.8855669127342843E-5</v>
      </c>
      <c r="AF14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58231</v>
      </c>
      <c r="AG14" s="105">
        <v>0</v>
      </c>
      <c r="AH14" s="105">
        <v>0</v>
      </c>
      <c r="AI14" s="105">
        <v>0</v>
      </c>
      <c r="AJ14" s="105">
        <v>0</v>
      </c>
      <c r="AK14" s="105">
        <v>0</v>
      </c>
      <c r="AL14" s="105">
        <v>0</v>
      </c>
      <c r="AM14" s="105">
        <v>0</v>
      </c>
      <c r="AN14" s="105">
        <v>0</v>
      </c>
      <c r="AO14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0</v>
      </c>
      <c r="AP14" s="14">
        <f>Ohj.lask.[[#This Row],[Jaettava € 1]]+Ohj.lask.[[#This Row],[Harkinnanvarainen korotus 9, €]]</f>
        <v>15594</v>
      </c>
      <c r="AQ14" s="105">
        <f>Ohj.lask.[[#This Row],[Jaettava € 2]]</f>
        <v>15245</v>
      </c>
      <c r="AR14" s="14">
        <f>Ohj.lask.[[#This Row],[Jaettava € 3]]+Ohj.lask.[[#This Row],[Jaettava € 4]]+Ohj.lask.[[#This Row],[Jaettava € 5]]+Ohj.lask.[[#This Row],[Jaettava € 6]]+Ohj.lask.[[#This Row],[Jaettava € 7]]</f>
        <v>27392</v>
      </c>
      <c r="AS14" s="37">
        <f>Ohj.lask.[[#This Row],[Jaettava € 8]]+Ohj.lask.[[#This Row],[Harkinnanvarainen korotus 9, €]]</f>
        <v>58231</v>
      </c>
      <c r="AT14" s="37">
        <v>503</v>
      </c>
      <c r="AU14" s="20">
        <f>Ohj.lask.[[#This Row],[Perus-, suoritus- ja vaikuttavuusrahoitus yhteensä, €]]+Ohj.lask.[[#This Row],[Alv-korvaus, €]]</f>
        <v>58734</v>
      </c>
    </row>
    <row r="15" spans="1:47" ht="13" x14ac:dyDescent="0.3">
      <c r="A15" s="7" t="s">
        <v>325</v>
      </c>
      <c r="B15" s="11" t="s">
        <v>21</v>
      </c>
      <c r="C15" s="99" t="s">
        <v>180</v>
      </c>
      <c r="D15" s="99" t="s">
        <v>336</v>
      </c>
      <c r="E15" s="99" t="s">
        <v>388</v>
      </c>
      <c r="F15" s="108">
        <v>5838</v>
      </c>
      <c r="G15" s="114">
        <f>Ohj.lask.[[#This Row],[Tavoitteelliset opiskelija-vuodet]]-Ohj.lask.[[#This Row],[Järjestämisluvan opisk.vuosien vähimmäismäärä]]</f>
        <v>2067</v>
      </c>
      <c r="H15" s="36">
        <v>7905</v>
      </c>
      <c r="I15" s="12">
        <f>IFERROR(VLOOKUP($A15,'2.1 Toteut. op.vuodet'!$A:$T,COLUMN('2.1 Toteut. op.vuodet'!S:S),FALSE),0)</f>
        <v>0.99981003472899255</v>
      </c>
      <c r="J15" s="78">
        <f t="shared" si="0"/>
        <v>7903.5</v>
      </c>
      <c r="K15" s="13">
        <f>IFERROR(Ohj.lask.[[#This Row],[Painotetut opiskelija-vuodet]]/Ohj.lask.[[#Totals],[Painotetut opiskelija-vuodet]],0)</f>
        <v>3.65863481329783E-2</v>
      </c>
      <c r="L15" s="14">
        <f>ROUND(IFERROR('1.1 Jakotaulu'!L$13*Ohj.lask.[[#This Row],[%-osuus 1]],0),0)</f>
        <v>51353915</v>
      </c>
      <c r="M15" s="157">
        <f>IFERROR(ROUND(VLOOKUP($A15,'2.2 Tutk. ja osien pain. pist.'!$A:$Q,COLUMN('2.2 Tutk. ja osien pain. pist.'!O:O),FALSE),1),0)</f>
        <v>508379.6</v>
      </c>
      <c r="N15" s="13">
        <f>IFERROR(Ohj.lask.[[#This Row],[Painotetut pisteet 2]]/Ohj.lask.[[#Totals],[Painotetut pisteet 2]],0)</f>
        <v>3.2737849343258435E-2</v>
      </c>
      <c r="O15" s="20">
        <f>ROUND(IFERROR('1.1 Jakotaulu'!K$14*Ohj.lask.[[#This Row],[%-osuus 2]],0),0)</f>
        <v>13408834</v>
      </c>
      <c r="P15" s="158">
        <f>IFERROR(ROUND(VLOOKUP($A15,'2.3 Työll. ja jatko-opisk.'!$A:$Z,COLUMN('2.3 Työll. ja jatko-opisk.'!M:M),FALSE),1),0)</f>
        <v>11052.5</v>
      </c>
      <c r="Q15" s="17">
        <f>IFERROR(Ohj.lask.[[#This Row],[Painotetut pisteet 3]]/Ohj.lask.[[#Totals],[Painotetut pisteet 3]],0)</f>
        <v>3.5488114491833644E-2</v>
      </c>
      <c r="R15" s="14">
        <f>ROUND(IFERROR('1.1 Jakotaulu'!L$16*Ohj.lask.[[#This Row],[%-osuus 3]],0),0)</f>
        <v>5087353</v>
      </c>
      <c r="S15" s="157">
        <f>IFERROR(ROUND(VLOOKUP($A15,'2.4 Aloittaneet palaute'!$A:$J,COLUMN('2.4 Aloittaneet palaute'!I:I),FALSE),1),0)</f>
        <v>50738.1</v>
      </c>
      <c r="T15" s="17">
        <f>IFERROR(Ohj.lask.[[#This Row],[Painotetut pisteet 4]]/Ohj.lask.[[#Totals],[Painotetut pisteet 4]],0)</f>
        <v>3.2348950755580946E-2</v>
      </c>
      <c r="U15" s="20">
        <f>ROUND(IFERROR('1.1 Jakotaulu'!M$18*Ohj.lask.[[#This Row],[%-osuus 4]],0),0)</f>
        <v>248429</v>
      </c>
      <c r="V15" s="157">
        <f>IFERROR(ROUND(VLOOKUP($A15,'2.5 Päättäneet palaute'!$A:$Z,COLUMN('2.5 Päättäneet palaute'!Y:Y),FALSE),1),0)</f>
        <v>299735.7</v>
      </c>
      <c r="W15" s="17">
        <f>IFERROR(Ohj.lask.[[#This Row],[Painotetut pisteet 5]]/Ohj.lask.[[#Totals],[Painotetut pisteet 5]],0)</f>
        <v>3.149756354853863E-2</v>
      </c>
      <c r="X15" s="20">
        <f>ROUND(IFERROR('1.1 Jakotaulu'!M$19*Ohj.lask.[[#This Row],[%-osuus 5]],0),0)</f>
        <v>725672</v>
      </c>
      <c r="Y15" s="157">
        <f>IFERROR(ROUND(VLOOKUP($A15,'2.6 Työpaikkaohjaajakysely'!A:I,COLUMN('2.6 Työpaikkaohjaajakysely'!H:H),FALSE),1),0)</f>
        <v>9836548.0999999996</v>
      </c>
      <c r="Z15" s="13">
        <f>IFERROR(Ohj.lask.[[#This Row],[Painotetut pisteet 6]]/Ohj.lask.[[#Totals],[Painotetut pisteet 6]],0)</f>
        <v>2.4617942475529977E-2</v>
      </c>
      <c r="AA15" s="20">
        <f>ROUND(IFERROR('1.1 Jakotaulu'!M$21*Ohj.lask.[[#This Row],[%-osuus 6]],0),0)</f>
        <v>567172</v>
      </c>
      <c r="AB15" s="157">
        <f>IFERROR(ROUND(VLOOKUP($A15,'2.7 Työpaikkakysely'!A:G,COLUMN('2.7 Työpaikkakysely'!F:F),FALSE),1),0)</f>
        <v>2074084.9</v>
      </c>
      <c r="AC15" s="13">
        <f>IFERROR(Ohj.lask.[[#This Row],[Pisteet 7]]/Ohj.lask.[[#Totals],[Pisteet 7]],0)</f>
        <v>1.0849738712630086E-2</v>
      </c>
      <c r="AD15" s="20">
        <f>ROUND(IFERROR('1.1 Jakotaulu'!M$22*Ohj.lask.[[#This Row],[%-osuus 7]],0),0)</f>
        <v>83322</v>
      </c>
      <c r="AE15" s="16">
        <f>IFERROR(Ohj.lask.[[#This Row],[Jaettava € 8]]/Ohj.lask.[[#Totals],[Jaettava € 8]],"")</f>
        <v>3.5418423307329153E-2</v>
      </c>
      <c r="AF15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71474697</v>
      </c>
      <c r="AG15" s="105">
        <v>0</v>
      </c>
      <c r="AH15" s="105">
        <v>0</v>
      </c>
      <c r="AI15" s="105">
        <v>0</v>
      </c>
      <c r="AJ15" s="105">
        <v>0</v>
      </c>
      <c r="AK15" s="105">
        <v>0</v>
      </c>
      <c r="AL15" s="105">
        <v>0</v>
      </c>
      <c r="AM15" s="105">
        <v>85000</v>
      </c>
      <c r="AN15" s="105">
        <v>52000</v>
      </c>
      <c r="AO15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137000</v>
      </c>
      <c r="AP15" s="14">
        <f>Ohj.lask.[[#This Row],[Jaettava € 1]]+Ohj.lask.[[#This Row],[Harkinnanvarainen korotus 9, €]]</f>
        <v>51490915</v>
      </c>
      <c r="AQ15" s="105">
        <f>Ohj.lask.[[#This Row],[Jaettava € 2]]</f>
        <v>13408834</v>
      </c>
      <c r="AR15" s="14">
        <f>Ohj.lask.[[#This Row],[Jaettava € 3]]+Ohj.lask.[[#This Row],[Jaettava € 4]]+Ohj.lask.[[#This Row],[Jaettava € 5]]+Ohj.lask.[[#This Row],[Jaettava € 6]]+Ohj.lask.[[#This Row],[Jaettava € 7]]</f>
        <v>6711948</v>
      </c>
      <c r="AS15" s="37">
        <f>Ohj.lask.[[#This Row],[Jaettava € 8]]+Ohj.lask.[[#This Row],[Harkinnanvarainen korotus 9, €]]</f>
        <v>71611697</v>
      </c>
      <c r="AT15" s="37">
        <v>0</v>
      </c>
      <c r="AU15" s="20">
        <f>Ohj.lask.[[#This Row],[Perus-, suoritus- ja vaikuttavuusrahoitus yhteensä, €]]+Ohj.lask.[[#This Row],[Alv-korvaus, €]]</f>
        <v>71611697</v>
      </c>
    </row>
    <row r="16" spans="1:47" ht="13" x14ac:dyDescent="0.3">
      <c r="A16" s="7" t="s">
        <v>324</v>
      </c>
      <c r="B16" s="11" t="s">
        <v>22</v>
      </c>
      <c r="C16" s="99" t="s">
        <v>323</v>
      </c>
      <c r="D16" s="99" t="s">
        <v>336</v>
      </c>
      <c r="E16" s="99" t="s">
        <v>388</v>
      </c>
      <c r="F16" s="108">
        <v>2885</v>
      </c>
      <c r="G16" s="114">
        <f>Ohj.lask.[[#This Row],[Tavoitteelliset opiskelija-vuodet]]-Ohj.lask.[[#This Row],[Järjestämisluvan opisk.vuosien vähimmäismäärä]]</f>
        <v>184</v>
      </c>
      <c r="H16" s="36">
        <v>3069</v>
      </c>
      <c r="I16" s="12">
        <f>IFERROR(VLOOKUP($A16,'2.1 Toteut. op.vuodet'!$A:$T,COLUMN('2.1 Toteut. op.vuodet'!S:S),FALSE),0)</f>
        <v>1.0949138913973753</v>
      </c>
      <c r="J16" s="78">
        <f t="shared" si="0"/>
        <v>3360.3</v>
      </c>
      <c r="K16" s="13">
        <f>IFERROR(Ohj.lask.[[#This Row],[Painotetut opiskelija-vuodet]]/Ohj.lask.[[#Totals],[Painotetut opiskelija-vuodet]],0)</f>
        <v>1.5555273692825581E-2</v>
      </c>
      <c r="L16" s="14">
        <f>ROUND(IFERROR('1.1 Jakotaulu'!L$13*Ohj.lask.[[#This Row],[%-osuus 1]],0),0)</f>
        <v>21833942</v>
      </c>
      <c r="M16" s="157">
        <f>IFERROR(ROUND(VLOOKUP($A16,'2.2 Tutk. ja osien pain. pist.'!$A:$Q,COLUMN('2.2 Tutk. ja osien pain. pist.'!O:O),FALSE),1),0)</f>
        <v>252125.4</v>
      </c>
      <c r="N16" s="13">
        <f>IFERROR(Ohj.lask.[[#This Row],[Painotetut pisteet 2]]/Ohj.lask.[[#Totals],[Painotetut pisteet 2]],0)</f>
        <v>1.6235984608368965E-2</v>
      </c>
      <c r="O16" s="20">
        <f>ROUND(IFERROR('1.1 Jakotaulu'!K$14*Ohj.lask.[[#This Row],[%-osuus 2]],0),0)</f>
        <v>6649967</v>
      </c>
      <c r="P16" s="158">
        <f>IFERROR(ROUND(VLOOKUP($A16,'2.3 Työll. ja jatko-opisk.'!$A:$Z,COLUMN('2.3 Työll. ja jatko-opisk.'!M:M),FALSE),1),0)</f>
        <v>5101.6000000000004</v>
      </c>
      <c r="Q16" s="17">
        <f>IFERROR(Ohj.lask.[[#This Row],[Painotetut pisteet 3]]/Ohj.lask.[[#Totals],[Painotetut pisteet 3]],0)</f>
        <v>1.638056230640475E-2</v>
      </c>
      <c r="R16" s="14">
        <f>ROUND(IFERROR('1.1 Jakotaulu'!L$16*Ohj.lask.[[#This Row],[%-osuus 3]],0),0)</f>
        <v>2348214</v>
      </c>
      <c r="S16" s="157">
        <f>IFERROR(ROUND(VLOOKUP($A16,'2.4 Aloittaneet palaute'!$A:$J,COLUMN('2.4 Aloittaneet palaute'!I:I),FALSE),1),0)</f>
        <v>27009.200000000001</v>
      </c>
      <c r="T16" s="17">
        <f>IFERROR(Ohj.lask.[[#This Row],[Painotetut pisteet 4]]/Ohj.lask.[[#Totals],[Painotetut pisteet 4]],0)</f>
        <v>1.7220181298622472E-2</v>
      </c>
      <c r="U16" s="20">
        <f>ROUND(IFERROR('1.1 Jakotaulu'!M$18*Ohj.lask.[[#This Row],[%-osuus 4]],0),0)</f>
        <v>132245</v>
      </c>
      <c r="V16" s="157">
        <f>IFERROR(ROUND(VLOOKUP($A16,'2.5 Päättäneet palaute'!$A:$Z,COLUMN('2.5 Päättäneet palaute'!Y:Y),FALSE),1),0)</f>
        <v>158167.70000000001</v>
      </c>
      <c r="W16" s="17">
        <f>IFERROR(Ohj.lask.[[#This Row],[Painotetut pisteet 5]]/Ohj.lask.[[#Totals],[Painotetut pisteet 5]],0)</f>
        <v>1.662096701219172E-2</v>
      </c>
      <c r="X16" s="20">
        <f>ROUND(IFERROR('1.1 Jakotaulu'!M$19*Ohj.lask.[[#This Row],[%-osuus 5]],0),0)</f>
        <v>382930</v>
      </c>
      <c r="Y16" s="157">
        <f>IFERROR(ROUND(VLOOKUP($A16,'2.6 Työpaikkaohjaajakysely'!A:I,COLUMN('2.6 Työpaikkaohjaajakysely'!H:H),FALSE),1),0)</f>
        <v>4861494.0999999996</v>
      </c>
      <c r="Z16" s="13">
        <f>IFERROR(Ohj.lask.[[#This Row],[Painotetut pisteet 6]]/Ohj.lask.[[#Totals],[Painotetut pisteet 6]],0)</f>
        <v>1.2166867978709766E-2</v>
      </c>
      <c r="AA16" s="20">
        <f>ROUND(IFERROR('1.1 Jakotaulu'!M$21*Ohj.lask.[[#This Row],[%-osuus 6]],0),0)</f>
        <v>280312</v>
      </c>
      <c r="AB16" s="157">
        <f>IFERROR(ROUND(VLOOKUP($A16,'2.7 Työpaikkakysely'!A:G,COLUMN('2.7 Työpaikkakysely'!F:F),FALSE),1),0)</f>
        <v>2793822</v>
      </c>
      <c r="AC16" s="13">
        <f>IFERROR(Ohj.lask.[[#This Row],[Pisteet 7]]/Ohj.lask.[[#Totals],[Pisteet 7]],0)</f>
        <v>1.4614753094050111E-2</v>
      </c>
      <c r="AD16" s="20">
        <f>ROUND(IFERROR('1.1 Jakotaulu'!M$22*Ohj.lask.[[#This Row],[%-osuus 7]],0),0)</f>
        <v>112236</v>
      </c>
      <c r="AE16" s="16">
        <f>IFERROR(Ohj.lask.[[#This Row],[Jaettava € 8]]/Ohj.lask.[[#Totals],[Jaettava € 8]],"")</f>
        <v>1.5728297544758223E-2</v>
      </c>
      <c r="AF16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31739846</v>
      </c>
      <c r="AG16" s="105">
        <v>0</v>
      </c>
      <c r="AH16" s="105">
        <v>0</v>
      </c>
      <c r="AI16" s="105">
        <v>0</v>
      </c>
      <c r="AJ16" s="105">
        <v>0</v>
      </c>
      <c r="AK16" s="105">
        <v>0</v>
      </c>
      <c r="AL16" s="105">
        <v>0</v>
      </c>
      <c r="AM16" s="105">
        <v>58000</v>
      </c>
      <c r="AN16" s="105">
        <v>0</v>
      </c>
      <c r="AO16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58000</v>
      </c>
      <c r="AP16" s="14">
        <f>Ohj.lask.[[#This Row],[Jaettava € 1]]+Ohj.lask.[[#This Row],[Harkinnanvarainen korotus 9, €]]</f>
        <v>21891942</v>
      </c>
      <c r="AQ16" s="105">
        <f>Ohj.lask.[[#This Row],[Jaettava € 2]]</f>
        <v>6649967</v>
      </c>
      <c r="AR16" s="14">
        <f>Ohj.lask.[[#This Row],[Jaettava € 3]]+Ohj.lask.[[#This Row],[Jaettava € 4]]+Ohj.lask.[[#This Row],[Jaettava € 5]]+Ohj.lask.[[#This Row],[Jaettava € 6]]+Ohj.lask.[[#This Row],[Jaettava € 7]]</f>
        <v>3255937</v>
      </c>
      <c r="AS16" s="37">
        <f>Ohj.lask.[[#This Row],[Jaettava € 8]]+Ohj.lask.[[#This Row],[Harkinnanvarainen korotus 9, €]]</f>
        <v>31797846</v>
      </c>
      <c r="AT16" s="37">
        <v>0</v>
      </c>
      <c r="AU16" s="20">
        <f>Ohj.lask.[[#This Row],[Perus-, suoritus- ja vaikuttavuusrahoitus yhteensä, €]]+Ohj.lask.[[#This Row],[Alv-korvaus, €]]</f>
        <v>31797846</v>
      </c>
    </row>
    <row r="17" spans="1:47" ht="13" x14ac:dyDescent="0.3">
      <c r="A17" s="7" t="s">
        <v>322</v>
      </c>
      <c r="B17" s="11" t="s">
        <v>23</v>
      </c>
      <c r="C17" s="11" t="s">
        <v>210</v>
      </c>
      <c r="D17" s="11" t="s">
        <v>337</v>
      </c>
      <c r="E17" s="11" t="s">
        <v>388</v>
      </c>
      <c r="F17" s="109">
        <v>2485</v>
      </c>
      <c r="G17" s="114">
        <f>Ohj.lask.[[#This Row],[Tavoitteelliset opiskelija-vuodet]]-Ohj.lask.[[#This Row],[Järjestämisluvan opisk.vuosien vähimmäismäärä]]</f>
        <v>65</v>
      </c>
      <c r="H17" s="36">
        <v>2550</v>
      </c>
      <c r="I17" s="12">
        <f>IFERROR(VLOOKUP($A17,'2.1 Toteut. op.vuodet'!$A:$T,COLUMN('2.1 Toteut. op.vuodet'!S:S),FALSE),0)</f>
        <v>1.2326825971893702</v>
      </c>
      <c r="J17" s="78">
        <f t="shared" si="0"/>
        <v>3143.3</v>
      </c>
      <c r="K17" s="13">
        <f>IFERROR(Ohj.lask.[[#This Row],[Painotetut opiskelija-vuodet]]/Ohj.lask.[[#Totals],[Painotetut opiskelija-vuodet]],0)</f>
        <v>1.455075195627136E-2</v>
      </c>
      <c r="L17" s="14">
        <f>ROUND(IFERROR('1.1 Jakotaulu'!L$13*Ohj.lask.[[#This Row],[%-osuus 1]],0),0)</f>
        <v>20423959</v>
      </c>
      <c r="M17" s="157">
        <f>IFERROR(ROUND(VLOOKUP($A17,'2.2 Tutk. ja osien pain. pist.'!$A:$Q,COLUMN('2.2 Tutk. ja osien pain. pist.'!O:O),FALSE),1),0)</f>
        <v>228216.4</v>
      </c>
      <c r="N17" s="13">
        <f>IFERROR(Ohj.lask.[[#This Row],[Painotetut pisteet 2]]/Ohj.lask.[[#Totals],[Painotetut pisteet 2]],0)</f>
        <v>1.4696329516095461E-2</v>
      </c>
      <c r="O17" s="20">
        <f>ROUND(IFERROR('1.1 Jakotaulu'!K$14*Ohj.lask.[[#This Row],[%-osuus 2]],0),0)</f>
        <v>6019352</v>
      </c>
      <c r="P17" s="158">
        <f>IFERROR(ROUND(VLOOKUP($A17,'2.3 Työll. ja jatko-opisk.'!$A:$Z,COLUMN('2.3 Työll. ja jatko-opisk.'!M:M),FALSE),1),0)</f>
        <v>4498.7</v>
      </c>
      <c r="Q17" s="13">
        <f>IFERROR(Ohj.lask.[[#This Row],[Painotetut pisteet 3]]/Ohj.lask.[[#Totals],[Painotetut pisteet 3]],0)</f>
        <v>1.4444730211663604E-2</v>
      </c>
      <c r="R17" s="14">
        <f>ROUND(IFERROR('1.1 Jakotaulu'!L$16*Ohj.lask.[[#This Row],[%-osuus 3]],0),0)</f>
        <v>2070706</v>
      </c>
      <c r="S17" s="157">
        <f>IFERROR(ROUND(VLOOKUP($A17,'2.4 Aloittaneet palaute'!$A:$J,COLUMN('2.4 Aloittaneet palaute'!I:I),FALSE),1),0)</f>
        <v>18781.400000000001</v>
      </c>
      <c r="T17" s="17">
        <f>IFERROR(Ohj.lask.[[#This Row],[Painotetut pisteet 4]]/Ohj.lask.[[#Totals],[Painotetut pisteet 4]],0)</f>
        <v>1.1974405500420157E-2</v>
      </c>
      <c r="U17" s="20">
        <f>ROUND(IFERROR('1.1 Jakotaulu'!M$18*Ohj.lask.[[#This Row],[%-osuus 4]],0),0)</f>
        <v>91959</v>
      </c>
      <c r="V17" s="157">
        <f>IFERROR(ROUND(VLOOKUP($A17,'2.5 Päättäneet palaute'!$A:$Z,COLUMN('2.5 Päättäneet palaute'!Y:Y),FALSE),1),0)</f>
        <v>116705.2</v>
      </c>
      <c r="W17" s="17">
        <f>IFERROR(Ohj.lask.[[#This Row],[Painotetut pisteet 5]]/Ohj.lask.[[#Totals],[Painotetut pisteet 5]],0)</f>
        <v>1.2263902676407616E-2</v>
      </c>
      <c r="X17" s="20">
        <f>ROUND(IFERROR('1.1 Jakotaulu'!M$19*Ohj.lask.[[#This Row],[%-osuus 5]],0),0)</f>
        <v>282548</v>
      </c>
      <c r="Y17" s="157">
        <f>IFERROR(ROUND(VLOOKUP($A17,'2.6 Työpaikkaohjaajakysely'!A:I,COLUMN('2.6 Työpaikkaohjaajakysely'!H:H),FALSE),1),0)</f>
        <v>6985385.0999999996</v>
      </c>
      <c r="Z17" s="13">
        <f>IFERROR(Ohj.lask.[[#This Row],[Painotetut pisteet 6]]/Ohj.lask.[[#Totals],[Painotetut pisteet 6]],0)</f>
        <v>1.7482332909165992E-2</v>
      </c>
      <c r="AA17" s="20">
        <f>ROUND(IFERROR('1.1 Jakotaulu'!M$21*Ohj.lask.[[#This Row],[%-osuus 6]],0),0)</f>
        <v>402775</v>
      </c>
      <c r="AB17" s="157">
        <f>IFERROR(ROUND(VLOOKUP($A17,'2.7 Työpaikkakysely'!A:G,COLUMN('2.7 Työpaikkakysely'!F:F),FALSE),1),0)</f>
        <v>4030325.3</v>
      </c>
      <c r="AC17" s="13">
        <f>IFERROR(Ohj.lask.[[#This Row],[Pisteet 7]]/Ohj.lask.[[#Totals],[Pisteet 7]],0)</f>
        <v>2.1083021448110667E-2</v>
      </c>
      <c r="AD17" s="20">
        <f>ROUND(IFERROR('1.1 Jakotaulu'!M$22*Ohj.lask.[[#This Row],[%-osuus 7]],0),0)</f>
        <v>161910</v>
      </c>
      <c r="AE17" s="16">
        <f>IFERROR(Ohj.lask.[[#This Row],[Jaettava € 8]]/Ohj.lask.[[#Totals],[Jaettava € 8]],"")</f>
        <v>1.4595182182041805E-2</v>
      </c>
      <c r="AF17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29453209</v>
      </c>
      <c r="AG17" s="105">
        <v>0</v>
      </c>
      <c r="AH17" s="105">
        <v>0</v>
      </c>
      <c r="AI17" s="105">
        <v>0</v>
      </c>
      <c r="AJ17" s="105">
        <v>0</v>
      </c>
      <c r="AK17" s="105">
        <v>0</v>
      </c>
      <c r="AL17" s="105">
        <v>0</v>
      </c>
      <c r="AM17" s="105">
        <v>38000</v>
      </c>
      <c r="AN17" s="105">
        <v>0</v>
      </c>
      <c r="AO17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38000</v>
      </c>
      <c r="AP17" s="14">
        <f>Ohj.lask.[[#This Row],[Jaettava € 1]]+Ohj.lask.[[#This Row],[Harkinnanvarainen korotus 9, €]]</f>
        <v>20461959</v>
      </c>
      <c r="AQ17" s="105">
        <f>Ohj.lask.[[#This Row],[Jaettava € 2]]</f>
        <v>6019352</v>
      </c>
      <c r="AR17" s="14">
        <f>Ohj.lask.[[#This Row],[Jaettava € 3]]+Ohj.lask.[[#This Row],[Jaettava € 4]]+Ohj.lask.[[#This Row],[Jaettava € 5]]+Ohj.lask.[[#This Row],[Jaettava € 6]]+Ohj.lask.[[#This Row],[Jaettava € 7]]</f>
        <v>3009898</v>
      </c>
      <c r="AS17" s="37">
        <f>Ohj.lask.[[#This Row],[Jaettava € 8]]+Ohj.lask.[[#This Row],[Harkinnanvarainen korotus 9, €]]</f>
        <v>29491209</v>
      </c>
      <c r="AT17" s="37">
        <v>1803828</v>
      </c>
      <c r="AU17" s="20">
        <f>Ohj.lask.[[#This Row],[Perus-, suoritus- ja vaikuttavuusrahoitus yhteensä, €]]+Ohj.lask.[[#This Row],[Alv-korvaus, €]]</f>
        <v>31295037</v>
      </c>
    </row>
    <row r="18" spans="1:47" ht="13" x14ac:dyDescent="0.3">
      <c r="A18" s="7" t="s">
        <v>321</v>
      </c>
      <c r="B18" s="11" t="s">
        <v>24</v>
      </c>
      <c r="C18" s="11" t="s">
        <v>224</v>
      </c>
      <c r="D18" s="11" t="s">
        <v>337</v>
      </c>
      <c r="E18" s="11" t="s">
        <v>388</v>
      </c>
      <c r="F18" s="109">
        <v>25</v>
      </c>
      <c r="G18" s="114">
        <f>Ohj.lask.[[#This Row],[Tavoitteelliset opiskelija-vuodet]]-Ohj.lask.[[#This Row],[Järjestämisluvan opisk.vuosien vähimmäismäärä]]</f>
        <v>0</v>
      </c>
      <c r="H18" s="36">
        <v>25</v>
      </c>
      <c r="I18" s="12">
        <f>IFERROR(VLOOKUP($A18,'2.1 Toteut. op.vuodet'!$A:$T,COLUMN('2.1 Toteut. op.vuodet'!S:S),FALSE),0)</f>
        <v>0.7456393636549038</v>
      </c>
      <c r="J18" s="78">
        <f t="shared" si="0"/>
        <v>18.600000000000001</v>
      </c>
      <c r="K18" s="13">
        <f>IFERROR(Ohj.lask.[[#This Row],[Painotetut opiskelija-vuodet]]/Ohj.lask.[[#Totals],[Painotetut opiskelija-vuodet]],0)</f>
        <v>8.6101863133218999E-5</v>
      </c>
      <c r="L18" s="14">
        <f>ROUND(IFERROR('1.1 Jakotaulu'!L$13*Ohj.lask.[[#This Row],[%-osuus 1]],0),0)</f>
        <v>120856</v>
      </c>
      <c r="M18" s="157">
        <f>IFERROR(ROUND(VLOOKUP($A18,'2.2 Tutk. ja osien pain. pist.'!$A:$Q,COLUMN('2.2 Tutk. ja osien pain. pist.'!O:O),FALSE),1),0)</f>
        <v>1133.7</v>
      </c>
      <c r="N18" s="13">
        <f>IFERROR(Ohj.lask.[[#This Row],[Painotetut pisteet 2]]/Ohj.lask.[[#Totals],[Painotetut pisteet 2]],0)</f>
        <v>7.3006272872578075E-5</v>
      </c>
      <c r="O18" s="20">
        <f>ROUND(IFERROR('1.1 Jakotaulu'!K$14*Ohj.lask.[[#This Row],[%-osuus 2]],0),0)</f>
        <v>29902</v>
      </c>
      <c r="P18" s="158">
        <f>IFERROR(ROUND(VLOOKUP($A18,'2.3 Työll. ja jatko-opisk.'!$A:$Z,COLUMN('2.3 Työll. ja jatko-opisk.'!M:M),FALSE),1),0)</f>
        <v>77.400000000000006</v>
      </c>
      <c r="Q18" s="13">
        <f>IFERROR(Ohj.lask.[[#This Row],[Painotetut pisteet 3]]/Ohj.lask.[[#Totals],[Painotetut pisteet 3]],0)</f>
        <v>2.4852115464084362E-4</v>
      </c>
      <c r="R18" s="14">
        <f>ROUND(IFERROR('1.1 Jakotaulu'!L$16*Ohj.lask.[[#This Row],[%-osuus 3]],0),0)</f>
        <v>35626</v>
      </c>
      <c r="S18" s="157">
        <f>IFERROR(ROUND(VLOOKUP($A18,'2.4 Aloittaneet palaute'!$A:$J,COLUMN('2.4 Aloittaneet palaute'!I:I),FALSE),1),0)</f>
        <v>275.39999999999998</v>
      </c>
      <c r="T18" s="17">
        <f>IFERROR(Ohj.lask.[[#This Row],[Painotetut pisteet 4]]/Ohj.lask.[[#Totals],[Painotetut pisteet 4]],0)</f>
        <v>1.7558601993545268E-4</v>
      </c>
      <c r="U18" s="20">
        <f>ROUND(IFERROR('1.1 Jakotaulu'!M$18*Ohj.lask.[[#This Row],[%-osuus 4]],0),0)</f>
        <v>1348</v>
      </c>
      <c r="V18" s="157">
        <f>IFERROR(ROUND(VLOOKUP($A18,'2.5 Päättäneet palaute'!$A:$Z,COLUMN('2.5 Päättäneet palaute'!Y:Y),FALSE),1),0)</f>
        <v>2264.8000000000002</v>
      </c>
      <c r="W18" s="17">
        <f>IFERROR(Ohj.lask.[[#This Row],[Painotetut pisteet 5]]/Ohj.lask.[[#Totals],[Painotetut pisteet 5]],0)</f>
        <v>2.3799528025767464E-4</v>
      </c>
      <c r="X18" s="20">
        <f>ROUND(IFERROR('1.1 Jakotaulu'!M$19*Ohj.lask.[[#This Row],[%-osuus 5]],0),0)</f>
        <v>5483</v>
      </c>
      <c r="Y18" s="157">
        <f>IFERROR(ROUND(VLOOKUP($A18,'2.6 Työpaikkaohjaajakysely'!A:I,COLUMN('2.6 Työpaikkaohjaajakysely'!H:H),FALSE),1),0)</f>
        <v>30106.1</v>
      </c>
      <c r="Z18" s="13">
        <f>IFERROR(Ohj.lask.[[#This Row],[Painotetut pisteet 6]]/Ohj.lask.[[#Totals],[Painotetut pisteet 6]],0)</f>
        <v>7.53465779283439E-5</v>
      </c>
      <c r="AA18" s="20">
        <f>ROUND(IFERROR('1.1 Jakotaulu'!M$21*Ohj.lask.[[#This Row],[%-osuus 6]],0),0)</f>
        <v>1736</v>
      </c>
      <c r="AB18" s="157">
        <f>IFERROR(ROUND(VLOOKUP($A18,'2.7 Työpaikkakysely'!A:G,COLUMN('2.7 Työpaikkakysely'!F:F),FALSE),1),0)</f>
        <v>13503</v>
      </c>
      <c r="AC18" s="13">
        <f>IFERROR(Ohj.lask.[[#This Row],[Pisteet 7]]/Ohj.lask.[[#Totals],[Pisteet 7]],0)</f>
        <v>7.0635498979161392E-5</v>
      </c>
      <c r="AD18" s="20">
        <f>ROUND(IFERROR('1.1 Jakotaulu'!M$22*Ohj.lask.[[#This Row],[%-osuus 7]],0),0)</f>
        <v>542</v>
      </c>
      <c r="AE18" s="16">
        <f>IFERROR(Ohj.lask.[[#This Row],[Jaettava € 8]]/Ohj.lask.[[#Totals],[Jaettava € 8]],"")</f>
        <v>9.6874196299421862E-5</v>
      </c>
      <c r="AF18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195493</v>
      </c>
      <c r="AG18" s="105">
        <v>0</v>
      </c>
      <c r="AH18" s="105">
        <v>0</v>
      </c>
      <c r="AI18" s="105">
        <v>0</v>
      </c>
      <c r="AJ18" s="105">
        <v>0</v>
      </c>
      <c r="AK18" s="105">
        <v>0</v>
      </c>
      <c r="AL18" s="105">
        <v>0</v>
      </c>
      <c r="AM18" s="105">
        <v>0</v>
      </c>
      <c r="AN18" s="105">
        <v>0</v>
      </c>
      <c r="AO18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0</v>
      </c>
      <c r="AP18" s="14">
        <f>Ohj.lask.[[#This Row],[Jaettava € 1]]+Ohj.lask.[[#This Row],[Harkinnanvarainen korotus 9, €]]</f>
        <v>120856</v>
      </c>
      <c r="AQ18" s="105">
        <f>Ohj.lask.[[#This Row],[Jaettava € 2]]</f>
        <v>29902</v>
      </c>
      <c r="AR18" s="14">
        <f>Ohj.lask.[[#This Row],[Jaettava € 3]]+Ohj.lask.[[#This Row],[Jaettava € 4]]+Ohj.lask.[[#This Row],[Jaettava € 5]]+Ohj.lask.[[#This Row],[Jaettava € 6]]+Ohj.lask.[[#This Row],[Jaettava € 7]]</f>
        <v>44735</v>
      </c>
      <c r="AS18" s="37">
        <f>Ohj.lask.[[#This Row],[Jaettava € 8]]+Ohj.lask.[[#This Row],[Harkinnanvarainen korotus 9, €]]</f>
        <v>195493</v>
      </c>
      <c r="AT18" s="37">
        <v>0</v>
      </c>
      <c r="AU18" s="20">
        <f>Ohj.lask.[[#This Row],[Perus-, suoritus- ja vaikuttavuusrahoitus yhteensä, €]]+Ohj.lask.[[#This Row],[Alv-korvaus, €]]</f>
        <v>195493</v>
      </c>
    </row>
    <row r="19" spans="1:47" ht="13" x14ac:dyDescent="0.3">
      <c r="A19" s="7" t="s">
        <v>329</v>
      </c>
      <c r="B19" s="11" t="s">
        <v>491</v>
      </c>
      <c r="C19" s="99" t="s">
        <v>180</v>
      </c>
      <c r="D19" s="99" t="s">
        <v>337</v>
      </c>
      <c r="E19" s="99" t="s">
        <v>388</v>
      </c>
      <c r="F19" s="108">
        <v>20</v>
      </c>
      <c r="G19" s="114">
        <f>Ohj.lask.[[#This Row],[Tavoitteelliset opiskelija-vuodet]]-Ohj.lask.[[#This Row],[Järjestämisluvan opisk.vuosien vähimmäismäärä]]</f>
        <v>0</v>
      </c>
      <c r="H19" s="36">
        <v>20</v>
      </c>
      <c r="I19" s="12">
        <f>IFERROR(VLOOKUP($A19,'2.1 Toteut. op.vuodet'!$A:$T,COLUMN('2.1 Toteut. op.vuodet'!S:S),FALSE),0)</f>
        <v>0.95000000000000406</v>
      </c>
      <c r="J19" s="78">
        <f t="shared" si="0"/>
        <v>19</v>
      </c>
      <c r="K19" s="13">
        <f>IFERROR(Ohj.lask.[[#This Row],[Painotetut opiskelija-vuodet]]/Ohj.lask.[[#Totals],[Painotetut opiskelija-vuodet]],0)</f>
        <v>8.7953516103825858E-5</v>
      </c>
      <c r="L19" s="14">
        <f>ROUND(IFERROR('1.1 Jakotaulu'!L$13*Ohj.lask.[[#This Row],[%-osuus 1]],0),0)</f>
        <v>123455</v>
      </c>
      <c r="M19" s="157">
        <f>IFERROR(ROUND(VLOOKUP($A19,'2.2 Tutk. ja osien pain. pist.'!$A:$Q,COLUMN('2.2 Tutk. ja osien pain. pist.'!O:O),FALSE),1),0)</f>
        <v>0</v>
      </c>
      <c r="N19" s="13">
        <f>IFERROR(Ohj.lask.[[#This Row],[Painotetut pisteet 2]]/Ohj.lask.[[#Totals],[Painotetut pisteet 2]],0)</f>
        <v>0</v>
      </c>
      <c r="O19" s="20">
        <f>ROUND(IFERROR('1.1 Jakotaulu'!K$14*Ohj.lask.[[#This Row],[%-osuus 2]],0),0)</f>
        <v>0</v>
      </c>
      <c r="P19" s="158">
        <f>IFERROR(ROUND(VLOOKUP($A19,'2.3 Työll. ja jatko-opisk.'!$A:$Z,COLUMN('2.3 Työll. ja jatko-opisk.'!M:M),FALSE),1),0)</f>
        <v>0</v>
      </c>
      <c r="Q19" s="17">
        <f>IFERROR(Ohj.lask.[[#This Row],[Painotetut pisteet 3]]/Ohj.lask.[[#Totals],[Painotetut pisteet 3]],0)</f>
        <v>0</v>
      </c>
      <c r="R19" s="14">
        <f>ROUND(IFERROR('1.1 Jakotaulu'!L$16*Ohj.lask.[[#This Row],[%-osuus 3]],0),0)</f>
        <v>0</v>
      </c>
      <c r="S19" s="157">
        <f>IFERROR(ROUND(VLOOKUP($A19,'2.4 Aloittaneet palaute'!$A:$J,COLUMN('2.4 Aloittaneet palaute'!I:I),FALSE),1),0)</f>
        <v>0</v>
      </c>
      <c r="T19" s="17">
        <f>IFERROR(Ohj.lask.[[#This Row],[Painotetut pisteet 4]]/Ohj.lask.[[#Totals],[Painotetut pisteet 4]],0)</f>
        <v>0</v>
      </c>
      <c r="U19" s="20">
        <f>ROUND(IFERROR('1.1 Jakotaulu'!M$18*Ohj.lask.[[#This Row],[%-osuus 4]],0),0)</f>
        <v>0</v>
      </c>
      <c r="V19" s="157">
        <f>IFERROR(ROUND(VLOOKUP($A19,'2.5 Päättäneet palaute'!$A:$Z,COLUMN('2.5 Päättäneet palaute'!Y:Y),FALSE),1),0)</f>
        <v>0</v>
      </c>
      <c r="W19" s="17">
        <f>IFERROR(Ohj.lask.[[#This Row],[Painotetut pisteet 5]]/Ohj.lask.[[#Totals],[Painotetut pisteet 5]],0)</f>
        <v>0</v>
      </c>
      <c r="X19" s="20">
        <f>ROUND(IFERROR('1.1 Jakotaulu'!M$19*Ohj.lask.[[#This Row],[%-osuus 5]],0),0)</f>
        <v>0</v>
      </c>
      <c r="Y19" s="157">
        <f>IFERROR(ROUND(VLOOKUP($A19,'2.6 Työpaikkaohjaajakysely'!A:I,COLUMN('2.6 Työpaikkaohjaajakysely'!H:H),FALSE),1),0)</f>
        <v>0</v>
      </c>
      <c r="Z19" s="13">
        <f>IFERROR(Ohj.lask.[[#This Row],[Painotetut pisteet 6]]/Ohj.lask.[[#Totals],[Painotetut pisteet 6]],0)</f>
        <v>0</v>
      </c>
      <c r="AA19" s="20">
        <f>ROUND(IFERROR('1.1 Jakotaulu'!M$21*Ohj.lask.[[#This Row],[%-osuus 6]],0),0)</f>
        <v>0</v>
      </c>
      <c r="AB19" s="157">
        <f>IFERROR(ROUND(VLOOKUP($A19,'2.7 Työpaikkakysely'!A:G,COLUMN('2.7 Työpaikkakysely'!F:F),FALSE),1),0)</f>
        <v>0</v>
      </c>
      <c r="AC19" s="13">
        <f>IFERROR(Ohj.lask.[[#This Row],[Pisteet 7]]/Ohj.lask.[[#Totals],[Pisteet 7]],0)</f>
        <v>0</v>
      </c>
      <c r="AD19" s="20">
        <f>ROUND(IFERROR('1.1 Jakotaulu'!M$22*Ohj.lask.[[#This Row],[%-osuus 7]],0),0)</f>
        <v>0</v>
      </c>
      <c r="AE19" s="16">
        <f>IFERROR(Ohj.lask.[[#This Row],[Jaettava € 8]]/Ohj.lask.[[#Totals],[Jaettava € 8]],"")</f>
        <v>6.1176634990230466E-5</v>
      </c>
      <c r="AF19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123455</v>
      </c>
      <c r="AG19" s="105">
        <v>1250000</v>
      </c>
      <c r="AH19" s="105">
        <v>0</v>
      </c>
      <c r="AI19" s="105">
        <v>0</v>
      </c>
      <c r="AJ19" s="105">
        <v>0</v>
      </c>
      <c r="AK19" s="105">
        <v>0</v>
      </c>
      <c r="AL19" s="105">
        <v>0</v>
      </c>
      <c r="AM19" s="105">
        <v>0</v>
      </c>
      <c r="AN19" s="105">
        <v>0</v>
      </c>
      <c r="AO19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1250000</v>
      </c>
      <c r="AP19" s="14">
        <f>Ohj.lask.[[#This Row],[Jaettava € 1]]+Ohj.lask.[[#This Row],[Harkinnanvarainen korotus 9, €]]</f>
        <v>1373455</v>
      </c>
      <c r="AQ19" s="105">
        <f>Ohj.lask.[[#This Row],[Jaettava € 2]]</f>
        <v>0</v>
      </c>
      <c r="AR19" s="14">
        <f>Ohj.lask.[[#This Row],[Jaettava € 3]]+Ohj.lask.[[#This Row],[Jaettava € 4]]+Ohj.lask.[[#This Row],[Jaettava € 5]]+Ohj.lask.[[#This Row],[Jaettava € 6]]+Ohj.lask.[[#This Row],[Jaettava € 7]]</f>
        <v>0</v>
      </c>
      <c r="AS19" s="37">
        <f>Ohj.lask.[[#This Row],[Jaettava € 8]]+Ohj.lask.[[#This Row],[Harkinnanvarainen korotus 9, €]]</f>
        <v>1373455</v>
      </c>
      <c r="AT19" s="37">
        <v>96593</v>
      </c>
      <c r="AU19" s="20">
        <f>Ohj.lask.[[#This Row],[Perus-, suoritus- ja vaikuttavuusrahoitus yhteensä, €]]+Ohj.lask.[[#This Row],[Alv-korvaus, €]]</f>
        <v>1470048</v>
      </c>
    </row>
    <row r="20" spans="1:47" ht="13" x14ac:dyDescent="0.3">
      <c r="A20" s="7" t="s">
        <v>320</v>
      </c>
      <c r="B20" s="11" t="s">
        <v>25</v>
      </c>
      <c r="C20" s="11" t="s">
        <v>180</v>
      </c>
      <c r="D20" s="11" t="s">
        <v>337</v>
      </c>
      <c r="E20" s="11" t="s">
        <v>389</v>
      </c>
      <c r="F20" s="109">
        <v>106</v>
      </c>
      <c r="G20" s="114">
        <f>Ohj.lask.[[#This Row],[Tavoitteelliset opiskelija-vuodet]]-Ohj.lask.[[#This Row],[Järjestämisluvan opisk.vuosien vähimmäismäärä]]</f>
        <v>1</v>
      </c>
      <c r="H20" s="36">
        <v>107</v>
      </c>
      <c r="I20" s="12">
        <f>IFERROR(VLOOKUP($A20,'2.1 Toteut. op.vuodet'!$A:$T,COLUMN('2.1 Toteut. op.vuodet'!S:S),FALSE),0)</f>
        <v>1.6153002490378074</v>
      </c>
      <c r="J20" s="78">
        <f t="shared" si="0"/>
        <v>172.8</v>
      </c>
      <c r="K20" s="13">
        <f>IFERROR(Ohj.lask.[[#This Row],[Painotetut opiskelija-vuodet]]/Ohj.lask.[[#Totals],[Painotetut opiskelija-vuodet]],0)</f>
        <v>7.9991408330216365E-4</v>
      </c>
      <c r="L20" s="14">
        <f>ROUND(IFERROR('1.1 Jakotaulu'!L$13*Ohj.lask.[[#This Row],[%-osuus 1]],0),0)</f>
        <v>1122788</v>
      </c>
      <c r="M20" s="157">
        <f>IFERROR(ROUND(VLOOKUP($A20,'2.2 Tutk. ja osien pain. pist.'!$A:$Q,COLUMN('2.2 Tutk. ja osien pain. pist.'!O:O),FALSE),1),0)</f>
        <v>17205.7</v>
      </c>
      <c r="N20" s="13">
        <f>IFERROR(Ohj.lask.[[#This Row],[Painotetut pisteet 2]]/Ohj.lask.[[#Totals],[Painotetut pisteet 2]],0)</f>
        <v>1.107986265470333E-3</v>
      </c>
      <c r="O20" s="20">
        <f>ROUND(IFERROR('1.1 Jakotaulu'!K$14*Ohj.lask.[[#This Row],[%-osuus 2]],0),0)</f>
        <v>453811</v>
      </c>
      <c r="P20" s="158">
        <f>IFERROR(ROUND(VLOOKUP($A20,'2.3 Työll. ja jatko-opisk.'!$A:$Z,COLUMN('2.3 Työll. ja jatko-opisk.'!M:M),FALSE),1),0)</f>
        <v>230</v>
      </c>
      <c r="Q20" s="13">
        <f>IFERROR(Ohj.lask.[[#This Row],[Painotetut pisteet 3]]/Ohj.lask.[[#Totals],[Painotetut pisteet 3]],0)</f>
        <v>7.3849955513428977E-4</v>
      </c>
      <c r="R20" s="14">
        <f>ROUND(IFERROR('1.1 Jakotaulu'!L$16*Ohj.lask.[[#This Row],[%-osuus 3]],0),0)</f>
        <v>105867</v>
      </c>
      <c r="S20" s="157">
        <f>IFERROR(ROUND(VLOOKUP($A20,'2.4 Aloittaneet palaute'!$A:$J,COLUMN('2.4 Aloittaneet palaute'!I:I),FALSE),1),0)</f>
        <v>923.3</v>
      </c>
      <c r="T20" s="17">
        <f>IFERROR(Ohj.lask.[[#This Row],[Painotetut pisteet 4]]/Ohj.lask.[[#Totals],[Painotetut pisteet 4]],0)</f>
        <v>5.8866583952942432E-4</v>
      </c>
      <c r="U20" s="20">
        <f>ROUND(IFERROR('1.1 Jakotaulu'!M$18*Ohj.lask.[[#This Row],[%-osuus 4]],0),0)</f>
        <v>4521</v>
      </c>
      <c r="V20" s="157">
        <f>IFERROR(ROUND(VLOOKUP($A20,'2.5 Päättäneet palaute'!$A:$Z,COLUMN('2.5 Päättäneet palaute'!Y:Y),FALSE),1),0)</f>
        <v>6679</v>
      </c>
      <c r="W20" s="17">
        <f>IFERROR(Ohj.lask.[[#This Row],[Painotetut pisteet 5]]/Ohj.lask.[[#Totals],[Painotetut pisteet 5]],0)</f>
        <v>7.0185909433107061E-4</v>
      </c>
      <c r="X20" s="20">
        <f>ROUND(IFERROR('1.1 Jakotaulu'!M$19*Ohj.lask.[[#This Row],[%-osuus 5]],0),0)</f>
        <v>16170</v>
      </c>
      <c r="Y20" s="157">
        <f>IFERROR(ROUND(VLOOKUP($A20,'2.6 Työpaikkaohjaajakysely'!A:I,COLUMN('2.6 Työpaikkaohjaajakysely'!H:H),FALSE),1),0)</f>
        <v>141803.20000000001</v>
      </c>
      <c r="Z20" s="13">
        <f>IFERROR(Ohj.lask.[[#This Row],[Painotetut pisteet 6]]/Ohj.lask.[[#Totals],[Painotetut pisteet 6]],0)</f>
        <v>3.5489106391357688E-4</v>
      </c>
      <c r="AA20" s="20">
        <f>ROUND(IFERROR('1.1 Jakotaulu'!M$21*Ohj.lask.[[#This Row],[%-osuus 6]],0),0)</f>
        <v>8176</v>
      </c>
      <c r="AB20" s="157">
        <f>IFERROR(ROUND(VLOOKUP($A20,'2.7 Työpaikkakysely'!A:G,COLUMN('2.7 Työpaikkakysely'!F:F),FALSE),1),0)</f>
        <v>5430</v>
      </c>
      <c r="AC20" s="13">
        <f>IFERROR(Ohj.lask.[[#This Row],[Pisteet 7]]/Ohj.lask.[[#Totals],[Pisteet 7]],0)</f>
        <v>2.8404855177134444E-5</v>
      </c>
      <c r="AD20" s="20">
        <f>ROUND(IFERROR('1.1 Jakotaulu'!M$22*Ohj.lask.[[#This Row],[%-osuus 7]],0),0)</f>
        <v>218</v>
      </c>
      <c r="AE20" s="16">
        <f>IFERROR(Ohj.lask.[[#This Row],[Jaettava € 8]]/Ohj.lask.[[#Totals],[Jaettava € 8]],"")</f>
        <v>8.4813843744007084E-4</v>
      </c>
      <c r="AF20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1711551</v>
      </c>
      <c r="AG20" s="105">
        <v>0</v>
      </c>
      <c r="AH20" s="105">
        <v>0</v>
      </c>
      <c r="AI20" s="105">
        <v>0</v>
      </c>
      <c r="AJ20" s="105">
        <v>0</v>
      </c>
      <c r="AK20" s="105">
        <v>0</v>
      </c>
      <c r="AL20" s="105">
        <v>0</v>
      </c>
      <c r="AM20" s="105">
        <v>0</v>
      </c>
      <c r="AN20" s="105">
        <v>0</v>
      </c>
      <c r="AO20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0</v>
      </c>
      <c r="AP20" s="14">
        <f>Ohj.lask.[[#This Row],[Jaettava € 1]]+Ohj.lask.[[#This Row],[Harkinnanvarainen korotus 9, €]]</f>
        <v>1122788</v>
      </c>
      <c r="AQ20" s="105">
        <f>Ohj.lask.[[#This Row],[Jaettava € 2]]</f>
        <v>453811</v>
      </c>
      <c r="AR20" s="14">
        <f>Ohj.lask.[[#This Row],[Jaettava € 3]]+Ohj.lask.[[#This Row],[Jaettava € 4]]+Ohj.lask.[[#This Row],[Jaettava € 5]]+Ohj.lask.[[#This Row],[Jaettava € 6]]+Ohj.lask.[[#This Row],[Jaettava € 7]]</f>
        <v>134952</v>
      </c>
      <c r="AS20" s="37">
        <f>Ohj.lask.[[#This Row],[Jaettava € 8]]+Ohj.lask.[[#This Row],[Harkinnanvarainen korotus 9, €]]</f>
        <v>1711551</v>
      </c>
      <c r="AT20" s="37">
        <v>193727</v>
      </c>
      <c r="AU20" s="20">
        <f>Ohj.lask.[[#This Row],[Perus-, suoritus- ja vaikuttavuusrahoitus yhteensä, €]]+Ohj.lask.[[#This Row],[Alv-korvaus, €]]</f>
        <v>1905278</v>
      </c>
    </row>
    <row r="21" spans="1:47" ht="13" x14ac:dyDescent="0.3">
      <c r="A21" s="7" t="s">
        <v>319</v>
      </c>
      <c r="B21" s="11" t="s">
        <v>396</v>
      </c>
      <c r="C21" s="11" t="s">
        <v>186</v>
      </c>
      <c r="D21" s="11" t="s">
        <v>337</v>
      </c>
      <c r="E21" s="11" t="s">
        <v>389</v>
      </c>
      <c r="F21" s="109">
        <v>19</v>
      </c>
      <c r="G21" s="114">
        <f>Ohj.lask.[[#This Row],[Tavoitteelliset opiskelija-vuodet]]-Ohj.lask.[[#This Row],[Järjestämisluvan opisk.vuosien vähimmäismäärä]]</f>
        <v>0</v>
      </c>
      <c r="H21" s="36">
        <v>19</v>
      </c>
      <c r="I21" s="12">
        <f>IFERROR(VLOOKUP($A21,'2.1 Toteut. op.vuodet'!$A:$T,COLUMN('2.1 Toteut. op.vuodet'!S:S),FALSE),0)</f>
        <v>1.5621133290405655</v>
      </c>
      <c r="J21" s="78">
        <f t="shared" si="0"/>
        <v>29.7</v>
      </c>
      <c r="K21" s="13">
        <f>IFERROR(Ohj.lask.[[#This Row],[Painotetut opiskelija-vuodet]]/Ohj.lask.[[#Totals],[Painotetut opiskelija-vuodet]],0)</f>
        <v>1.3748523306755935E-4</v>
      </c>
      <c r="L21" s="14">
        <f>ROUND(IFERROR('1.1 Jakotaulu'!L$13*Ohj.lask.[[#This Row],[%-osuus 1]],0),0)</f>
        <v>192979</v>
      </c>
      <c r="M21" s="157">
        <f>IFERROR(ROUND(VLOOKUP($A21,'2.2 Tutk. ja osien pain. pist.'!$A:$Q,COLUMN('2.2 Tutk. ja osien pain. pist.'!O:O),FALSE),1),0)</f>
        <v>951.2</v>
      </c>
      <c r="N21" s="13">
        <f>IFERROR(Ohj.lask.[[#This Row],[Painotetut pisteet 2]]/Ohj.lask.[[#Totals],[Painotetut pisteet 2]],0)</f>
        <v>6.1253917929254882E-5</v>
      </c>
      <c r="O21" s="20">
        <f>ROUND(IFERROR('1.1 Jakotaulu'!K$14*Ohj.lask.[[#This Row],[%-osuus 2]],0),0)</f>
        <v>25089</v>
      </c>
      <c r="P21" s="158">
        <f>IFERROR(ROUND(VLOOKUP($A21,'2.3 Työll. ja jatko-opisk.'!$A:$Z,COLUMN('2.3 Työll. ja jatko-opisk.'!M:M),FALSE),1),0)</f>
        <v>27.3</v>
      </c>
      <c r="Q21" s="13">
        <f>IFERROR(Ohj.lask.[[#This Row],[Painotetut pisteet 3]]/Ohj.lask.[[#Totals],[Painotetut pisteet 3]],0)</f>
        <v>8.7656686326809176E-5</v>
      </c>
      <c r="R21" s="14">
        <f>ROUND(IFERROR('1.1 Jakotaulu'!L$16*Ohj.lask.[[#This Row],[%-osuus 3]],0),0)</f>
        <v>12566</v>
      </c>
      <c r="S21" s="157">
        <f>IFERROR(ROUND(VLOOKUP($A21,'2.4 Aloittaneet palaute'!$A:$J,COLUMN('2.4 Aloittaneet palaute'!I:I),FALSE),1),0)</f>
        <v>97</v>
      </c>
      <c r="T21" s="17">
        <f>IFERROR(Ohj.lask.[[#This Row],[Painotetut pisteet 4]]/Ohj.lask.[[#Totals],[Painotetut pisteet 4]],0)</f>
        <v>6.184402299832575E-5</v>
      </c>
      <c r="U21" s="20">
        <f>ROUND(IFERROR('1.1 Jakotaulu'!M$18*Ohj.lask.[[#This Row],[%-osuus 4]],0),0)</f>
        <v>475</v>
      </c>
      <c r="V21" s="157">
        <f>IFERROR(ROUND(VLOOKUP($A21,'2.5 Päättäneet palaute'!$A:$Z,COLUMN('2.5 Päättäneet palaute'!Y:Y),FALSE),1),0)</f>
        <v>318</v>
      </c>
      <c r="W21" s="17">
        <f>IFERROR(Ohj.lask.[[#This Row],[Painotetut pisteet 5]]/Ohj.lask.[[#Totals],[Painotetut pisteet 5]],0)</f>
        <v>3.3416857613008007E-5</v>
      </c>
      <c r="X21" s="20">
        <f>ROUND(IFERROR('1.1 Jakotaulu'!M$19*Ohj.lask.[[#This Row],[%-osuus 5]],0),0)</f>
        <v>770</v>
      </c>
      <c r="Y21" s="157">
        <f>IFERROR(ROUND(VLOOKUP($A21,'2.6 Työpaikkaohjaajakysely'!A:I,COLUMN('2.6 Työpaikkaohjaajakysely'!H:H),FALSE),1),0)</f>
        <v>0</v>
      </c>
      <c r="Z21" s="13">
        <f>IFERROR(Ohj.lask.[[#This Row],[Painotetut pisteet 6]]/Ohj.lask.[[#Totals],[Painotetut pisteet 6]],0)</f>
        <v>0</v>
      </c>
      <c r="AA21" s="20">
        <f>ROUND(IFERROR('1.1 Jakotaulu'!M$21*Ohj.lask.[[#This Row],[%-osuus 6]],0),0)</f>
        <v>0</v>
      </c>
      <c r="AB21" s="157">
        <f>IFERROR(ROUND(VLOOKUP($A21,'2.7 Työpaikkakysely'!A:G,COLUMN('2.7 Työpaikkakysely'!F:F),FALSE),1),0)</f>
        <v>0</v>
      </c>
      <c r="AC21" s="13">
        <f>IFERROR(Ohj.lask.[[#This Row],[Pisteet 7]]/Ohj.lask.[[#Totals],[Pisteet 7]],0)</f>
        <v>0</v>
      </c>
      <c r="AD21" s="20">
        <f>ROUND(IFERROR('1.1 Jakotaulu'!M$22*Ohj.lask.[[#This Row],[%-osuus 7]],0),0)</f>
        <v>0</v>
      </c>
      <c r="AE21" s="16">
        <f>IFERROR(Ohj.lask.[[#This Row],[Jaettava € 8]]/Ohj.lask.[[#Totals],[Jaettava € 8]],"")</f>
        <v>1.1490483937385809E-4</v>
      </c>
      <c r="AF21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231879</v>
      </c>
      <c r="AG21" s="105">
        <v>0</v>
      </c>
      <c r="AH21" s="105">
        <v>0</v>
      </c>
      <c r="AI21" s="105">
        <v>0</v>
      </c>
      <c r="AJ21" s="105">
        <v>0</v>
      </c>
      <c r="AK21" s="105">
        <v>0</v>
      </c>
      <c r="AL21" s="105">
        <v>0</v>
      </c>
      <c r="AM21" s="105">
        <v>0</v>
      </c>
      <c r="AN21" s="105">
        <v>0</v>
      </c>
      <c r="AO21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0</v>
      </c>
      <c r="AP21" s="14">
        <f>Ohj.lask.[[#This Row],[Jaettava € 1]]+Ohj.lask.[[#This Row],[Harkinnanvarainen korotus 9, €]]</f>
        <v>192979</v>
      </c>
      <c r="AQ21" s="105">
        <f>Ohj.lask.[[#This Row],[Jaettava € 2]]</f>
        <v>25089</v>
      </c>
      <c r="AR21" s="14">
        <f>Ohj.lask.[[#This Row],[Jaettava € 3]]+Ohj.lask.[[#This Row],[Jaettava € 4]]+Ohj.lask.[[#This Row],[Jaettava € 5]]+Ohj.lask.[[#This Row],[Jaettava € 6]]+Ohj.lask.[[#This Row],[Jaettava € 7]]</f>
        <v>13811</v>
      </c>
      <c r="AS21" s="37">
        <f>Ohj.lask.[[#This Row],[Jaettava € 8]]+Ohj.lask.[[#This Row],[Harkinnanvarainen korotus 9, €]]</f>
        <v>231879</v>
      </c>
      <c r="AT21" s="37">
        <v>0</v>
      </c>
      <c r="AU21" s="20">
        <f>Ohj.lask.[[#This Row],[Perus-, suoritus- ja vaikuttavuusrahoitus yhteensä, €]]+Ohj.lask.[[#This Row],[Alv-korvaus, €]]</f>
        <v>231879</v>
      </c>
    </row>
    <row r="22" spans="1:47" ht="13" x14ac:dyDescent="0.3">
      <c r="A22" s="7" t="s">
        <v>318</v>
      </c>
      <c r="B22" s="11" t="s">
        <v>131</v>
      </c>
      <c r="C22" s="11" t="s">
        <v>189</v>
      </c>
      <c r="D22" s="11" t="s">
        <v>337</v>
      </c>
      <c r="E22" s="11" t="s">
        <v>388</v>
      </c>
      <c r="F22" s="109">
        <v>29</v>
      </c>
      <c r="G22" s="114">
        <f>Ohj.lask.[[#This Row],[Tavoitteelliset opiskelija-vuodet]]-Ohj.lask.[[#This Row],[Järjestämisluvan opisk.vuosien vähimmäismäärä]]</f>
        <v>0</v>
      </c>
      <c r="H22" s="36">
        <v>29</v>
      </c>
      <c r="I22" s="12">
        <f>IFERROR(VLOOKUP($A22,'2.1 Toteut. op.vuodet'!$A:$T,COLUMN('2.1 Toteut. op.vuodet'!S:S),FALSE),0)</f>
        <v>0.74650310254090368</v>
      </c>
      <c r="J22" s="78">
        <f t="shared" si="0"/>
        <v>21.6</v>
      </c>
      <c r="K22" s="13">
        <f>IFERROR(Ohj.lask.[[#This Row],[Painotetut opiskelija-vuodet]]/Ohj.lask.[[#Totals],[Painotetut opiskelija-vuodet]],0)</f>
        <v>9.9989260412770457E-5</v>
      </c>
      <c r="L22" s="14">
        <f>ROUND(IFERROR('1.1 Jakotaulu'!L$13*Ohj.lask.[[#This Row],[%-osuus 1]],0),0)</f>
        <v>140349</v>
      </c>
      <c r="M22" s="157">
        <f>IFERROR(ROUND(VLOOKUP($A22,'2.2 Tutk. ja osien pain. pist.'!$A:$Q,COLUMN('2.2 Tutk. ja osien pain. pist.'!O:O),FALSE),1),0)</f>
        <v>5334.5</v>
      </c>
      <c r="N22" s="13">
        <f>IFERROR(Ohj.lask.[[#This Row],[Painotetut pisteet 2]]/Ohj.lask.[[#Totals],[Painotetut pisteet 2]],0)</f>
        <v>3.4352294490497281E-4</v>
      </c>
      <c r="O22" s="20">
        <f>ROUND(IFERROR('1.1 Jakotaulu'!K$14*Ohj.lask.[[#This Row],[%-osuus 2]],0),0)</f>
        <v>140701</v>
      </c>
      <c r="P22" s="158">
        <f>IFERROR(ROUND(VLOOKUP($A22,'2.3 Työll. ja jatko-opisk.'!$A:$Z,COLUMN('2.3 Työll. ja jatko-opisk.'!M:M),FALSE),1),0)</f>
        <v>280.7</v>
      </c>
      <c r="Q22" s="13">
        <f>IFERROR(Ohj.lask.[[#This Row],[Painotetut pisteet 3]]/Ohj.lask.[[#Totals],[Painotetut pisteet 3]],0)</f>
        <v>9.0129054402693528E-4</v>
      </c>
      <c r="R22" s="14">
        <f>ROUND(IFERROR('1.1 Jakotaulu'!L$16*Ohj.lask.[[#This Row],[%-osuus 3]],0),0)</f>
        <v>129203</v>
      </c>
      <c r="S22" s="157">
        <f>IFERROR(ROUND(VLOOKUP($A22,'2.4 Aloittaneet palaute'!$A:$J,COLUMN('2.4 Aloittaneet palaute'!I:I),FALSE),1),0)</f>
        <v>1309.2</v>
      </c>
      <c r="T22" s="17">
        <f>IFERROR(Ohj.lask.[[#This Row],[Painotetut pisteet 4]]/Ohj.lask.[[#Totals],[Painotetut pisteet 4]],0)</f>
        <v>8.3470304030317606E-4</v>
      </c>
      <c r="U22" s="20">
        <f>ROUND(IFERROR('1.1 Jakotaulu'!M$18*Ohj.lask.[[#This Row],[%-osuus 4]],0),0)</f>
        <v>6410</v>
      </c>
      <c r="V22" s="157">
        <f>IFERROR(ROUND(VLOOKUP($A22,'2.5 Päättäneet palaute'!$A:$Z,COLUMN('2.5 Päättäneet palaute'!Y:Y),FALSE),1),0)</f>
        <v>13899.1</v>
      </c>
      <c r="W22" s="17">
        <f>IFERROR(Ohj.lask.[[#This Row],[Painotetut pisteet 5]]/Ohj.lask.[[#Totals],[Painotetut pisteet 5]],0)</f>
        <v>1.4605793888332061E-3</v>
      </c>
      <c r="X22" s="20">
        <f>ROUND(IFERROR('1.1 Jakotaulu'!M$19*Ohj.lask.[[#This Row],[%-osuus 5]],0),0)</f>
        <v>33650</v>
      </c>
      <c r="Y22" s="157">
        <f>IFERROR(ROUND(VLOOKUP($A22,'2.6 Työpaikkaohjaajakysely'!A:I,COLUMN('2.6 Työpaikkaohjaajakysely'!H:H),FALSE),1),0)</f>
        <v>0</v>
      </c>
      <c r="Z22" s="13">
        <f>IFERROR(Ohj.lask.[[#This Row],[Painotetut pisteet 6]]/Ohj.lask.[[#Totals],[Painotetut pisteet 6]],0)</f>
        <v>0</v>
      </c>
      <c r="AA22" s="20">
        <f>ROUND(IFERROR('1.1 Jakotaulu'!M$21*Ohj.lask.[[#This Row],[%-osuus 6]],0),0)</f>
        <v>0</v>
      </c>
      <c r="AB22" s="157">
        <f>IFERROR(ROUND(VLOOKUP($A22,'2.7 Työpaikkakysely'!A:G,COLUMN('2.7 Työpaikkakysely'!F:F),FALSE),1),0)</f>
        <v>0</v>
      </c>
      <c r="AC22" s="13">
        <f>IFERROR(Ohj.lask.[[#This Row],[Pisteet 7]]/Ohj.lask.[[#Totals],[Pisteet 7]],0)</f>
        <v>0</v>
      </c>
      <c r="AD22" s="20">
        <f>ROUND(IFERROR('1.1 Jakotaulu'!M$22*Ohj.lask.[[#This Row],[%-osuus 7]],0),0)</f>
        <v>0</v>
      </c>
      <c r="AE22" s="16">
        <f>IFERROR(Ohj.lask.[[#This Row],[Jaettava € 8]]/Ohj.lask.[[#Totals],[Jaettava € 8]],"")</f>
        <v>2.2314717129606458E-4</v>
      </c>
      <c r="AF22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450313</v>
      </c>
      <c r="AG22" s="105">
        <v>0</v>
      </c>
      <c r="AH22" s="105">
        <v>0</v>
      </c>
      <c r="AI22" s="105">
        <v>0</v>
      </c>
      <c r="AJ22" s="105">
        <v>0</v>
      </c>
      <c r="AK22" s="105">
        <v>0</v>
      </c>
      <c r="AL22" s="105">
        <v>0</v>
      </c>
      <c r="AM22" s="105">
        <v>0</v>
      </c>
      <c r="AN22" s="105">
        <v>0</v>
      </c>
      <c r="AO22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0</v>
      </c>
      <c r="AP22" s="14">
        <f>Ohj.lask.[[#This Row],[Jaettava € 1]]+Ohj.lask.[[#This Row],[Harkinnanvarainen korotus 9, €]]</f>
        <v>140349</v>
      </c>
      <c r="AQ22" s="105">
        <f>Ohj.lask.[[#This Row],[Jaettava € 2]]</f>
        <v>140701</v>
      </c>
      <c r="AR22" s="14">
        <f>Ohj.lask.[[#This Row],[Jaettava € 3]]+Ohj.lask.[[#This Row],[Jaettava € 4]]+Ohj.lask.[[#This Row],[Jaettava € 5]]+Ohj.lask.[[#This Row],[Jaettava € 6]]+Ohj.lask.[[#This Row],[Jaettava € 7]]</f>
        <v>169263</v>
      </c>
      <c r="AS22" s="37">
        <f>Ohj.lask.[[#This Row],[Jaettava € 8]]+Ohj.lask.[[#This Row],[Harkinnanvarainen korotus 9, €]]</f>
        <v>450313</v>
      </c>
      <c r="AT22" s="37">
        <v>13429</v>
      </c>
      <c r="AU22" s="20">
        <f>Ohj.lask.[[#This Row],[Perus-, suoritus- ja vaikuttavuusrahoitus yhteensä, €]]+Ohj.lask.[[#This Row],[Alv-korvaus, €]]</f>
        <v>463742</v>
      </c>
    </row>
    <row r="23" spans="1:47" ht="13" x14ac:dyDescent="0.3">
      <c r="A23" s="7" t="s">
        <v>317</v>
      </c>
      <c r="B23" s="11" t="s">
        <v>26</v>
      </c>
      <c r="C23" s="11" t="s">
        <v>187</v>
      </c>
      <c r="D23" s="11" t="s">
        <v>337</v>
      </c>
      <c r="E23" s="11" t="s">
        <v>388</v>
      </c>
      <c r="F23" s="109">
        <v>120</v>
      </c>
      <c r="G23" s="114">
        <f>Ohj.lask.[[#This Row],[Tavoitteelliset opiskelija-vuodet]]-Ohj.lask.[[#This Row],[Järjestämisluvan opisk.vuosien vähimmäismäärä]]</f>
        <v>16</v>
      </c>
      <c r="H23" s="36">
        <v>136</v>
      </c>
      <c r="I23" s="12">
        <f>IFERROR(VLOOKUP($A23,'2.1 Toteut. op.vuodet'!$A:$T,COLUMN('2.1 Toteut. op.vuodet'!S:S),FALSE),0)</f>
        <v>1.0286135924188262</v>
      </c>
      <c r="J23" s="78">
        <f t="shared" si="0"/>
        <v>139.9</v>
      </c>
      <c r="K23" s="13">
        <f>IFERROR(Ohj.lask.[[#This Row],[Painotetut opiskelija-vuodet]]/Ohj.lask.[[#Totals],[Painotetut opiskelija-vuodet]],0)</f>
        <v>6.4761562646974938E-4</v>
      </c>
      <c r="L23" s="14">
        <f>ROUND(IFERROR('1.1 Jakotaulu'!L$13*Ohj.lask.[[#This Row],[%-osuus 1]],0),0)</f>
        <v>909017</v>
      </c>
      <c r="M23" s="157">
        <f>IFERROR(ROUND(VLOOKUP($A23,'2.2 Tutk. ja osien pain. pist.'!$A:$Q,COLUMN('2.2 Tutk. ja osien pain. pist.'!O:O),FALSE),1),0)</f>
        <v>9675.1</v>
      </c>
      <c r="N23" s="13">
        <f>IFERROR(Ohj.lask.[[#This Row],[Painotetut pisteet 2]]/Ohj.lask.[[#Totals],[Painotetut pisteet 2]],0)</f>
        <v>6.2304224280628037E-4</v>
      </c>
      <c r="O23" s="20">
        <f>ROUND(IFERROR('1.1 Jakotaulu'!K$14*Ohj.lask.[[#This Row],[%-osuus 2]],0),0)</f>
        <v>255187</v>
      </c>
      <c r="P23" s="158">
        <f>IFERROR(ROUND(VLOOKUP($A23,'2.3 Työll. ja jatko-opisk.'!$A:$Z,COLUMN('2.3 Työll. ja jatko-opisk.'!M:M),FALSE),1),0)</f>
        <v>268.3</v>
      </c>
      <c r="Q23" s="13">
        <f>IFERROR(Ohj.lask.[[#This Row],[Painotetut pisteet 3]]/Ohj.lask.[[#Totals],[Painotetut pisteet 3]],0)</f>
        <v>8.6147578540230418E-4</v>
      </c>
      <c r="R23" s="14">
        <f>ROUND(IFERROR('1.1 Jakotaulu'!L$16*Ohj.lask.[[#This Row],[%-osuus 3]],0),0)</f>
        <v>123496</v>
      </c>
      <c r="S23" s="157">
        <f>IFERROR(ROUND(VLOOKUP($A23,'2.4 Aloittaneet palaute'!$A:$J,COLUMN('2.4 Aloittaneet palaute'!I:I),FALSE),1),0)</f>
        <v>1777.2</v>
      </c>
      <c r="T23" s="17">
        <f>IFERROR(Ohj.lask.[[#This Row],[Painotetut pisteet 4]]/Ohj.lask.[[#Totals],[Painotetut pisteet 4]],0)</f>
        <v>1.1330845120889126E-3</v>
      </c>
      <c r="U23" s="20">
        <f>ROUND(IFERROR('1.1 Jakotaulu'!M$18*Ohj.lask.[[#This Row],[%-osuus 4]],0),0)</f>
        <v>8702</v>
      </c>
      <c r="V23" s="157">
        <f>IFERROR(ROUND(VLOOKUP($A23,'2.5 Päättäneet palaute'!$A:$Z,COLUMN('2.5 Päättäneet palaute'!Y:Y),FALSE),1),0)</f>
        <v>8898.6</v>
      </c>
      <c r="W23" s="17">
        <f>IFERROR(Ohj.lask.[[#This Row],[Painotetut pisteet 5]]/Ohj.lask.[[#Totals],[Painotetut pisteet 5]],0)</f>
        <v>9.3510455709155049E-4</v>
      </c>
      <c r="X23" s="20">
        <f>ROUND(IFERROR('1.1 Jakotaulu'!M$19*Ohj.lask.[[#This Row],[%-osuus 5]],0),0)</f>
        <v>21544</v>
      </c>
      <c r="Y23" s="157">
        <f>IFERROR(ROUND(VLOOKUP($A23,'2.6 Työpaikkaohjaajakysely'!A:I,COLUMN('2.6 Työpaikkaohjaajakysely'!H:H),FALSE),1),0)</f>
        <v>533007.5</v>
      </c>
      <c r="Z23" s="13">
        <f>IFERROR(Ohj.lask.[[#This Row],[Painotetut pisteet 6]]/Ohj.lask.[[#Totals],[Painotetut pisteet 6]],0)</f>
        <v>1.3339586042410594E-3</v>
      </c>
      <c r="AA23" s="20">
        <f>ROUND(IFERROR('1.1 Jakotaulu'!M$21*Ohj.lask.[[#This Row],[%-osuus 6]],0),0)</f>
        <v>30733</v>
      </c>
      <c r="AB23" s="157">
        <f>IFERROR(ROUND(VLOOKUP($A23,'2.7 Työpaikkakysely'!A:G,COLUMN('2.7 Työpaikkakysely'!F:F),FALSE),1),0)</f>
        <v>238138</v>
      </c>
      <c r="AC23" s="13">
        <f>IFERROR(Ohj.lask.[[#This Row],[Pisteet 7]]/Ohj.lask.[[#Totals],[Pisteet 7]],0)</f>
        <v>1.2457229101606707E-3</v>
      </c>
      <c r="AD23" s="20">
        <f>ROUND(IFERROR('1.1 Jakotaulu'!M$22*Ohj.lask.[[#This Row],[%-osuus 7]],0),0)</f>
        <v>9567</v>
      </c>
      <c r="AE23" s="16">
        <f>IFERROR(Ohj.lask.[[#This Row],[Jaettava € 8]]/Ohj.lask.[[#Totals],[Jaettava € 8]],"")</f>
        <v>6.7306240953335687E-4</v>
      </c>
      <c r="AF23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1358246</v>
      </c>
      <c r="AG23" s="105">
        <v>0</v>
      </c>
      <c r="AH23" s="105">
        <v>0</v>
      </c>
      <c r="AI23" s="105">
        <v>0</v>
      </c>
      <c r="AJ23" s="105">
        <v>0</v>
      </c>
      <c r="AK23" s="105">
        <v>0</v>
      </c>
      <c r="AL23" s="105">
        <v>0</v>
      </c>
      <c r="AM23" s="105">
        <v>5000</v>
      </c>
      <c r="AN23" s="105">
        <v>0</v>
      </c>
      <c r="AO23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5000</v>
      </c>
      <c r="AP23" s="14">
        <f>Ohj.lask.[[#This Row],[Jaettava € 1]]+Ohj.lask.[[#This Row],[Harkinnanvarainen korotus 9, €]]</f>
        <v>914017</v>
      </c>
      <c r="AQ23" s="105">
        <f>Ohj.lask.[[#This Row],[Jaettava € 2]]</f>
        <v>255187</v>
      </c>
      <c r="AR23" s="14">
        <f>Ohj.lask.[[#This Row],[Jaettava € 3]]+Ohj.lask.[[#This Row],[Jaettava € 4]]+Ohj.lask.[[#This Row],[Jaettava € 5]]+Ohj.lask.[[#This Row],[Jaettava € 6]]+Ohj.lask.[[#This Row],[Jaettava € 7]]</f>
        <v>194042</v>
      </c>
      <c r="AS23" s="37">
        <f>Ohj.lask.[[#This Row],[Jaettava € 8]]+Ohj.lask.[[#This Row],[Harkinnanvarainen korotus 9, €]]</f>
        <v>1363246</v>
      </c>
      <c r="AT23" s="37">
        <v>65440</v>
      </c>
      <c r="AU23" s="20">
        <f>Ohj.lask.[[#This Row],[Perus-, suoritus- ja vaikuttavuusrahoitus yhteensä, €]]+Ohj.lask.[[#This Row],[Alv-korvaus, €]]</f>
        <v>1428686</v>
      </c>
    </row>
    <row r="24" spans="1:47" ht="13" x14ac:dyDescent="0.3">
      <c r="A24" s="7" t="s">
        <v>316</v>
      </c>
      <c r="B24" s="11" t="s">
        <v>27</v>
      </c>
      <c r="C24" s="99" t="s">
        <v>196</v>
      </c>
      <c r="D24" s="99" t="s">
        <v>337</v>
      </c>
      <c r="E24" s="99" t="s">
        <v>388</v>
      </c>
      <c r="F24" s="108">
        <v>183</v>
      </c>
      <c r="G24" s="114">
        <f>Ohj.lask.[[#This Row],[Tavoitteelliset opiskelija-vuodet]]-Ohj.lask.[[#This Row],[Järjestämisluvan opisk.vuosien vähimmäismäärä]]</f>
        <v>39</v>
      </c>
      <c r="H24" s="36">
        <v>222</v>
      </c>
      <c r="I24" s="12">
        <f>IFERROR(VLOOKUP($A24,'2.1 Toteut. op.vuodet'!$A:$T,COLUMN('2.1 Toteut. op.vuodet'!S:S),FALSE),0)</f>
        <v>1.7136493672396653</v>
      </c>
      <c r="J24" s="78">
        <f t="shared" si="0"/>
        <v>380.4</v>
      </c>
      <c r="K24" s="13">
        <f>IFERROR(Ohj.lask.[[#This Row],[Painotetut opiskelija-vuodet]]/Ohj.lask.[[#Totals],[Painotetut opiskelija-vuodet]],0)</f>
        <v>1.7609219750471239E-3</v>
      </c>
      <c r="L24" s="14">
        <f>ROUND(IFERROR('1.1 Jakotaulu'!L$13*Ohj.lask.[[#This Row],[%-osuus 1]],0),0)</f>
        <v>2471693</v>
      </c>
      <c r="M24" s="157">
        <f>IFERROR(ROUND(VLOOKUP($A24,'2.2 Tutk. ja osien pain. pist.'!$A:$Q,COLUMN('2.2 Tutk. ja osien pain. pist.'!O:O),FALSE),1),0)</f>
        <v>19328.2</v>
      </c>
      <c r="N24" s="13">
        <f>IFERROR(Ohj.lask.[[#This Row],[Painotetut pisteet 2]]/Ohj.lask.[[#Totals],[Painotetut pisteet 2]],0)</f>
        <v>1.2446677633728177E-3</v>
      </c>
      <c r="O24" s="20">
        <f>ROUND(IFERROR('1.1 Jakotaulu'!K$14*Ohj.lask.[[#This Row],[%-osuus 2]],0),0)</f>
        <v>509794</v>
      </c>
      <c r="P24" s="158">
        <f>IFERROR(ROUND(VLOOKUP($A24,'2.3 Työll. ja jatko-opisk.'!$A:$Z,COLUMN('2.3 Työll. ja jatko-opisk.'!M:M),FALSE),1),0)</f>
        <v>295</v>
      </c>
      <c r="Q24" s="17">
        <f>IFERROR(Ohj.lask.[[#This Row],[Painotetut pisteet 3]]/Ohj.lask.[[#Totals],[Painotetut pisteet 3]],0)</f>
        <v>9.4720595115050212E-4</v>
      </c>
      <c r="R24" s="14">
        <f>ROUND(IFERROR('1.1 Jakotaulu'!L$16*Ohj.lask.[[#This Row],[%-osuus 3]],0),0)</f>
        <v>135785</v>
      </c>
      <c r="S24" s="157">
        <f>IFERROR(ROUND(VLOOKUP($A24,'2.4 Aloittaneet palaute'!$A:$J,COLUMN('2.4 Aloittaneet palaute'!I:I),FALSE),1),0)</f>
        <v>1548.9</v>
      </c>
      <c r="T24" s="17">
        <f>IFERROR(Ohj.lask.[[#This Row],[Painotetut pisteet 4]]/Ohj.lask.[[#Totals],[Painotetut pisteet 4]],0)</f>
        <v>9.8752790950625523E-4</v>
      </c>
      <c r="U24" s="20">
        <f>ROUND(IFERROR('1.1 Jakotaulu'!M$18*Ohj.lask.[[#This Row],[%-osuus 4]],0),0)</f>
        <v>7584</v>
      </c>
      <c r="V24" s="157">
        <f>IFERROR(ROUND(VLOOKUP($A24,'2.5 Päättäneet palaute'!$A:$Z,COLUMN('2.5 Päättäneet palaute'!Y:Y),FALSE),1),0)</f>
        <v>6732.7</v>
      </c>
      <c r="W24" s="17">
        <f>IFERROR(Ohj.lask.[[#This Row],[Painotetut pisteet 5]]/Ohj.lask.[[#Totals],[Painotetut pisteet 5]],0)</f>
        <v>7.0750212972043702E-4</v>
      </c>
      <c r="X24" s="20">
        <f>ROUND(IFERROR('1.1 Jakotaulu'!M$19*Ohj.lask.[[#This Row],[%-osuus 5]],0),0)</f>
        <v>16300</v>
      </c>
      <c r="Y24" s="157">
        <f>IFERROR(ROUND(VLOOKUP($A24,'2.6 Työpaikkaohjaajakysely'!A:I,COLUMN('2.6 Työpaikkaohjaajakysely'!H:H),FALSE),1),0)</f>
        <v>938233.6</v>
      </c>
      <c r="Z24" s="13">
        <f>IFERROR(Ohj.lask.[[#This Row],[Painotetut pisteet 6]]/Ohj.lask.[[#Totals],[Painotetut pisteet 6]],0)</f>
        <v>2.348118522737606E-3</v>
      </c>
      <c r="AA24" s="20">
        <f>ROUND(IFERROR('1.1 Jakotaulu'!M$21*Ohj.lask.[[#This Row],[%-osuus 6]],0),0)</f>
        <v>54098</v>
      </c>
      <c r="AB24" s="157">
        <f>IFERROR(ROUND(VLOOKUP($A24,'2.7 Työpaikkakysely'!A:G,COLUMN('2.7 Työpaikkakysely'!F:F),FALSE),1),0)</f>
        <v>273270</v>
      </c>
      <c r="AC24" s="13">
        <f>IFERROR(Ohj.lask.[[#This Row],[Pisteet 7]]/Ohj.lask.[[#Totals],[Pisteet 7]],0)</f>
        <v>1.4295018000470589E-3</v>
      </c>
      <c r="AD24" s="20">
        <f>ROUND(IFERROR('1.1 Jakotaulu'!M$22*Ohj.lask.[[#This Row],[%-osuus 7]],0),0)</f>
        <v>10978</v>
      </c>
      <c r="AE24" s="16">
        <f>IFERROR(Ohj.lask.[[#This Row],[Jaettava € 8]]/Ohj.lask.[[#Totals],[Jaettava € 8]],"")</f>
        <v>1.5888095642784547E-3</v>
      </c>
      <c r="AF24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3206232</v>
      </c>
      <c r="AG24" s="105">
        <v>0</v>
      </c>
      <c r="AH24" s="105">
        <v>0</v>
      </c>
      <c r="AI24" s="105">
        <v>0</v>
      </c>
      <c r="AJ24" s="105">
        <v>0</v>
      </c>
      <c r="AK24" s="105">
        <v>0</v>
      </c>
      <c r="AL24" s="105">
        <v>0</v>
      </c>
      <c r="AM24" s="105">
        <v>5000</v>
      </c>
      <c r="AN24" s="105">
        <v>0</v>
      </c>
      <c r="AO24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5000</v>
      </c>
      <c r="AP24" s="14">
        <f>Ohj.lask.[[#This Row],[Jaettava € 1]]+Ohj.lask.[[#This Row],[Harkinnanvarainen korotus 9, €]]</f>
        <v>2476693</v>
      </c>
      <c r="AQ24" s="105">
        <f>Ohj.lask.[[#This Row],[Jaettava € 2]]</f>
        <v>509794</v>
      </c>
      <c r="AR24" s="14">
        <f>Ohj.lask.[[#This Row],[Jaettava € 3]]+Ohj.lask.[[#This Row],[Jaettava € 4]]+Ohj.lask.[[#This Row],[Jaettava € 5]]+Ohj.lask.[[#This Row],[Jaettava € 6]]+Ohj.lask.[[#This Row],[Jaettava € 7]]</f>
        <v>224745</v>
      </c>
      <c r="AS24" s="37">
        <f>Ohj.lask.[[#This Row],[Jaettava € 8]]+Ohj.lask.[[#This Row],[Harkinnanvarainen korotus 9, €]]</f>
        <v>3211232</v>
      </c>
      <c r="AT24" s="37">
        <v>259941</v>
      </c>
      <c r="AU24" s="20">
        <f>Ohj.lask.[[#This Row],[Perus-, suoritus- ja vaikuttavuusrahoitus yhteensä, €]]+Ohj.lask.[[#This Row],[Alv-korvaus, €]]</f>
        <v>3471173</v>
      </c>
    </row>
    <row r="25" spans="1:47" ht="13" x14ac:dyDescent="0.3">
      <c r="A25" s="7" t="s">
        <v>315</v>
      </c>
      <c r="B25" s="11" t="s">
        <v>147</v>
      </c>
      <c r="C25" s="11" t="s">
        <v>180</v>
      </c>
      <c r="D25" s="11" t="s">
        <v>337</v>
      </c>
      <c r="E25" s="11" t="s">
        <v>388</v>
      </c>
      <c r="F25" s="109">
        <v>11</v>
      </c>
      <c r="G25" s="114">
        <f>Ohj.lask.[[#This Row],[Tavoitteelliset opiskelija-vuodet]]-Ohj.lask.[[#This Row],[Järjestämisluvan opisk.vuosien vähimmäismäärä]]</f>
        <v>17</v>
      </c>
      <c r="H25" s="36">
        <v>28</v>
      </c>
      <c r="I25" s="12">
        <f>IFERROR(VLOOKUP($A25,'2.1 Toteut. op.vuodet'!$A:$T,COLUMN('2.1 Toteut. op.vuodet'!S:S),FALSE),0)</f>
        <v>0.72540000000000038</v>
      </c>
      <c r="J25" s="78">
        <f t="shared" si="0"/>
        <v>20.3</v>
      </c>
      <c r="K25" s="13">
        <f>IFERROR(Ohj.lask.[[#This Row],[Painotetut opiskelija-vuodet]]/Ohj.lask.[[#Totals],[Painotetut opiskelija-vuodet]],0)</f>
        <v>9.397138825829815E-5</v>
      </c>
      <c r="L25" s="14">
        <f>ROUND(IFERROR('1.1 Jakotaulu'!L$13*Ohj.lask.[[#This Row],[%-osuus 1]],0),0)</f>
        <v>131902</v>
      </c>
      <c r="M25" s="157">
        <f>IFERROR(ROUND(VLOOKUP($A25,'2.2 Tutk. ja osien pain. pist.'!$A:$Q,COLUMN('2.2 Tutk. ja osien pain. pist.'!O:O),FALSE),1),0)</f>
        <v>1730.9</v>
      </c>
      <c r="N25" s="13">
        <f>IFERROR(Ohj.lask.[[#This Row],[Painotetut pisteet 2]]/Ohj.lask.[[#Totals],[Painotetut pisteet 2]],0)</f>
        <v>1.1146384203505811E-4</v>
      </c>
      <c r="O25" s="20">
        <f>ROUND(IFERROR('1.1 Jakotaulu'!K$14*Ohj.lask.[[#This Row],[%-osuus 2]],0),0)</f>
        <v>45654</v>
      </c>
      <c r="P25" s="158">
        <f>IFERROR(ROUND(VLOOKUP($A25,'2.3 Työll. ja jatko-opisk.'!$A:$Z,COLUMN('2.3 Työll. ja jatko-opisk.'!M:M),FALSE),1),0)</f>
        <v>38.9</v>
      </c>
      <c r="Q25" s="13">
        <f>IFERROR(Ohj.lask.[[#This Row],[Painotetut pisteet 3]]/Ohj.lask.[[#Totals],[Painotetut pisteet 3]],0)</f>
        <v>1.2490275084662552E-4</v>
      </c>
      <c r="R25" s="14">
        <f>ROUND(IFERROR('1.1 Jakotaulu'!L$16*Ohj.lask.[[#This Row],[%-osuus 3]],0),0)</f>
        <v>17905</v>
      </c>
      <c r="S25" s="157">
        <f>IFERROR(ROUND(VLOOKUP($A25,'2.4 Aloittaneet palaute'!$A:$J,COLUMN('2.4 Aloittaneet palaute'!I:I),FALSE),1),0)</f>
        <v>275.89999999999998</v>
      </c>
      <c r="T25" s="17">
        <f>IFERROR(Ohj.lask.[[#This Row],[Painotetut pisteet 4]]/Ohj.lask.[[#Totals],[Painotetut pisteet 4]],0)</f>
        <v>1.7590480355915539E-4</v>
      </c>
      <c r="U25" s="20">
        <f>ROUND(IFERROR('1.1 Jakotaulu'!M$18*Ohj.lask.[[#This Row],[%-osuus 4]],0),0)</f>
        <v>1351</v>
      </c>
      <c r="V25" s="157">
        <f>IFERROR(ROUND(VLOOKUP($A25,'2.5 Päättäneet palaute'!$A:$Z,COLUMN('2.5 Päättäneet palaute'!Y:Y),FALSE),1),0)</f>
        <v>2626.2</v>
      </c>
      <c r="W25" s="17">
        <f>IFERROR(Ohj.lask.[[#This Row],[Painotetut pisteet 5]]/Ohj.lask.[[#Totals],[Painotetut pisteet 5]],0)</f>
        <v>2.7597280334365286E-4</v>
      </c>
      <c r="X25" s="20">
        <f>ROUND(IFERROR('1.1 Jakotaulu'!M$19*Ohj.lask.[[#This Row],[%-osuus 5]],0),0)</f>
        <v>6358</v>
      </c>
      <c r="Y25" s="157">
        <f>IFERROR(ROUND(VLOOKUP($A25,'2.6 Työpaikkaohjaajakysely'!A:I,COLUMN('2.6 Työpaikkaohjaajakysely'!H:H),FALSE),1),0)</f>
        <v>0</v>
      </c>
      <c r="Z25" s="13">
        <f>IFERROR(Ohj.lask.[[#This Row],[Painotetut pisteet 6]]/Ohj.lask.[[#Totals],[Painotetut pisteet 6]],0)</f>
        <v>0</v>
      </c>
      <c r="AA25" s="20">
        <f>ROUND(IFERROR('1.1 Jakotaulu'!M$21*Ohj.lask.[[#This Row],[%-osuus 6]],0),0)</f>
        <v>0</v>
      </c>
      <c r="AB25" s="157">
        <f>IFERROR(ROUND(VLOOKUP($A25,'2.7 Työpaikkakysely'!A:G,COLUMN('2.7 Työpaikkakysely'!F:F),FALSE),1),0)</f>
        <v>0</v>
      </c>
      <c r="AC25" s="13">
        <f>IFERROR(Ohj.lask.[[#This Row],[Pisteet 7]]/Ohj.lask.[[#Totals],[Pisteet 7]],0)</f>
        <v>0</v>
      </c>
      <c r="AD25" s="20">
        <f>ROUND(IFERROR('1.1 Jakotaulu'!M$22*Ohj.lask.[[#This Row],[%-osuus 7]],0),0)</f>
        <v>0</v>
      </c>
      <c r="AE25" s="16">
        <f>IFERROR(Ohj.lask.[[#This Row],[Jaettava € 8]]/Ohj.lask.[[#Totals],[Jaettava € 8]],"")</f>
        <v>1.006784409782117E-4</v>
      </c>
      <c r="AF25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203170</v>
      </c>
      <c r="AG25" s="105">
        <v>0</v>
      </c>
      <c r="AH25" s="105">
        <v>0</v>
      </c>
      <c r="AI25" s="105">
        <v>0</v>
      </c>
      <c r="AJ25" s="105">
        <v>0</v>
      </c>
      <c r="AK25" s="105">
        <v>0</v>
      </c>
      <c r="AL25" s="105">
        <v>0</v>
      </c>
      <c r="AM25" s="105">
        <v>0</v>
      </c>
      <c r="AN25" s="105">
        <v>0</v>
      </c>
      <c r="AO25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0</v>
      </c>
      <c r="AP25" s="14">
        <f>Ohj.lask.[[#This Row],[Jaettava € 1]]+Ohj.lask.[[#This Row],[Harkinnanvarainen korotus 9, €]]</f>
        <v>131902</v>
      </c>
      <c r="AQ25" s="105">
        <f>Ohj.lask.[[#This Row],[Jaettava € 2]]</f>
        <v>45654</v>
      </c>
      <c r="AR25" s="14">
        <f>Ohj.lask.[[#This Row],[Jaettava € 3]]+Ohj.lask.[[#This Row],[Jaettava € 4]]+Ohj.lask.[[#This Row],[Jaettava € 5]]+Ohj.lask.[[#This Row],[Jaettava € 6]]+Ohj.lask.[[#This Row],[Jaettava € 7]]</f>
        <v>25614</v>
      </c>
      <c r="AS25" s="37">
        <f>Ohj.lask.[[#This Row],[Jaettava € 8]]+Ohj.lask.[[#This Row],[Harkinnanvarainen korotus 9, €]]</f>
        <v>203170</v>
      </c>
      <c r="AT25" s="37">
        <v>12993</v>
      </c>
      <c r="AU25" s="20">
        <f>Ohj.lask.[[#This Row],[Perus-, suoritus- ja vaikuttavuusrahoitus yhteensä, €]]+Ohj.lask.[[#This Row],[Alv-korvaus, €]]</f>
        <v>216163</v>
      </c>
    </row>
    <row r="26" spans="1:47" ht="13" x14ac:dyDescent="0.3">
      <c r="A26" s="7" t="s">
        <v>314</v>
      </c>
      <c r="B26" s="11" t="s">
        <v>28</v>
      </c>
      <c r="C26" s="11" t="s">
        <v>180</v>
      </c>
      <c r="D26" s="11" t="s">
        <v>338</v>
      </c>
      <c r="E26" s="11" t="s">
        <v>388</v>
      </c>
      <c r="F26" s="109">
        <v>8947</v>
      </c>
      <c r="G26" s="114">
        <f>Ohj.lask.[[#This Row],[Tavoitteelliset opiskelija-vuodet]]-Ohj.lask.[[#This Row],[Järjestämisluvan opisk.vuosien vähimmäismäärä]]</f>
        <v>816</v>
      </c>
      <c r="H26" s="36">
        <v>9763</v>
      </c>
      <c r="I26" s="12">
        <f>IFERROR(VLOOKUP($A26,'2.1 Toteut. op.vuodet'!$A:$T,COLUMN('2.1 Toteut. op.vuodet'!S:S),FALSE),0)</f>
        <v>1.1178612766078788</v>
      </c>
      <c r="J26" s="78">
        <f t="shared" si="0"/>
        <v>10913.7</v>
      </c>
      <c r="K26" s="13">
        <f>IFERROR(Ohj.lask.[[#This Row],[Painotetut opiskelija-vuodet]]/Ohj.lask.[[#Totals],[Painotetut opiskelija-vuodet]],0)</f>
        <v>5.0520962563280231E-2</v>
      </c>
      <c r="L26" s="14">
        <f>ROUND(IFERROR('1.1 Jakotaulu'!L$13*Ohj.lask.[[#This Row],[%-osuus 1]],0),0)</f>
        <v>70913042</v>
      </c>
      <c r="M26" s="157">
        <f>IFERROR(ROUND(VLOOKUP($A26,'2.2 Tutk. ja osien pain. pist.'!$A:$Q,COLUMN('2.2 Tutk. ja osien pain. pist.'!O:O),FALSE),1),0)</f>
        <v>694607.5</v>
      </c>
      <c r="N26" s="13">
        <f>IFERROR(Ohj.lask.[[#This Row],[Painotetut pisteet 2]]/Ohj.lask.[[#Totals],[Painotetut pisteet 2]],0)</f>
        <v>4.4730267870106089E-2</v>
      </c>
      <c r="O26" s="20">
        <f>ROUND(IFERROR('1.1 Jakotaulu'!K$14*Ohj.lask.[[#This Row],[%-osuus 2]],0),0)</f>
        <v>18320713</v>
      </c>
      <c r="P26" s="158">
        <f>IFERROR(ROUND(VLOOKUP($A26,'2.3 Työll. ja jatko-opisk.'!$A:$Z,COLUMN('2.3 Työll. ja jatko-opisk.'!M:M),FALSE),1),0)</f>
        <v>15938.5</v>
      </c>
      <c r="Q26" s="13">
        <f>IFERROR(Ohj.lask.[[#This Row],[Painotetut pisteet 3]]/Ohj.lask.[[#Totals],[Painotetut pisteet 3]],0)</f>
        <v>5.1176413736990771E-2</v>
      </c>
      <c r="R26" s="14">
        <f>ROUND(IFERROR('1.1 Jakotaulu'!L$16*Ohj.lask.[[#This Row],[%-osuus 3]],0),0)</f>
        <v>7336328</v>
      </c>
      <c r="S26" s="157">
        <f>IFERROR(ROUND(VLOOKUP($A26,'2.4 Aloittaneet palaute'!$A:$J,COLUMN('2.4 Aloittaneet palaute'!I:I),FALSE),1),0)</f>
        <v>56427.8</v>
      </c>
      <c r="T26" s="17">
        <f>IFERROR(Ohj.lask.[[#This Row],[Painotetut pisteet 4]]/Ohj.lask.[[#Totals],[Painotetut pisteet 4]],0)</f>
        <v>3.5976517123143564E-2</v>
      </c>
      <c r="U26" s="20">
        <f>ROUND(IFERROR('1.1 Jakotaulu'!M$18*Ohj.lask.[[#This Row],[%-osuus 4]],0),0)</f>
        <v>276288</v>
      </c>
      <c r="V26" s="157">
        <f>IFERROR(ROUND(VLOOKUP($A26,'2.5 Päättäneet palaute'!$A:$Z,COLUMN('2.5 Päättäneet palaute'!Y:Y),FALSE),1),0)</f>
        <v>299424.59999999998</v>
      </c>
      <c r="W26" s="17">
        <f>IFERROR(Ohj.lask.[[#This Row],[Painotetut pisteet 5]]/Ohj.lask.[[#Totals],[Painotetut pisteet 5]],0)</f>
        <v>3.1464871773685142E-2</v>
      </c>
      <c r="X26" s="20">
        <f>ROUND(IFERROR('1.1 Jakotaulu'!M$19*Ohj.lask.[[#This Row],[%-osuus 5]],0),0)</f>
        <v>724919</v>
      </c>
      <c r="Y26" s="157">
        <f>IFERROR(ROUND(VLOOKUP($A26,'2.6 Työpaikkaohjaajakysely'!A:I,COLUMN('2.6 Työpaikkaohjaajakysely'!H:H),FALSE),1),0)</f>
        <v>17914061.600000001</v>
      </c>
      <c r="Z26" s="13">
        <f>IFERROR(Ohj.lask.[[#This Row],[Painotetut pisteet 6]]/Ohj.lask.[[#Totals],[Painotetut pisteet 6]],0)</f>
        <v>4.4833546635318196E-2</v>
      </c>
      <c r="AA26" s="20">
        <f>ROUND(IFERROR('1.1 Jakotaulu'!M$21*Ohj.lask.[[#This Row],[%-osuus 6]],0),0)</f>
        <v>1032920</v>
      </c>
      <c r="AB26" s="157">
        <f>IFERROR(ROUND(VLOOKUP($A26,'2.7 Työpaikkakysely'!A:G,COLUMN('2.7 Työpaikkakysely'!F:F),FALSE),1),0)</f>
        <v>5889257.9000000004</v>
      </c>
      <c r="AC26" s="13">
        <f>IFERROR(Ohj.lask.[[#This Row],[Pisteet 7]]/Ohj.lask.[[#Totals],[Pisteet 7]],0)</f>
        <v>3.0807277670404223E-2</v>
      </c>
      <c r="AD26" s="20">
        <f>ROUND(IFERROR('1.1 Jakotaulu'!M$22*Ohj.lask.[[#This Row],[%-osuus 7]],0),0)</f>
        <v>236590</v>
      </c>
      <c r="AE26" s="16">
        <f>IFERROR(Ohj.lask.[[#This Row],[Jaettava € 8]]/Ohj.lask.[[#Totals],[Jaettava € 8]],"")</f>
        <v>4.8979365305110135E-2</v>
      </c>
      <c r="AF26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98840800</v>
      </c>
      <c r="AG26" s="105">
        <v>0</v>
      </c>
      <c r="AH26" s="105">
        <v>25000</v>
      </c>
      <c r="AI26" s="105">
        <v>0</v>
      </c>
      <c r="AJ26" s="105">
        <v>0</v>
      </c>
      <c r="AK26" s="105">
        <v>0</v>
      </c>
      <c r="AL26" s="105">
        <v>0</v>
      </c>
      <c r="AM26" s="105">
        <v>127000</v>
      </c>
      <c r="AN26" s="105">
        <v>20000</v>
      </c>
      <c r="AO26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172000</v>
      </c>
      <c r="AP26" s="14">
        <f>Ohj.lask.[[#This Row],[Jaettava € 1]]+Ohj.lask.[[#This Row],[Harkinnanvarainen korotus 9, €]]</f>
        <v>71085042</v>
      </c>
      <c r="AQ26" s="105">
        <f>Ohj.lask.[[#This Row],[Jaettava € 2]]</f>
        <v>18320713</v>
      </c>
      <c r="AR26" s="14">
        <f>Ohj.lask.[[#This Row],[Jaettava € 3]]+Ohj.lask.[[#This Row],[Jaettava € 4]]+Ohj.lask.[[#This Row],[Jaettava € 5]]+Ohj.lask.[[#This Row],[Jaettava € 6]]+Ohj.lask.[[#This Row],[Jaettava € 7]]</f>
        <v>9607045</v>
      </c>
      <c r="AS26" s="37">
        <f>Ohj.lask.[[#This Row],[Jaettava € 8]]+Ohj.lask.[[#This Row],[Harkinnanvarainen korotus 9, €]]</f>
        <v>99012800</v>
      </c>
      <c r="AT26" s="37">
        <v>0</v>
      </c>
      <c r="AU26" s="20">
        <f>Ohj.lask.[[#This Row],[Perus-, suoritus- ja vaikuttavuusrahoitus yhteensä, €]]+Ohj.lask.[[#This Row],[Alv-korvaus, €]]</f>
        <v>99012800</v>
      </c>
    </row>
    <row r="27" spans="1:47" ht="13" x14ac:dyDescent="0.3">
      <c r="A27" s="7" t="s">
        <v>310</v>
      </c>
      <c r="B27" s="11" t="s">
        <v>29</v>
      </c>
      <c r="C27" s="11" t="s">
        <v>180</v>
      </c>
      <c r="D27" s="11" t="s">
        <v>337</v>
      </c>
      <c r="E27" s="11" t="s">
        <v>388</v>
      </c>
      <c r="F27" s="109">
        <v>59</v>
      </c>
      <c r="G27" s="114">
        <f>Ohj.lask.[[#This Row],[Tavoitteelliset opiskelija-vuodet]]-Ohj.lask.[[#This Row],[Järjestämisluvan opisk.vuosien vähimmäismäärä]]</f>
        <v>2</v>
      </c>
      <c r="H27" s="36">
        <v>61</v>
      </c>
      <c r="I27" s="12">
        <f>IFERROR(VLOOKUP($A27,'2.1 Toteut. op.vuodet'!$A:$T,COLUMN('2.1 Toteut. op.vuodet'!S:S),FALSE),0)</f>
        <v>1.4638627325797291</v>
      </c>
      <c r="J27" s="78">
        <f t="shared" si="0"/>
        <v>89.3</v>
      </c>
      <c r="K27" s="13">
        <f>IFERROR(Ohj.lask.[[#This Row],[Painotetut opiskelija-vuodet]]/Ohj.lask.[[#Totals],[Painotetut opiskelija-vuodet]],0)</f>
        <v>4.1338152568798153E-4</v>
      </c>
      <c r="L27" s="14">
        <f>ROUND(IFERROR('1.1 Jakotaulu'!L$13*Ohj.lask.[[#This Row],[%-osuus 1]],0),0)</f>
        <v>580237</v>
      </c>
      <c r="M27" s="157">
        <f>IFERROR(ROUND(VLOOKUP($A27,'2.2 Tutk. ja osien pain. pist.'!$A:$Q,COLUMN('2.2 Tutk. ja osien pain. pist.'!O:O),FALSE),1),0)</f>
        <v>10253.5</v>
      </c>
      <c r="N27" s="13">
        <f>IFERROR(Ohj.lask.[[#This Row],[Painotetut pisteet 2]]/Ohj.lask.[[#Totals],[Painotetut pisteet 2]],0)</f>
        <v>6.6028915841843451E-4</v>
      </c>
      <c r="O27" s="20">
        <f>ROUND(IFERROR('1.1 Jakotaulu'!K$14*Ohj.lask.[[#This Row],[%-osuus 2]],0),0)</f>
        <v>270443</v>
      </c>
      <c r="P27" s="158">
        <f>IFERROR(ROUND(VLOOKUP($A27,'2.3 Työll. ja jatko-opisk.'!$A:$Z,COLUMN('2.3 Työll. ja jatko-opisk.'!M:M),FALSE),1),0)</f>
        <v>176.3</v>
      </c>
      <c r="Q27" s="13">
        <f>IFERROR(Ohj.lask.[[#This Row],[Painotetut pisteet 3]]/Ohj.lask.[[#Totals],[Painotetut pisteet 3]],0)</f>
        <v>5.6607596334858827E-4</v>
      </c>
      <c r="R27" s="14">
        <f>ROUND(IFERROR('1.1 Jakotaulu'!L$16*Ohj.lask.[[#This Row],[%-osuus 3]],0),0)</f>
        <v>81149</v>
      </c>
      <c r="S27" s="157">
        <f>IFERROR(ROUND(VLOOKUP($A27,'2.4 Aloittaneet palaute'!$A:$J,COLUMN('2.4 Aloittaneet palaute'!I:I),FALSE),1),0)</f>
        <v>695.8</v>
      </c>
      <c r="T27" s="17">
        <f>IFERROR(Ohj.lask.[[#This Row],[Painotetut pisteet 4]]/Ohj.lask.[[#Totals],[Painotetut pisteet 4]],0)</f>
        <v>4.4361929074469126E-4</v>
      </c>
      <c r="U27" s="20">
        <f>ROUND(IFERROR('1.1 Jakotaulu'!M$18*Ohj.lask.[[#This Row],[%-osuus 4]],0),0)</f>
        <v>3407</v>
      </c>
      <c r="V27" s="157">
        <f>IFERROR(ROUND(VLOOKUP($A27,'2.5 Päättäneet palaute'!$A:$Z,COLUMN('2.5 Päättäneet palaute'!Y:Y),FALSE),1),0)</f>
        <v>5346.4</v>
      </c>
      <c r="W27" s="17">
        <f>IFERROR(Ohj.lask.[[#This Row],[Painotetut pisteet 5]]/Ohj.lask.[[#Totals],[Painotetut pisteet 5]],0)</f>
        <v>5.6182354573014459E-4</v>
      </c>
      <c r="X27" s="20">
        <f>ROUND(IFERROR('1.1 Jakotaulu'!M$19*Ohj.lask.[[#This Row],[%-osuus 5]],0),0)</f>
        <v>12944</v>
      </c>
      <c r="Y27" s="157">
        <f>IFERROR(ROUND(VLOOKUP($A27,'2.6 Työpaikkaohjaajakysely'!A:I,COLUMN('2.6 Työpaikkaohjaajakysely'!H:H),FALSE),1),0)</f>
        <v>21893.5</v>
      </c>
      <c r="Z27" s="13">
        <f>IFERROR(Ohj.lask.[[#This Row],[Painotetut pisteet 6]]/Ohj.lask.[[#Totals],[Painotetut pisteet 6]],0)</f>
        <v>5.479289259898151E-5</v>
      </c>
      <c r="AA27" s="20">
        <f>ROUND(IFERROR('1.1 Jakotaulu'!M$21*Ohj.lask.[[#This Row],[%-osuus 6]],0),0)</f>
        <v>1262</v>
      </c>
      <c r="AB27" s="157">
        <f>IFERROR(ROUND(VLOOKUP($A27,'2.7 Työpaikkakysely'!A:G,COLUMN('2.7 Työpaikkakysely'!F:F),FALSE),1),0)</f>
        <v>3053</v>
      </c>
      <c r="AC27" s="13">
        <f>IFERROR(Ohj.lask.[[#This Row],[Pisteet 7]]/Ohj.lask.[[#Totals],[Pisteet 7]],0)</f>
        <v>1.5970538279151281E-5</v>
      </c>
      <c r="AD27" s="20">
        <f>ROUND(IFERROR('1.1 Jakotaulu'!M$22*Ohj.lask.[[#This Row],[%-osuus 7]],0),0)</f>
        <v>123</v>
      </c>
      <c r="AE27" s="16">
        <f>IFERROR(Ohj.lask.[[#This Row],[Jaettava € 8]]/Ohj.lask.[[#Totals],[Jaettava € 8]],"")</f>
        <v>4.7054547328579803E-4</v>
      </c>
      <c r="AF27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949565</v>
      </c>
      <c r="AG27" s="105">
        <v>0</v>
      </c>
      <c r="AH27" s="105">
        <v>0</v>
      </c>
      <c r="AI27" s="105">
        <v>0</v>
      </c>
      <c r="AJ27" s="105">
        <v>0</v>
      </c>
      <c r="AK27" s="105">
        <v>0</v>
      </c>
      <c r="AL27" s="105">
        <v>0</v>
      </c>
      <c r="AM27" s="105">
        <v>0</v>
      </c>
      <c r="AN27" s="105">
        <v>0</v>
      </c>
      <c r="AO27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0</v>
      </c>
      <c r="AP27" s="14">
        <f>Ohj.lask.[[#This Row],[Jaettava € 1]]+Ohj.lask.[[#This Row],[Harkinnanvarainen korotus 9, €]]</f>
        <v>580237</v>
      </c>
      <c r="AQ27" s="105">
        <f>Ohj.lask.[[#This Row],[Jaettava € 2]]</f>
        <v>270443</v>
      </c>
      <c r="AR27" s="14">
        <f>Ohj.lask.[[#This Row],[Jaettava € 3]]+Ohj.lask.[[#This Row],[Jaettava € 4]]+Ohj.lask.[[#This Row],[Jaettava € 5]]+Ohj.lask.[[#This Row],[Jaettava € 6]]+Ohj.lask.[[#This Row],[Jaettava € 7]]</f>
        <v>98885</v>
      </c>
      <c r="AS27" s="37">
        <f>Ohj.lask.[[#This Row],[Jaettava € 8]]+Ohj.lask.[[#This Row],[Harkinnanvarainen korotus 9, €]]</f>
        <v>949565</v>
      </c>
      <c r="AT27" s="37">
        <v>28094</v>
      </c>
      <c r="AU27" s="20">
        <f>Ohj.lask.[[#This Row],[Perus-, suoritus- ja vaikuttavuusrahoitus yhteensä, €]]+Ohj.lask.[[#This Row],[Alv-korvaus, €]]</f>
        <v>977659</v>
      </c>
    </row>
    <row r="28" spans="1:47" ht="13" x14ac:dyDescent="0.3">
      <c r="A28" s="7" t="s">
        <v>313</v>
      </c>
      <c r="B28" s="11" t="s">
        <v>30</v>
      </c>
      <c r="C28" s="11" t="s">
        <v>180</v>
      </c>
      <c r="D28" s="11" t="s">
        <v>337</v>
      </c>
      <c r="E28" s="11" t="s">
        <v>388</v>
      </c>
      <c r="F28" s="109">
        <v>1890</v>
      </c>
      <c r="G28" s="114">
        <f>Ohj.lask.[[#This Row],[Tavoitteelliset opiskelija-vuodet]]-Ohj.lask.[[#This Row],[Järjestämisluvan opisk.vuosien vähimmäismäärä]]</f>
        <v>165</v>
      </c>
      <c r="H28" s="36">
        <v>2055</v>
      </c>
      <c r="I28" s="12">
        <f>IFERROR(VLOOKUP($A28,'2.1 Toteut. op.vuodet'!$A:$T,COLUMN('2.1 Toteut. op.vuodet'!S:S),FALSE),0)</f>
        <v>0.89861251115964558</v>
      </c>
      <c r="J28" s="78">
        <f t="shared" si="0"/>
        <v>1846.6</v>
      </c>
      <c r="K28" s="13">
        <f>IFERROR(Ohj.lask.[[#This Row],[Painotetut opiskelija-vuodet]]/Ohj.lask.[[#Totals],[Painotetut opiskelija-vuodet]],0)</f>
        <v>8.5481559388065689E-3</v>
      </c>
      <c r="L28" s="14">
        <f>ROUND(IFERROR('1.1 Jakotaulu'!L$13*Ohj.lask.[[#This Row],[%-osuus 1]],0),0)</f>
        <v>11998499</v>
      </c>
      <c r="M28" s="157">
        <f>IFERROR(ROUND(VLOOKUP($A28,'2.2 Tutk. ja osien pain. pist.'!$A:$Q,COLUMN('2.2 Tutk. ja osien pain. pist.'!O:O),FALSE),1),0)</f>
        <v>152853</v>
      </c>
      <c r="N28" s="13">
        <f>IFERROR(Ohj.lask.[[#This Row],[Painotetut pisteet 2]]/Ohj.lask.[[#Totals],[Painotetut pisteet 2]],0)</f>
        <v>9.843192932338516E-3</v>
      </c>
      <c r="O28" s="20">
        <f>ROUND(IFERROR('1.1 Jakotaulu'!K$14*Ohj.lask.[[#This Row],[%-osuus 2]],0),0)</f>
        <v>4031595</v>
      </c>
      <c r="P28" s="158">
        <f>IFERROR(ROUND(VLOOKUP($A28,'2.3 Työll. ja jatko-opisk.'!$A:$Z,COLUMN('2.3 Työll. ja jatko-opisk.'!M:M),FALSE),1),0)</f>
        <v>3193.9</v>
      </c>
      <c r="Q28" s="13">
        <f>IFERROR(Ohj.lask.[[#This Row],[Painotetut pisteet 3]]/Ohj.lask.[[#Totals],[Painotetut pisteet 3]],0)</f>
        <v>1.0255190126710469E-2</v>
      </c>
      <c r="R28" s="14">
        <f>ROUND(IFERROR('1.1 Jakotaulu'!L$16*Ohj.lask.[[#This Row],[%-osuus 3]],0),0)</f>
        <v>1470119</v>
      </c>
      <c r="S28" s="157">
        <f>IFERROR(ROUND(VLOOKUP($A28,'2.4 Aloittaneet palaute'!$A:$J,COLUMN('2.4 Aloittaneet palaute'!I:I),FALSE),1),0)</f>
        <v>15462.3</v>
      </c>
      <c r="T28" s="17">
        <f>IFERROR(Ohj.lask.[[#This Row],[Painotetut pisteet 4]]/Ohj.lask.[[#Totals],[Painotetut pisteet 4]],0)</f>
        <v>9.8582560495568267E-3</v>
      </c>
      <c r="U28" s="20">
        <f>ROUND(IFERROR('1.1 Jakotaulu'!M$18*Ohj.lask.[[#This Row],[%-osuus 4]],0),0)</f>
        <v>75708</v>
      </c>
      <c r="V28" s="157">
        <f>IFERROR(ROUND(VLOOKUP($A28,'2.5 Päättäneet palaute'!$A:$Z,COLUMN('2.5 Päättäneet palaute'!Y:Y),FALSE),1),0)</f>
        <v>113777.2</v>
      </c>
      <c r="W28" s="17">
        <f>IFERROR(Ohj.lask.[[#This Row],[Painotetut pisteet 5]]/Ohj.lask.[[#Totals],[Painotetut pisteet 5]],0)</f>
        <v>1.1956215383668976E-2</v>
      </c>
      <c r="X28" s="20">
        <f>ROUND(IFERROR('1.1 Jakotaulu'!M$19*Ohj.lask.[[#This Row],[%-osuus 5]],0),0)</f>
        <v>275459</v>
      </c>
      <c r="Y28" s="157">
        <f>IFERROR(ROUND(VLOOKUP($A28,'2.6 Työpaikkaohjaajakysely'!A:I,COLUMN('2.6 Työpaikkaohjaajakysely'!H:H),FALSE),1),0)</f>
        <v>3248933.8</v>
      </c>
      <c r="Z28" s="13">
        <f>IFERROR(Ohj.lask.[[#This Row],[Painotetut pisteet 6]]/Ohj.lask.[[#Totals],[Painotetut pisteet 6]],0)</f>
        <v>8.1311110952840271E-3</v>
      </c>
      <c r="AA28" s="20">
        <f>ROUND(IFERROR('1.1 Jakotaulu'!M$21*Ohj.lask.[[#This Row],[%-osuus 6]],0),0)</f>
        <v>187333</v>
      </c>
      <c r="AB28" s="157">
        <f>IFERROR(ROUND(VLOOKUP($A28,'2.7 Työpaikkakysely'!A:G,COLUMN('2.7 Työpaikkakysely'!F:F),FALSE),1),0)</f>
        <v>963926.5</v>
      </c>
      <c r="AC28" s="13">
        <f>IFERROR(Ohj.lask.[[#This Row],[Pisteet 7]]/Ohj.lask.[[#Totals],[Pisteet 7]],0)</f>
        <v>5.0423927502582103E-3</v>
      </c>
      <c r="AD28" s="20">
        <f>ROUND(IFERROR('1.1 Jakotaulu'!M$22*Ohj.lask.[[#This Row],[%-osuus 7]],0),0)</f>
        <v>38724</v>
      </c>
      <c r="AE28" s="16">
        <f>IFERROR(Ohj.lask.[[#This Row],[Jaettava € 8]]/Ohj.lask.[[#Totals],[Jaettava € 8]],"")</f>
        <v>8.9580556875613546E-3</v>
      </c>
      <c r="AF28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18077437</v>
      </c>
      <c r="AG28" s="105">
        <v>0</v>
      </c>
      <c r="AH28" s="105">
        <v>0</v>
      </c>
      <c r="AI28" s="105">
        <v>0</v>
      </c>
      <c r="AJ28" s="105">
        <v>0</v>
      </c>
      <c r="AK28" s="105">
        <v>0</v>
      </c>
      <c r="AL28" s="105">
        <v>0</v>
      </c>
      <c r="AM28" s="105">
        <v>0</v>
      </c>
      <c r="AN28" s="105">
        <v>0</v>
      </c>
      <c r="AO28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0</v>
      </c>
      <c r="AP28" s="14">
        <f>Ohj.lask.[[#This Row],[Jaettava € 1]]+Ohj.lask.[[#This Row],[Harkinnanvarainen korotus 9, €]]</f>
        <v>11998499</v>
      </c>
      <c r="AQ28" s="105">
        <f>Ohj.lask.[[#This Row],[Jaettava € 2]]</f>
        <v>4031595</v>
      </c>
      <c r="AR28" s="14">
        <f>Ohj.lask.[[#This Row],[Jaettava € 3]]+Ohj.lask.[[#This Row],[Jaettava € 4]]+Ohj.lask.[[#This Row],[Jaettava € 5]]+Ohj.lask.[[#This Row],[Jaettava € 6]]+Ohj.lask.[[#This Row],[Jaettava € 7]]</f>
        <v>2047343</v>
      </c>
      <c r="AS28" s="37">
        <f>Ohj.lask.[[#This Row],[Jaettava € 8]]+Ohj.lask.[[#This Row],[Harkinnanvarainen korotus 9, €]]</f>
        <v>18077437</v>
      </c>
      <c r="AT28" s="37">
        <v>1322391</v>
      </c>
      <c r="AU28" s="20">
        <f>Ohj.lask.[[#This Row],[Perus-, suoritus- ja vaikuttavuusrahoitus yhteensä, €]]+Ohj.lask.[[#This Row],[Alv-korvaus, €]]</f>
        <v>19399828</v>
      </c>
    </row>
    <row r="29" spans="1:47" ht="13" x14ac:dyDescent="0.3">
      <c r="A29" s="7" t="s">
        <v>311</v>
      </c>
      <c r="B29" s="11" t="s">
        <v>32</v>
      </c>
      <c r="C29" s="11" t="s">
        <v>265</v>
      </c>
      <c r="D29" s="11" t="s">
        <v>337</v>
      </c>
      <c r="E29" s="11" t="s">
        <v>388</v>
      </c>
      <c r="F29" s="109">
        <v>310</v>
      </c>
      <c r="G29" s="114">
        <f>Ohj.lask.[[#This Row],[Tavoitteelliset opiskelija-vuodet]]-Ohj.lask.[[#This Row],[Järjestämisluvan opisk.vuosien vähimmäismäärä]]</f>
        <v>14</v>
      </c>
      <c r="H29" s="36">
        <v>324</v>
      </c>
      <c r="I29" s="12">
        <f>IFERROR(VLOOKUP($A29,'2.1 Toteut. op.vuodet'!$A:$T,COLUMN('2.1 Toteut. op.vuodet'!S:S),FALSE),0)</f>
        <v>1.50922321464331</v>
      </c>
      <c r="J29" s="78">
        <f t="shared" si="0"/>
        <v>489</v>
      </c>
      <c r="K29" s="13">
        <f>IFERROR(Ohj.lask.[[#This Row],[Painotetut opiskelija-vuodet]]/Ohj.lask.[[#Totals],[Painotetut opiskelija-vuodet]],0)</f>
        <v>2.2636457565668867E-3</v>
      </c>
      <c r="L29" s="14">
        <f>ROUND(IFERROR('1.1 Jakotaulu'!L$13*Ohj.lask.[[#This Row],[%-osuus 1]],0),0)</f>
        <v>3177335</v>
      </c>
      <c r="M29" s="157">
        <f>IFERROR(ROUND(VLOOKUP($A29,'2.2 Tutk. ja osien pain. pist.'!$A:$Q,COLUMN('2.2 Tutk. ja osien pain. pist.'!O:O),FALSE),1),0)</f>
        <v>33389.699999999997</v>
      </c>
      <c r="N29" s="13">
        <f>IFERROR(Ohj.lask.[[#This Row],[Painotetut pisteet 2]]/Ohj.lask.[[#Totals],[Painotetut pisteet 2]],0)</f>
        <v>2.1501786621976886E-3</v>
      </c>
      <c r="O29" s="20">
        <f>ROUND(IFERROR('1.1 Jakotaulu'!K$14*Ohj.lask.[[#This Row],[%-osuus 2]],0),0)</f>
        <v>880674</v>
      </c>
      <c r="P29" s="158">
        <f>IFERROR(ROUND(VLOOKUP($A29,'2.3 Työll. ja jatko-opisk.'!$A:$Z,COLUMN('2.3 Työll. ja jatko-opisk.'!M:M),FALSE),1),0)</f>
        <v>461.5</v>
      </c>
      <c r="Q29" s="13">
        <f>IFERROR(Ohj.lask.[[#This Row],[Painotetut pisteet 3]]/Ohj.lask.[[#Totals],[Painotetut pisteet 3]],0)</f>
        <v>1.4818154117151076E-3</v>
      </c>
      <c r="R29" s="14">
        <f>ROUND(IFERROR('1.1 Jakotaulu'!L$16*Ohj.lask.[[#This Row],[%-osuus 3]],0),0)</f>
        <v>212424</v>
      </c>
      <c r="S29" s="157">
        <f>IFERROR(ROUND(VLOOKUP($A29,'2.4 Aloittaneet palaute'!$A:$J,COLUMN('2.4 Aloittaneet palaute'!I:I),FALSE),1),0)</f>
        <v>1917.8</v>
      </c>
      <c r="T29" s="17">
        <f>IFERROR(Ohj.lask.[[#This Row],[Painotetut pisteet 4]]/Ohj.lask.[[#Totals],[Painotetut pisteet 4]],0)</f>
        <v>1.2227264670741146E-3</v>
      </c>
      <c r="U29" s="20">
        <f>ROUND(IFERROR('1.1 Jakotaulu'!M$18*Ohj.lask.[[#This Row],[%-osuus 4]],0),0)</f>
        <v>9390</v>
      </c>
      <c r="V29" s="157">
        <f>IFERROR(ROUND(VLOOKUP($A29,'2.5 Päättäneet palaute'!$A:$Z,COLUMN('2.5 Päättäneet palaute'!Y:Y),FALSE),1),0)</f>
        <v>16963.3</v>
      </c>
      <c r="W29" s="17">
        <f>IFERROR(Ohj.lask.[[#This Row],[Painotetut pisteet 5]]/Ohj.lask.[[#Totals],[Painotetut pisteet 5]],0)</f>
        <v>1.7825791847381719E-3</v>
      </c>
      <c r="X29" s="20">
        <f>ROUND(IFERROR('1.1 Jakotaulu'!M$19*Ohj.lask.[[#This Row],[%-osuus 5]],0),0)</f>
        <v>41069</v>
      </c>
      <c r="Y29" s="157">
        <f>IFERROR(ROUND(VLOOKUP($A29,'2.6 Työpaikkaohjaajakysely'!A:I,COLUMN('2.6 Työpaikkaohjaajakysely'!H:H),FALSE),1),0)</f>
        <v>1577666.9</v>
      </c>
      <c r="Z29" s="13">
        <f>IFERROR(Ohj.lask.[[#This Row],[Painotetut pisteet 6]]/Ohj.lask.[[#Totals],[Painotetut pisteet 6]],0)</f>
        <v>3.9484291231949254E-3</v>
      </c>
      <c r="AA29" s="20">
        <f>ROUND(IFERROR('1.1 Jakotaulu'!M$21*Ohj.lask.[[#This Row],[%-osuus 6]],0),0)</f>
        <v>90968</v>
      </c>
      <c r="AB29" s="157">
        <f>IFERROR(ROUND(VLOOKUP($A29,'2.7 Työpaikkakysely'!A:G,COLUMN('2.7 Työpaikkakysely'!F:F),FALSE),1),0)</f>
        <v>1836948.1</v>
      </c>
      <c r="AC29" s="13">
        <f>IFERROR(Ohj.lask.[[#This Row],[Pisteet 7]]/Ohj.lask.[[#Totals],[Pisteet 7]],0)</f>
        <v>9.6092531765031818E-3</v>
      </c>
      <c r="AD29" s="20">
        <f>ROUND(IFERROR('1.1 Jakotaulu'!M$22*Ohj.lask.[[#This Row],[%-osuus 7]],0),0)</f>
        <v>73796</v>
      </c>
      <c r="AE29" s="16">
        <f>IFERROR(Ohj.lask.[[#This Row],[Jaettava € 8]]/Ohj.lask.[[#Totals],[Jaettava € 8]],"")</f>
        <v>2.2228126831941781E-3</v>
      </c>
      <c r="AF29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4485656</v>
      </c>
      <c r="AG29" s="105">
        <v>0</v>
      </c>
      <c r="AH29" s="105">
        <v>0</v>
      </c>
      <c r="AI29" s="105">
        <v>0</v>
      </c>
      <c r="AJ29" s="105">
        <v>0</v>
      </c>
      <c r="AK29" s="105">
        <v>0</v>
      </c>
      <c r="AL29" s="105">
        <v>0</v>
      </c>
      <c r="AM29" s="105">
        <v>7000</v>
      </c>
      <c r="AN29" s="105">
        <v>0</v>
      </c>
      <c r="AO29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7000</v>
      </c>
      <c r="AP29" s="14">
        <f>Ohj.lask.[[#This Row],[Jaettava € 1]]+Ohj.lask.[[#This Row],[Harkinnanvarainen korotus 9, €]]</f>
        <v>3184335</v>
      </c>
      <c r="AQ29" s="105">
        <f>Ohj.lask.[[#This Row],[Jaettava € 2]]</f>
        <v>880674</v>
      </c>
      <c r="AR29" s="14">
        <f>Ohj.lask.[[#This Row],[Jaettava € 3]]+Ohj.lask.[[#This Row],[Jaettava € 4]]+Ohj.lask.[[#This Row],[Jaettava € 5]]+Ohj.lask.[[#This Row],[Jaettava € 6]]+Ohj.lask.[[#This Row],[Jaettava € 7]]</f>
        <v>427647</v>
      </c>
      <c r="AS29" s="37">
        <f>Ohj.lask.[[#This Row],[Jaettava € 8]]+Ohj.lask.[[#This Row],[Harkinnanvarainen korotus 9, €]]</f>
        <v>4492656</v>
      </c>
      <c r="AT29" s="37">
        <v>328264</v>
      </c>
      <c r="AU29" s="20">
        <f>Ohj.lask.[[#This Row],[Perus-, suoritus- ja vaikuttavuusrahoitus yhteensä, €]]+Ohj.lask.[[#This Row],[Alv-korvaus, €]]</f>
        <v>4820920</v>
      </c>
    </row>
    <row r="30" spans="1:47" ht="13" x14ac:dyDescent="0.3">
      <c r="A30" s="7" t="s">
        <v>308</v>
      </c>
      <c r="B30" s="11" t="s">
        <v>33</v>
      </c>
      <c r="C30" s="11" t="s">
        <v>180</v>
      </c>
      <c r="D30" s="11" t="s">
        <v>337</v>
      </c>
      <c r="E30" s="11" t="s">
        <v>388</v>
      </c>
      <c r="F30" s="109">
        <v>3141</v>
      </c>
      <c r="G30" s="114">
        <f>Ohj.lask.[[#This Row],[Tavoitteelliset opiskelija-vuodet]]-Ohj.lask.[[#This Row],[Järjestämisluvan opisk.vuosien vähimmäismäärä]]</f>
        <v>659</v>
      </c>
      <c r="H30" s="36">
        <v>3800</v>
      </c>
      <c r="I30" s="12">
        <f>IFERROR(VLOOKUP($A30,'2.1 Toteut. op.vuodet'!$A:$T,COLUMN('2.1 Toteut. op.vuodet'!S:S),FALSE),0)</f>
        <v>1.0855476191003499</v>
      </c>
      <c r="J30" s="78">
        <f t="shared" si="0"/>
        <v>4125.1000000000004</v>
      </c>
      <c r="K30" s="13">
        <f>IFERROR(Ohj.lask.[[#This Row],[Painotetut opiskelija-vuodet]]/Ohj.lask.[[#Totals],[Painotetut opiskelija-vuodet]],0)</f>
        <v>1.90956341726259E-2</v>
      </c>
      <c r="L30" s="14">
        <f>ROUND(IFERROR('1.1 Jakotaulu'!L$13*Ohj.lask.[[#This Row],[%-osuus 1]],0),0)</f>
        <v>26803320</v>
      </c>
      <c r="M30" s="157">
        <f>IFERROR(ROUND(VLOOKUP($A30,'2.2 Tutk. ja osien pain. pist.'!$A:$Q,COLUMN('2.2 Tutk. ja osien pain. pist.'!O:O),FALSE),1),0)</f>
        <v>278489.40000000002</v>
      </c>
      <c r="N30" s="13">
        <f>IFERROR(Ohj.lask.[[#This Row],[Painotetut pisteet 2]]/Ohj.lask.[[#Totals],[Painotetut pisteet 2]],0)</f>
        <v>1.7933733023304706E-2</v>
      </c>
      <c r="O30" s="20">
        <f>ROUND(IFERROR('1.1 Jakotaulu'!K$14*Ohj.lask.[[#This Row],[%-osuus 2]],0),0)</f>
        <v>7345334</v>
      </c>
      <c r="P30" s="158">
        <f>IFERROR(ROUND(VLOOKUP($A30,'2.3 Työll. ja jatko-opisk.'!$A:$Z,COLUMN('2.3 Työll. ja jatko-opisk.'!M:M),FALSE),1),0)</f>
        <v>6175.3</v>
      </c>
      <c r="Q30" s="13">
        <f>IFERROR(Ohj.lask.[[#This Row],[Painotetut pisteet 3]]/Ohj.lask.[[#Totals],[Painotetut pisteet 3]],0)</f>
        <v>1.9828070881829477E-2</v>
      </c>
      <c r="R30" s="14">
        <f>ROUND(IFERROR('1.1 Jakotaulu'!L$16*Ohj.lask.[[#This Row],[%-osuus 3]],0),0)</f>
        <v>2842427</v>
      </c>
      <c r="S30" s="157">
        <f>IFERROR(ROUND(VLOOKUP($A30,'2.4 Aloittaneet palaute'!$A:$J,COLUMN('2.4 Aloittaneet palaute'!I:I),FALSE),1),0)</f>
        <v>25995</v>
      </c>
      <c r="T30" s="17">
        <f>IFERROR(Ohj.lask.[[#This Row],[Painotetut pisteet 4]]/Ohj.lask.[[#Totals],[Painotetut pisteet 4]],0)</f>
        <v>1.6573560596303896E-2</v>
      </c>
      <c r="U30" s="20">
        <f>ROUND(IFERROR('1.1 Jakotaulu'!M$18*Ohj.lask.[[#This Row],[%-osuus 4]],0),0)</f>
        <v>127279</v>
      </c>
      <c r="V30" s="157">
        <f>IFERROR(ROUND(VLOOKUP($A30,'2.5 Päättäneet palaute'!$A:$Z,COLUMN('2.5 Päättäneet palaute'!Y:Y),FALSE),1),0)</f>
        <v>164239.5</v>
      </c>
      <c r="W30" s="17">
        <f>IFERROR(Ohj.lask.[[#This Row],[Painotetut pisteet 5]]/Ohj.lask.[[#Totals],[Painotetut pisteet 5]],0)</f>
        <v>1.7259018823684365E-2</v>
      </c>
      <c r="X30" s="20">
        <f>ROUND(IFERROR('1.1 Jakotaulu'!M$19*Ohj.lask.[[#This Row],[%-osuus 5]],0),0)</f>
        <v>397630</v>
      </c>
      <c r="Y30" s="157">
        <f>IFERROR(ROUND(VLOOKUP($A30,'2.6 Työpaikkaohjaajakysely'!A:I,COLUMN('2.6 Työpaikkaohjaajakysely'!H:H),FALSE),1),0)</f>
        <v>5538369.7999999998</v>
      </c>
      <c r="Z30" s="13">
        <f>IFERROR(Ohj.lask.[[#This Row],[Painotetut pisteet 6]]/Ohj.lask.[[#Totals],[Painotetut pisteet 6]],0)</f>
        <v>1.386088572520806E-2</v>
      </c>
      <c r="AA30" s="20">
        <f>ROUND(IFERROR('1.1 Jakotaulu'!M$21*Ohj.lask.[[#This Row],[%-osuus 6]],0),0)</f>
        <v>319341</v>
      </c>
      <c r="AB30" s="157">
        <f>IFERROR(ROUND(VLOOKUP($A30,'2.7 Työpaikkakysely'!A:G,COLUMN('2.7 Työpaikkakysely'!F:F),FALSE),1),0)</f>
        <v>2487420.4</v>
      </c>
      <c r="AC30" s="13">
        <f>IFERROR(Ohj.lask.[[#This Row],[Pisteet 7]]/Ohj.lask.[[#Totals],[Pisteet 7]],0)</f>
        <v>1.3011936689990759E-2</v>
      </c>
      <c r="AD30" s="20">
        <f>ROUND(IFERROR('1.1 Jakotaulu'!M$22*Ohj.lask.[[#This Row],[%-osuus 7]],0),0)</f>
        <v>99927</v>
      </c>
      <c r="AE30" s="16">
        <f>IFERROR(Ohj.lask.[[#This Row],[Jaettava € 8]]/Ohj.lask.[[#Totals],[Jaettava € 8]],"")</f>
        <v>1.879835917481042E-2</v>
      </c>
      <c r="AF30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37935258</v>
      </c>
      <c r="AG30" s="105">
        <v>0</v>
      </c>
      <c r="AH30" s="105">
        <v>0</v>
      </c>
      <c r="AI30" s="105">
        <v>0</v>
      </c>
      <c r="AJ30" s="105">
        <v>0</v>
      </c>
      <c r="AK30" s="105">
        <v>0</v>
      </c>
      <c r="AL30" s="105">
        <v>0</v>
      </c>
      <c r="AM30" s="105">
        <v>62000</v>
      </c>
      <c r="AN30" s="105">
        <v>0</v>
      </c>
      <c r="AO30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62000</v>
      </c>
      <c r="AP30" s="14">
        <f>Ohj.lask.[[#This Row],[Jaettava € 1]]+Ohj.lask.[[#This Row],[Harkinnanvarainen korotus 9, €]]</f>
        <v>26865320</v>
      </c>
      <c r="AQ30" s="105">
        <f>Ohj.lask.[[#This Row],[Jaettava € 2]]</f>
        <v>7345334</v>
      </c>
      <c r="AR30" s="14">
        <f>Ohj.lask.[[#This Row],[Jaettava € 3]]+Ohj.lask.[[#This Row],[Jaettava € 4]]+Ohj.lask.[[#This Row],[Jaettava € 5]]+Ohj.lask.[[#This Row],[Jaettava € 6]]+Ohj.lask.[[#This Row],[Jaettava € 7]]</f>
        <v>3786604</v>
      </c>
      <c r="AS30" s="37">
        <f>Ohj.lask.[[#This Row],[Jaettava € 8]]+Ohj.lask.[[#This Row],[Harkinnanvarainen korotus 9, €]]</f>
        <v>37997258</v>
      </c>
      <c r="AT30" s="37">
        <v>4748850</v>
      </c>
      <c r="AU30" s="20">
        <f>Ohj.lask.[[#This Row],[Perus-, suoritus- ja vaikuttavuusrahoitus yhteensä, €]]+Ohj.lask.[[#This Row],[Alv-korvaus, €]]</f>
        <v>42746108</v>
      </c>
    </row>
    <row r="31" spans="1:47" ht="13" x14ac:dyDescent="0.3">
      <c r="A31" s="7" t="s">
        <v>307</v>
      </c>
      <c r="B31" s="11" t="s">
        <v>34</v>
      </c>
      <c r="C31" s="11" t="s">
        <v>265</v>
      </c>
      <c r="D31" s="11" t="s">
        <v>337</v>
      </c>
      <c r="E31" s="11" t="s">
        <v>388</v>
      </c>
      <c r="F31" s="109">
        <v>456</v>
      </c>
      <c r="G31" s="114">
        <f>Ohj.lask.[[#This Row],[Tavoitteelliset opiskelija-vuodet]]-Ohj.lask.[[#This Row],[Järjestämisluvan opisk.vuosien vähimmäismäärä]]</f>
        <v>32</v>
      </c>
      <c r="H31" s="36">
        <v>488</v>
      </c>
      <c r="I31" s="12">
        <f>IFERROR(VLOOKUP($A31,'2.1 Toteut. op.vuodet'!$A:$T,COLUMN('2.1 Toteut. op.vuodet'!S:S),FALSE),0)</f>
        <v>1.2749076412085105</v>
      </c>
      <c r="J31" s="78">
        <f t="shared" si="0"/>
        <v>622.20000000000005</v>
      </c>
      <c r="K31" s="13">
        <f>IFERROR(Ohj.lask.[[#This Row],[Painotetut opiskelija-vuodet]]/Ohj.lask.[[#Totals],[Painotetut opiskelija-vuodet]],0)</f>
        <v>2.8802461957789711E-3</v>
      </c>
      <c r="L31" s="14">
        <f>ROUND(IFERROR('1.1 Jakotaulu'!L$13*Ohj.lask.[[#This Row],[%-osuus 1]],0),0)</f>
        <v>4042817</v>
      </c>
      <c r="M31" s="157">
        <f>IFERROR(ROUND(VLOOKUP($A31,'2.2 Tutk. ja osien pain. pist.'!$A:$Q,COLUMN('2.2 Tutk. ja osien pain. pist.'!O:O),FALSE),1),0)</f>
        <v>46013.3</v>
      </c>
      <c r="N31" s="13">
        <f>IFERROR(Ohj.lask.[[#This Row],[Painotetut pisteet 2]]/Ohj.lask.[[#Totals],[Painotetut pisteet 2]],0)</f>
        <v>2.9630938833622622E-3</v>
      </c>
      <c r="O31" s="20">
        <f>ROUND(IFERROR('1.1 Jakotaulu'!K$14*Ohj.lask.[[#This Row],[%-osuus 2]],0),0)</f>
        <v>1213630</v>
      </c>
      <c r="P31" s="158">
        <f>IFERROR(ROUND(VLOOKUP($A31,'2.3 Työll. ja jatko-opisk.'!$A:$Z,COLUMN('2.3 Työll. ja jatko-opisk.'!M:M),FALSE),1),0)</f>
        <v>884</v>
      </c>
      <c r="Q31" s="13">
        <f>IFERROR(Ohj.lask.[[#This Row],[Painotetut pisteet 3]]/Ohj.lask.[[#Totals],[Painotetut pisteet 3]],0)</f>
        <v>2.8384069858204877E-3</v>
      </c>
      <c r="R31" s="14">
        <f>ROUND(IFERROR('1.1 Jakotaulu'!L$16*Ohj.lask.[[#This Row],[%-osuus 3]],0),0)</f>
        <v>406896</v>
      </c>
      <c r="S31" s="157">
        <f>IFERROR(ROUND(VLOOKUP($A31,'2.4 Aloittaneet palaute'!$A:$J,COLUMN('2.4 Aloittaneet palaute'!I:I),FALSE),1),0)</f>
        <v>4842.5</v>
      </c>
      <c r="T31" s="17">
        <f>IFERROR(Ohj.lask.[[#This Row],[Painotetut pisteet 4]]/Ohj.lask.[[#Totals],[Painotetut pisteet 4]],0)</f>
        <v>3.0874193955607466E-3</v>
      </c>
      <c r="U31" s="20">
        <f>ROUND(IFERROR('1.1 Jakotaulu'!M$18*Ohj.lask.[[#This Row],[%-osuus 4]],0),0)</f>
        <v>23710</v>
      </c>
      <c r="V31" s="157">
        <f>IFERROR(ROUND(VLOOKUP($A31,'2.5 Päättäneet palaute'!$A:$Z,COLUMN('2.5 Päättäneet palaute'!Y:Y),FALSE),1),0)</f>
        <v>29134.3</v>
      </c>
      <c r="W31" s="17">
        <f>IFERROR(Ohj.lask.[[#This Row],[Painotetut pisteet 5]]/Ohj.lask.[[#Totals],[Painotetut pisteet 5]],0)</f>
        <v>3.061562121869997E-3</v>
      </c>
      <c r="X31" s="20">
        <f>ROUND(IFERROR('1.1 Jakotaulu'!M$19*Ohj.lask.[[#This Row],[%-osuus 5]],0),0)</f>
        <v>70535</v>
      </c>
      <c r="Y31" s="157">
        <f>IFERROR(ROUND(VLOOKUP($A31,'2.6 Työpaikkaohjaajakysely'!A:I,COLUMN('2.6 Työpaikkaohjaajakysely'!H:H),FALSE),1),0)</f>
        <v>1297712.3999999999</v>
      </c>
      <c r="Z31" s="13">
        <f>IFERROR(Ohj.lask.[[#This Row],[Painotetut pisteet 6]]/Ohj.lask.[[#Totals],[Painotetut pisteet 6]],0)</f>
        <v>3.2477866105267098E-3</v>
      </c>
      <c r="AA31" s="20">
        <f>ROUND(IFERROR('1.1 Jakotaulu'!M$21*Ohj.lask.[[#This Row],[%-osuus 6]],0),0)</f>
        <v>74826</v>
      </c>
      <c r="AB31" s="157">
        <f>IFERROR(ROUND(VLOOKUP($A31,'2.7 Työpaikkakysely'!A:G,COLUMN('2.7 Työpaikkakysely'!F:F),FALSE),1),0)</f>
        <v>581513</v>
      </c>
      <c r="AC31" s="13">
        <f>IFERROR(Ohj.lask.[[#This Row],[Pisteet 7]]/Ohj.lask.[[#Totals],[Pisteet 7]],0)</f>
        <v>3.0419507456023909E-3</v>
      </c>
      <c r="AD31" s="20">
        <f>ROUND(IFERROR('1.1 Jakotaulu'!M$22*Ohj.lask.[[#This Row],[%-osuus 7]],0),0)</f>
        <v>23361</v>
      </c>
      <c r="AE31" s="16">
        <f>IFERROR(Ohj.lask.[[#This Row],[Jaettava € 8]]/Ohj.lask.[[#Totals],[Jaettava € 8]],"")</f>
        <v>2.9017586145552374E-3</v>
      </c>
      <c r="AF31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5855775</v>
      </c>
      <c r="AG31" s="105">
        <v>0</v>
      </c>
      <c r="AH31" s="105">
        <v>0</v>
      </c>
      <c r="AI31" s="105">
        <v>0</v>
      </c>
      <c r="AJ31" s="105">
        <v>0</v>
      </c>
      <c r="AK31" s="105">
        <v>0</v>
      </c>
      <c r="AL31" s="105">
        <v>0</v>
      </c>
      <c r="AM31" s="105">
        <v>8000</v>
      </c>
      <c r="AN31" s="105">
        <v>0</v>
      </c>
      <c r="AO31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8000</v>
      </c>
      <c r="AP31" s="14">
        <f>Ohj.lask.[[#This Row],[Jaettava € 1]]+Ohj.lask.[[#This Row],[Harkinnanvarainen korotus 9, €]]</f>
        <v>4050817</v>
      </c>
      <c r="AQ31" s="105">
        <f>Ohj.lask.[[#This Row],[Jaettava € 2]]</f>
        <v>1213630</v>
      </c>
      <c r="AR31" s="14">
        <f>Ohj.lask.[[#This Row],[Jaettava € 3]]+Ohj.lask.[[#This Row],[Jaettava € 4]]+Ohj.lask.[[#This Row],[Jaettava € 5]]+Ohj.lask.[[#This Row],[Jaettava € 6]]+Ohj.lask.[[#This Row],[Jaettava € 7]]</f>
        <v>599328</v>
      </c>
      <c r="AS31" s="37">
        <f>Ohj.lask.[[#This Row],[Jaettava € 8]]+Ohj.lask.[[#This Row],[Harkinnanvarainen korotus 9, €]]</f>
        <v>5863775</v>
      </c>
      <c r="AT31" s="37">
        <v>544435</v>
      </c>
      <c r="AU31" s="20">
        <f>Ohj.lask.[[#This Row],[Perus-, suoritus- ja vaikuttavuusrahoitus yhteensä, €]]+Ohj.lask.[[#This Row],[Alv-korvaus, €]]</f>
        <v>6408210</v>
      </c>
    </row>
    <row r="32" spans="1:47" ht="13" x14ac:dyDescent="0.3">
      <c r="A32" s="7" t="s">
        <v>305</v>
      </c>
      <c r="B32" s="11" t="s">
        <v>35</v>
      </c>
      <c r="C32" s="11" t="s">
        <v>210</v>
      </c>
      <c r="D32" s="11" t="s">
        <v>337</v>
      </c>
      <c r="E32" s="11" t="s">
        <v>388</v>
      </c>
      <c r="F32" s="109">
        <v>36</v>
      </c>
      <c r="G32" s="114">
        <f>Ohj.lask.[[#This Row],[Tavoitteelliset opiskelija-vuodet]]-Ohj.lask.[[#This Row],[Järjestämisluvan opisk.vuosien vähimmäismäärä]]</f>
        <v>6</v>
      </c>
      <c r="H32" s="36">
        <v>42</v>
      </c>
      <c r="I32" s="12">
        <f>IFERROR(VLOOKUP($A32,'2.1 Toteut. op.vuodet'!$A:$T,COLUMN('2.1 Toteut. op.vuodet'!S:S),FALSE),0)</f>
        <v>1.4809404237240367</v>
      </c>
      <c r="J32" s="78">
        <f t="shared" si="0"/>
        <v>62.2</v>
      </c>
      <c r="K32" s="13">
        <f>IFERROR(Ohj.lask.[[#This Row],[Painotetut opiskelija-vuodet]]/Ohj.lask.[[#Totals],[Painotetut opiskelija-vuodet]],0)</f>
        <v>2.8793203692936676E-4</v>
      </c>
      <c r="L32" s="14">
        <f>ROUND(IFERROR('1.1 Jakotaulu'!L$13*Ohj.lask.[[#This Row],[%-osuus 1]],0),0)</f>
        <v>404152</v>
      </c>
      <c r="M32" s="157">
        <f>IFERROR(ROUND(VLOOKUP($A32,'2.2 Tutk. ja osien pain. pist.'!$A:$Q,COLUMN('2.2 Tutk. ja osien pain. pist.'!O:O),FALSE),1),0)</f>
        <v>6380.7</v>
      </c>
      <c r="N32" s="13">
        <f>IFERROR(Ohj.lask.[[#This Row],[Painotetut pisteet 2]]/Ohj.lask.[[#Totals],[Painotetut pisteet 2]],0)</f>
        <v>4.1089452705130004E-4</v>
      </c>
      <c r="O32" s="20">
        <f>ROUND(IFERROR('1.1 Jakotaulu'!K$14*Ohj.lask.[[#This Row],[%-osuus 2]],0),0)</f>
        <v>168295</v>
      </c>
      <c r="P32" s="158">
        <f>IFERROR(ROUND(VLOOKUP($A32,'2.3 Työll. ja jatko-opisk.'!$A:$Z,COLUMN('2.3 Työll. ja jatko-opisk.'!M:M),FALSE),1),0)</f>
        <v>72.099999999999994</v>
      </c>
      <c r="Q32" s="13">
        <f>IFERROR(Ohj.lask.[[#This Row],[Painotetut pisteet 3]]/Ohj.lask.[[#Totals],[Painotetut pisteet 3]],0)</f>
        <v>2.3150355619644473E-4</v>
      </c>
      <c r="R32" s="14">
        <f>ROUND(IFERROR('1.1 Jakotaulu'!L$16*Ohj.lask.[[#This Row],[%-osuus 3]],0),0)</f>
        <v>33187</v>
      </c>
      <c r="S32" s="157">
        <f>IFERROR(ROUND(VLOOKUP($A32,'2.4 Aloittaneet palaute'!$A:$J,COLUMN('2.4 Aloittaneet palaute'!I:I),FALSE),1),0)</f>
        <v>328.3</v>
      </c>
      <c r="T32" s="17">
        <f>IFERROR(Ohj.lask.[[#This Row],[Painotetut pisteet 4]]/Ohj.lask.[[#Totals],[Painotetut pisteet 4]],0)</f>
        <v>2.0931332732319942E-4</v>
      </c>
      <c r="U32" s="20">
        <f>ROUND(IFERROR('1.1 Jakotaulu'!M$18*Ohj.lask.[[#This Row],[%-osuus 4]],0),0)</f>
        <v>1607</v>
      </c>
      <c r="V32" s="157">
        <f>IFERROR(ROUND(VLOOKUP($A32,'2.5 Päättäneet palaute'!$A:$Z,COLUMN('2.5 Päättäneet palaute'!Y:Y),FALSE),1),0)</f>
        <v>3349.7</v>
      </c>
      <c r="W32" s="17">
        <f>IFERROR(Ohj.lask.[[#This Row],[Painotetut pisteet 5]]/Ohj.lask.[[#Totals],[Painotetut pisteet 5]],0)</f>
        <v>3.5200140863614121E-4</v>
      </c>
      <c r="X32" s="20">
        <f>ROUND(IFERROR('1.1 Jakotaulu'!M$19*Ohj.lask.[[#This Row],[%-osuus 5]],0),0)</f>
        <v>8110</v>
      </c>
      <c r="Y32" s="157">
        <f>IFERROR(ROUND(VLOOKUP($A32,'2.6 Työpaikkaohjaajakysely'!A:I,COLUMN('2.6 Työpaikkaohjaajakysely'!H:H),FALSE),1),0)</f>
        <v>37531.199999999997</v>
      </c>
      <c r="Z32" s="13">
        <f>IFERROR(Ohj.lask.[[#This Row],[Painotetut pisteet 6]]/Ohj.lask.[[#Totals],[Painotetut pisteet 6]],0)</f>
        <v>9.3929385923260079E-5</v>
      </c>
      <c r="AA32" s="20">
        <f>ROUND(IFERROR('1.1 Jakotaulu'!M$21*Ohj.lask.[[#This Row],[%-osuus 6]],0),0)</f>
        <v>2164</v>
      </c>
      <c r="AB32" s="157">
        <f>IFERROR(ROUND(VLOOKUP($A32,'2.7 Työpaikkakysely'!A:G,COLUMN('2.7 Työpaikkakysely'!F:F),FALSE),1),0)</f>
        <v>17232</v>
      </c>
      <c r="AC32" s="13">
        <f>IFERROR(Ohj.lask.[[#This Row],[Pisteet 7]]/Ohj.lask.[[#Totals],[Pisteet 7]],0)</f>
        <v>9.0142258639480796E-5</v>
      </c>
      <c r="AD32" s="20">
        <f>ROUND(IFERROR('1.1 Jakotaulu'!M$22*Ohj.lask.[[#This Row],[%-osuus 7]],0),0)</f>
        <v>692</v>
      </c>
      <c r="AE32" s="16">
        <f>IFERROR(Ohj.lask.[[#This Row],[Jaettava € 8]]/Ohj.lask.[[#Totals],[Jaettava € 8]],"")</f>
        <v>3.0634501630072018E-4</v>
      </c>
      <c r="AF32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618207</v>
      </c>
      <c r="AG32" s="105">
        <v>0</v>
      </c>
      <c r="AH32" s="105">
        <v>0</v>
      </c>
      <c r="AI32" s="105">
        <v>0</v>
      </c>
      <c r="AJ32" s="105">
        <v>0</v>
      </c>
      <c r="AK32" s="105">
        <v>0</v>
      </c>
      <c r="AL32" s="105">
        <v>0</v>
      </c>
      <c r="AM32" s="105">
        <v>0</v>
      </c>
      <c r="AN32" s="105">
        <v>0</v>
      </c>
      <c r="AO32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0</v>
      </c>
      <c r="AP32" s="14">
        <f>Ohj.lask.[[#This Row],[Jaettava € 1]]+Ohj.lask.[[#This Row],[Harkinnanvarainen korotus 9, €]]</f>
        <v>404152</v>
      </c>
      <c r="AQ32" s="105">
        <f>Ohj.lask.[[#This Row],[Jaettava € 2]]</f>
        <v>168295</v>
      </c>
      <c r="AR32" s="14">
        <f>Ohj.lask.[[#This Row],[Jaettava € 3]]+Ohj.lask.[[#This Row],[Jaettava € 4]]+Ohj.lask.[[#This Row],[Jaettava € 5]]+Ohj.lask.[[#This Row],[Jaettava € 6]]+Ohj.lask.[[#This Row],[Jaettava € 7]]</f>
        <v>45760</v>
      </c>
      <c r="AS32" s="37">
        <f>Ohj.lask.[[#This Row],[Jaettava € 8]]+Ohj.lask.[[#This Row],[Harkinnanvarainen korotus 9, €]]</f>
        <v>618207</v>
      </c>
      <c r="AT32" s="37">
        <v>37516</v>
      </c>
      <c r="AU32" s="20">
        <f>Ohj.lask.[[#This Row],[Perus-, suoritus- ja vaikuttavuusrahoitus yhteensä, €]]+Ohj.lask.[[#This Row],[Alv-korvaus, €]]</f>
        <v>655723</v>
      </c>
    </row>
    <row r="33" spans="1:47" ht="13" x14ac:dyDescent="0.3">
      <c r="A33" s="7" t="s">
        <v>304</v>
      </c>
      <c r="B33" s="11" t="s">
        <v>36</v>
      </c>
      <c r="C33" s="99" t="s">
        <v>210</v>
      </c>
      <c r="D33" s="99" t="s">
        <v>336</v>
      </c>
      <c r="E33" s="99" t="s">
        <v>388</v>
      </c>
      <c r="F33" s="108">
        <v>1335</v>
      </c>
      <c r="G33" s="114">
        <f>Ohj.lask.[[#This Row],[Tavoitteelliset opiskelija-vuodet]]-Ohj.lask.[[#This Row],[Järjestämisluvan opisk.vuosien vähimmäismäärä]]</f>
        <v>189</v>
      </c>
      <c r="H33" s="36">
        <v>1524</v>
      </c>
      <c r="I33" s="12">
        <f>IFERROR(VLOOKUP($A33,'2.1 Toteut. op.vuodet'!$A:$T,COLUMN('2.1 Toteut. op.vuodet'!S:S),FALSE),0)</f>
        <v>1.0785576060078517</v>
      </c>
      <c r="J33" s="78">
        <f t="shared" si="0"/>
        <v>1643.7</v>
      </c>
      <c r="K33" s="13">
        <f>IFERROR(Ohj.lask.[[#This Row],[Painotetut opiskelija-vuodet]]/Ohj.lask.[[#Totals],[Painotetut opiskelija-vuodet]],0)</f>
        <v>7.6089049694662405E-3</v>
      </c>
      <c r="L33" s="14">
        <f>ROUND(IFERROR('1.1 Jakotaulu'!L$13*Ohj.lask.[[#This Row],[%-osuus 1]],0),0)</f>
        <v>10680133</v>
      </c>
      <c r="M33" s="157">
        <f>IFERROR(ROUND(VLOOKUP($A33,'2.2 Tutk. ja osien pain. pist.'!$A:$Q,COLUMN('2.2 Tutk. ja osien pain. pist.'!O:O),FALSE),1),0)</f>
        <v>155621.6</v>
      </c>
      <c r="N33" s="13">
        <f>IFERROR(Ohj.lask.[[#This Row],[Painotetut pisteet 2]]/Ohj.lask.[[#Totals],[Painotetut pisteet 2]],0)</f>
        <v>1.0021480986563637E-2</v>
      </c>
      <c r="O33" s="20">
        <f>ROUND(IFERROR('1.1 Jakotaulu'!K$14*Ohj.lask.[[#This Row],[%-osuus 2]],0),0)</f>
        <v>4104618</v>
      </c>
      <c r="P33" s="158">
        <f>IFERROR(ROUND(VLOOKUP($A33,'2.3 Työll. ja jatko-opisk.'!$A:$Z,COLUMN('2.3 Työll. ja jatko-opisk.'!M:M),FALSE),1),0)</f>
        <v>3626.6</v>
      </c>
      <c r="Q33" s="17">
        <f>IFERROR(Ohj.lask.[[#This Row],[Painotetut pisteet 3]]/Ohj.lask.[[#Totals],[Painotetut pisteet 3]],0)</f>
        <v>1.164453255065224E-2</v>
      </c>
      <c r="R33" s="14">
        <f>ROUND(IFERROR('1.1 Jakotaulu'!L$16*Ohj.lask.[[#This Row],[%-osuus 3]],0),0)</f>
        <v>1669287</v>
      </c>
      <c r="S33" s="157">
        <f>IFERROR(ROUND(VLOOKUP($A33,'2.4 Aloittaneet palaute'!$A:$J,COLUMN('2.4 Aloittaneet palaute'!I:I),FALSE),1),0)</f>
        <v>22465.5</v>
      </c>
      <c r="T33" s="17">
        <f>IFERROR(Ohj.lask.[[#This Row],[Painotetut pisteet 4]]/Ohj.lask.[[#Totals],[Painotetut pisteet 4]],0)</f>
        <v>1.4323266996586466E-2</v>
      </c>
      <c r="U33" s="20">
        <f>ROUND(IFERROR('1.1 Jakotaulu'!M$18*Ohj.lask.[[#This Row],[%-osuus 4]],0),0)</f>
        <v>109998</v>
      </c>
      <c r="V33" s="157">
        <f>IFERROR(ROUND(VLOOKUP($A33,'2.5 Päättäneet palaute'!$A:$Z,COLUMN('2.5 Päättäneet palaute'!Y:Y),FALSE),1),0)</f>
        <v>114622</v>
      </c>
      <c r="W33" s="17">
        <f>IFERROR(Ohj.lask.[[#This Row],[Painotetut pisteet 5]]/Ohj.lask.[[#Totals],[Painotetut pisteet 5]],0)</f>
        <v>1.2044990733705043E-2</v>
      </c>
      <c r="X33" s="20">
        <f>ROUND(IFERROR('1.1 Jakotaulu'!M$19*Ohj.lask.[[#This Row],[%-osuus 5]],0),0)</f>
        <v>277504</v>
      </c>
      <c r="Y33" s="157">
        <f>IFERROR(ROUND(VLOOKUP($A33,'2.6 Työpaikkaohjaajakysely'!A:I,COLUMN('2.6 Työpaikkaohjaajakysely'!H:H),FALSE),1),0)</f>
        <v>2737889.7</v>
      </c>
      <c r="Z33" s="13">
        <f>IFERROR(Ohj.lask.[[#This Row],[Painotetut pisteet 6]]/Ohj.lask.[[#Totals],[Painotetut pisteet 6]],0)</f>
        <v>6.8521203224682081E-3</v>
      </c>
      <c r="AA33" s="20">
        <f>ROUND(IFERROR('1.1 Jakotaulu'!M$21*Ohj.lask.[[#This Row],[%-osuus 6]],0),0)</f>
        <v>157866</v>
      </c>
      <c r="AB33" s="157">
        <f>IFERROR(ROUND(VLOOKUP($A33,'2.7 Työpaikkakysely'!A:G,COLUMN('2.7 Työpaikkakysely'!F:F),FALSE),1),0)</f>
        <v>3016052.6</v>
      </c>
      <c r="AC33" s="13">
        <f>IFERROR(Ohj.lask.[[#This Row],[Pisteet 7]]/Ohj.lask.[[#Totals],[Pisteet 7]],0)</f>
        <v>1.5777262856283572E-2</v>
      </c>
      <c r="AD33" s="20">
        <f>ROUND(IFERROR('1.1 Jakotaulu'!M$22*Ohj.lask.[[#This Row],[%-osuus 7]],0),0)</f>
        <v>121164</v>
      </c>
      <c r="AE33" s="16">
        <f>IFERROR(Ohj.lask.[[#This Row],[Jaettava € 8]]/Ohj.lask.[[#Totals],[Jaettava € 8]],"")</f>
        <v>8.4838917963200363E-3</v>
      </c>
      <c r="AF33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17120570</v>
      </c>
      <c r="AG33" s="105">
        <v>0</v>
      </c>
      <c r="AH33" s="105">
        <v>0</v>
      </c>
      <c r="AI33" s="105">
        <v>0</v>
      </c>
      <c r="AJ33" s="105">
        <v>0</v>
      </c>
      <c r="AK33" s="105">
        <v>0</v>
      </c>
      <c r="AL33" s="105">
        <v>0</v>
      </c>
      <c r="AM33" s="105">
        <v>30000</v>
      </c>
      <c r="AN33" s="105">
        <v>0</v>
      </c>
      <c r="AO33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30000</v>
      </c>
      <c r="AP33" s="14">
        <f>Ohj.lask.[[#This Row],[Jaettava € 1]]+Ohj.lask.[[#This Row],[Harkinnanvarainen korotus 9, €]]</f>
        <v>10710133</v>
      </c>
      <c r="AQ33" s="105">
        <f>Ohj.lask.[[#This Row],[Jaettava € 2]]</f>
        <v>4104618</v>
      </c>
      <c r="AR33" s="14">
        <f>Ohj.lask.[[#This Row],[Jaettava € 3]]+Ohj.lask.[[#This Row],[Jaettava € 4]]+Ohj.lask.[[#This Row],[Jaettava € 5]]+Ohj.lask.[[#This Row],[Jaettava € 6]]+Ohj.lask.[[#This Row],[Jaettava € 7]]</f>
        <v>2335819</v>
      </c>
      <c r="AS33" s="37">
        <f>Ohj.lask.[[#This Row],[Jaettava € 8]]+Ohj.lask.[[#This Row],[Harkinnanvarainen korotus 9, €]]</f>
        <v>17150570</v>
      </c>
      <c r="AT33" s="37">
        <v>0</v>
      </c>
      <c r="AU33" s="20">
        <f>Ohj.lask.[[#This Row],[Perus-, suoritus- ja vaikuttavuusrahoitus yhteensä, €]]+Ohj.lask.[[#This Row],[Alv-korvaus, €]]</f>
        <v>17150570</v>
      </c>
    </row>
    <row r="34" spans="1:47" ht="13" x14ac:dyDescent="0.3">
      <c r="A34" s="7" t="s">
        <v>303</v>
      </c>
      <c r="B34" s="11" t="s">
        <v>37</v>
      </c>
      <c r="C34" s="11" t="s">
        <v>251</v>
      </c>
      <c r="D34" s="11" t="s">
        <v>337</v>
      </c>
      <c r="E34" s="11" t="s">
        <v>388</v>
      </c>
      <c r="F34" s="109">
        <v>64</v>
      </c>
      <c r="G34" s="114">
        <f>Ohj.lask.[[#This Row],[Tavoitteelliset opiskelija-vuodet]]-Ohj.lask.[[#This Row],[Järjestämisluvan opisk.vuosien vähimmäismäärä]]</f>
        <v>21</v>
      </c>
      <c r="H34" s="36">
        <v>85</v>
      </c>
      <c r="I34" s="12">
        <f>IFERROR(VLOOKUP($A34,'2.1 Toteut. op.vuodet'!$A:$T,COLUMN('2.1 Toteut. op.vuodet'!S:S),FALSE),0)</f>
        <v>0.75812085917411554</v>
      </c>
      <c r="J34" s="78">
        <f t="shared" si="0"/>
        <v>64.400000000000006</v>
      </c>
      <c r="K34" s="13">
        <f>IFERROR(Ohj.lask.[[#This Row],[Painotetut opiskelija-vuodet]]/Ohj.lask.[[#Totals],[Painotetut opiskelija-vuodet]],0)</f>
        <v>2.9811612826770453E-4</v>
      </c>
      <c r="L34" s="14">
        <f>ROUND(IFERROR('1.1 Jakotaulu'!L$13*Ohj.lask.[[#This Row],[%-osuus 1]],0),0)</f>
        <v>418447</v>
      </c>
      <c r="M34" s="157">
        <f>IFERROR(ROUND(VLOOKUP($A34,'2.2 Tutk. ja osien pain. pist.'!$A:$Q,COLUMN('2.2 Tutk. ja osien pain. pist.'!O:O),FALSE),1),0)</f>
        <v>6427.7</v>
      </c>
      <c r="N34" s="13">
        <f>IFERROR(Ohj.lask.[[#This Row],[Painotetut pisteet 2]]/Ohj.lask.[[#Totals],[Painotetut pisteet 2]],0)</f>
        <v>4.1392116092711477E-4</v>
      </c>
      <c r="O34" s="20">
        <f>ROUND(IFERROR('1.1 Jakotaulu'!K$14*Ohj.lask.[[#This Row],[%-osuus 2]],0),0)</f>
        <v>169535</v>
      </c>
      <c r="P34" s="158">
        <f>IFERROR(ROUND(VLOOKUP($A34,'2.3 Työll. ja jatko-opisk.'!$A:$Z,COLUMN('2.3 Työll. ja jatko-opisk.'!M:M),FALSE),1),0)</f>
        <v>206.1</v>
      </c>
      <c r="Q34" s="13">
        <f>IFERROR(Ohj.lask.[[#This Row],[Painotetut pisteet 3]]/Ohj.lask.[[#Totals],[Painotetut pisteet 3]],0)</f>
        <v>6.6175981875294396E-4</v>
      </c>
      <c r="R34" s="14">
        <f>ROUND(IFERROR('1.1 Jakotaulu'!L$16*Ohj.lask.[[#This Row],[%-osuus 3]],0),0)</f>
        <v>94866</v>
      </c>
      <c r="S34" s="157">
        <f>IFERROR(ROUND(VLOOKUP($A34,'2.4 Aloittaneet palaute'!$A:$J,COLUMN('2.4 Aloittaneet palaute'!I:I),FALSE),1),0)</f>
        <v>1597.6</v>
      </c>
      <c r="T34" s="17">
        <f>IFERROR(Ohj.lask.[[#This Row],[Painotetut pisteet 4]]/Ohj.lask.[[#Totals],[Painotetut pisteet 4]],0)</f>
        <v>1.018577434454899E-3</v>
      </c>
      <c r="U34" s="20">
        <f>ROUND(IFERROR('1.1 Jakotaulu'!M$18*Ohj.lask.[[#This Row],[%-osuus 4]],0),0)</f>
        <v>7822</v>
      </c>
      <c r="V34" s="157">
        <f>IFERROR(ROUND(VLOOKUP($A34,'2.5 Päättäneet palaute'!$A:$Z,COLUMN('2.5 Päättäneet palaute'!Y:Y),FALSE),1),0)</f>
        <v>11651.6</v>
      </c>
      <c r="W34" s="17">
        <f>IFERROR(Ohj.lask.[[#This Row],[Painotetut pisteet 5]]/Ohj.lask.[[#Totals],[Painotetut pisteet 5]],0)</f>
        <v>1.2244020696972455E-3</v>
      </c>
      <c r="X34" s="20">
        <f>ROUND(IFERROR('1.1 Jakotaulu'!M$19*Ohj.lask.[[#This Row],[%-osuus 5]],0),0)</f>
        <v>28209</v>
      </c>
      <c r="Y34" s="157">
        <f>IFERROR(ROUND(VLOOKUP($A34,'2.6 Työpaikkaohjaajakysely'!A:I,COLUMN('2.6 Työpaikkaohjaajakysely'!H:H),FALSE),1),0)</f>
        <v>125352.2</v>
      </c>
      <c r="Z34" s="13">
        <f>IFERROR(Ohj.lask.[[#This Row],[Painotetut pisteet 6]]/Ohj.lask.[[#Totals],[Painotetut pisteet 6]],0)</f>
        <v>3.1371912355932354E-4</v>
      </c>
      <c r="AA34" s="20">
        <f>ROUND(IFERROR('1.1 Jakotaulu'!M$21*Ohj.lask.[[#This Row],[%-osuus 6]],0),0)</f>
        <v>7228</v>
      </c>
      <c r="AB34" s="157">
        <f>IFERROR(ROUND(VLOOKUP($A34,'2.7 Työpaikkakysely'!A:G,COLUMN('2.7 Työpaikkakysely'!F:F),FALSE),1),0)</f>
        <v>28874</v>
      </c>
      <c r="AC34" s="13">
        <f>IFERROR(Ohj.lask.[[#This Row],[Pisteet 7]]/Ohj.lask.[[#Totals],[Pisteet 7]],0)</f>
        <v>1.5104268662699446E-4</v>
      </c>
      <c r="AD34" s="20">
        <f>ROUND(IFERROR('1.1 Jakotaulu'!M$22*Ohj.lask.[[#This Row],[%-osuus 7]],0),0)</f>
        <v>1160</v>
      </c>
      <c r="AE34" s="16">
        <f>IFERROR(Ohj.lask.[[#This Row],[Jaettava € 8]]/Ohj.lask.[[#Totals],[Jaettava € 8]],"")</f>
        <v>3.6038838280701423E-4</v>
      </c>
      <c r="AF34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727267</v>
      </c>
      <c r="AG34" s="105">
        <v>0</v>
      </c>
      <c r="AH34" s="105">
        <v>0</v>
      </c>
      <c r="AI34" s="105">
        <v>0</v>
      </c>
      <c r="AJ34" s="105">
        <v>0</v>
      </c>
      <c r="AK34" s="105">
        <v>0</v>
      </c>
      <c r="AL34" s="105">
        <v>0</v>
      </c>
      <c r="AM34" s="105">
        <v>0</v>
      </c>
      <c r="AN34" s="105">
        <v>0</v>
      </c>
      <c r="AO34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0</v>
      </c>
      <c r="AP34" s="14">
        <f>Ohj.lask.[[#This Row],[Jaettava € 1]]+Ohj.lask.[[#This Row],[Harkinnanvarainen korotus 9, €]]</f>
        <v>418447</v>
      </c>
      <c r="AQ34" s="105">
        <f>Ohj.lask.[[#This Row],[Jaettava € 2]]</f>
        <v>169535</v>
      </c>
      <c r="AR34" s="14">
        <f>Ohj.lask.[[#This Row],[Jaettava € 3]]+Ohj.lask.[[#This Row],[Jaettava € 4]]+Ohj.lask.[[#This Row],[Jaettava € 5]]+Ohj.lask.[[#This Row],[Jaettava € 6]]+Ohj.lask.[[#This Row],[Jaettava € 7]]</f>
        <v>139285</v>
      </c>
      <c r="AS34" s="37">
        <f>Ohj.lask.[[#This Row],[Jaettava € 8]]+Ohj.lask.[[#This Row],[Harkinnanvarainen korotus 9, €]]</f>
        <v>727267</v>
      </c>
      <c r="AT34" s="37">
        <v>23031</v>
      </c>
      <c r="AU34" s="20">
        <f>Ohj.lask.[[#This Row],[Perus-, suoritus- ja vaikuttavuusrahoitus yhteensä, €]]+Ohj.lask.[[#This Row],[Alv-korvaus, €]]</f>
        <v>750298</v>
      </c>
    </row>
    <row r="35" spans="1:47" ht="13" x14ac:dyDescent="0.3">
      <c r="A35" s="7" t="s">
        <v>300</v>
      </c>
      <c r="B35" s="11" t="s">
        <v>38</v>
      </c>
      <c r="C35" s="11" t="s">
        <v>251</v>
      </c>
      <c r="D35" s="11" t="s">
        <v>338</v>
      </c>
      <c r="E35" s="11" t="s">
        <v>388</v>
      </c>
      <c r="F35" s="109">
        <v>50</v>
      </c>
      <c r="G35" s="114">
        <f>Ohj.lask.[[#This Row],[Tavoitteelliset opiskelija-vuodet]]-Ohj.lask.[[#This Row],[Järjestämisluvan opisk.vuosien vähimmäismäärä]]</f>
        <v>7</v>
      </c>
      <c r="H35" s="36">
        <v>57</v>
      </c>
      <c r="I35" s="12">
        <f>IFERROR(VLOOKUP($A35,'2.1 Toteut. op.vuodet'!$A:$T,COLUMN('2.1 Toteut. op.vuodet'!S:S),FALSE),0)</f>
        <v>1.4742633347531799</v>
      </c>
      <c r="J35" s="78">
        <f t="shared" si="0"/>
        <v>84</v>
      </c>
      <c r="K35" s="13">
        <f>IFERROR(Ohj.lask.[[#This Row],[Painotetut opiskelija-vuodet]]/Ohj.lask.[[#Totals],[Painotetut opiskelija-vuodet]],0)</f>
        <v>3.8884712382744065E-4</v>
      </c>
      <c r="L35" s="14">
        <f>ROUND(IFERROR('1.1 Jakotaulu'!L$13*Ohj.lask.[[#This Row],[%-osuus 1]],0),0)</f>
        <v>545800</v>
      </c>
      <c r="M35" s="157">
        <f>IFERROR(ROUND(VLOOKUP($A35,'2.2 Tutk. ja osien pain. pist.'!$A:$Q,COLUMN('2.2 Tutk. ja osien pain. pist.'!O:O),FALSE),1),0)</f>
        <v>4889.6000000000004</v>
      </c>
      <c r="N35" s="13">
        <f>IFERROR(Ohj.lask.[[#This Row],[Painotetut pisteet 2]]/Ohj.lask.[[#Totals],[Painotetut pisteet 2]],0)</f>
        <v>3.1487295742944145E-4</v>
      </c>
      <c r="O35" s="20">
        <f>ROUND(IFERROR('1.1 Jakotaulu'!K$14*Ohj.lask.[[#This Row],[%-osuus 2]],0),0)</f>
        <v>128966</v>
      </c>
      <c r="P35" s="158">
        <f>IFERROR(ROUND(VLOOKUP($A35,'2.3 Työll. ja jatko-opisk.'!$A:$Z,COLUMN('2.3 Työll. ja jatko-opisk.'!M:M),FALSE),1),0)</f>
        <v>126.5</v>
      </c>
      <c r="Q35" s="13">
        <f>IFERROR(Ohj.lask.[[#This Row],[Painotetut pisteet 3]]/Ohj.lask.[[#Totals],[Painotetut pisteet 3]],0)</f>
        <v>4.0617475532385937E-4</v>
      </c>
      <c r="R35" s="14">
        <f>ROUND(IFERROR('1.1 Jakotaulu'!L$16*Ohj.lask.[[#This Row],[%-osuus 3]],0),0)</f>
        <v>58227</v>
      </c>
      <c r="S35" s="157">
        <f>IFERROR(ROUND(VLOOKUP($A35,'2.4 Aloittaneet palaute'!$A:$J,COLUMN('2.4 Aloittaneet palaute'!I:I),FALSE),1),0)</f>
        <v>257.39999999999998</v>
      </c>
      <c r="T35" s="13">
        <f>IFERROR(Ohj.lask.[[#This Row],[Painotetut pisteet 4]]/Ohj.lask.[[#Totals],[Painotetut pisteet 4]],0)</f>
        <v>1.6410980948215512E-4</v>
      </c>
      <c r="U35" s="20">
        <f>ROUND(IFERROR('1.1 Jakotaulu'!M$18*Ohj.lask.[[#This Row],[%-osuus 4]],0),0)</f>
        <v>1260</v>
      </c>
      <c r="V35" s="157">
        <f>IFERROR(ROUND(VLOOKUP($A35,'2.5 Päättäneet palaute'!$A:$Z,COLUMN('2.5 Päättäneet palaute'!Y:Y),FALSE),1),0)</f>
        <v>1499.1</v>
      </c>
      <c r="W35" s="13">
        <f>IFERROR(Ohj.lask.[[#This Row],[Painotetut pisteet 5]]/Ohj.lask.[[#Totals],[Painotetut pisteet 5]],0)</f>
        <v>1.5753211084169904E-4</v>
      </c>
      <c r="X35" s="20">
        <f>ROUND(IFERROR('1.1 Jakotaulu'!M$19*Ohj.lask.[[#This Row],[%-osuus 5]],0),0)</f>
        <v>3629</v>
      </c>
      <c r="Y35" s="157">
        <f>IFERROR(ROUND(VLOOKUP($A35,'2.6 Työpaikkaohjaajakysely'!A:I,COLUMN('2.6 Työpaikkaohjaajakysely'!H:H),FALSE),1),0)</f>
        <v>30594.9</v>
      </c>
      <c r="Z35" s="13">
        <f>IFERROR(Ohj.lask.[[#This Row],[Painotetut pisteet 6]]/Ohj.lask.[[#Totals],[Painotetut pisteet 6]],0)</f>
        <v>7.6569898361457942E-5</v>
      </c>
      <c r="AA35" s="20">
        <f>ROUND(IFERROR('1.1 Jakotaulu'!M$21*Ohj.lask.[[#This Row],[%-osuus 6]],0),0)</f>
        <v>1764</v>
      </c>
      <c r="AB35" s="157">
        <f>IFERROR(ROUND(VLOOKUP($A35,'2.7 Työpaikkakysely'!A:G,COLUMN('2.7 Työpaikkakysely'!F:F),FALSE),1),0)</f>
        <v>0</v>
      </c>
      <c r="AC35" s="13">
        <f>IFERROR(Ohj.lask.[[#This Row],[Pisteet 7]]/Ohj.lask.[[#Totals],[Pisteet 7]],0)</f>
        <v>0</v>
      </c>
      <c r="AD35" s="20">
        <f>ROUND(IFERROR('1.1 Jakotaulu'!M$22*Ohj.lask.[[#This Row],[%-osuus 7]],0),0)</f>
        <v>0</v>
      </c>
      <c r="AE35" s="16">
        <f>IFERROR(Ohj.lask.[[#This Row],[Jaettava € 8]]/Ohj.lask.[[#Totals],[Jaettava € 8]],"")</f>
        <v>3.6652264682664941E-4</v>
      </c>
      <c r="AF35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739646</v>
      </c>
      <c r="AG35" s="105">
        <v>0</v>
      </c>
      <c r="AH35" s="105">
        <v>0</v>
      </c>
      <c r="AI35" s="105">
        <v>0</v>
      </c>
      <c r="AJ35" s="105">
        <v>0</v>
      </c>
      <c r="AK35" s="105">
        <v>0</v>
      </c>
      <c r="AL35" s="105">
        <v>0</v>
      </c>
      <c r="AM35" s="105">
        <v>0</v>
      </c>
      <c r="AN35" s="105">
        <v>0</v>
      </c>
      <c r="AO35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0</v>
      </c>
      <c r="AP35" s="14">
        <f>Ohj.lask.[[#This Row],[Jaettava € 1]]+Ohj.lask.[[#This Row],[Harkinnanvarainen korotus 9, €]]</f>
        <v>545800</v>
      </c>
      <c r="AQ35" s="105">
        <f>Ohj.lask.[[#This Row],[Jaettava € 2]]</f>
        <v>128966</v>
      </c>
      <c r="AR35" s="14">
        <f>Ohj.lask.[[#This Row],[Jaettava € 3]]+Ohj.lask.[[#This Row],[Jaettava € 4]]+Ohj.lask.[[#This Row],[Jaettava € 5]]+Ohj.lask.[[#This Row],[Jaettava € 6]]+Ohj.lask.[[#This Row],[Jaettava € 7]]</f>
        <v>64880</v>
      </c>
      <c r="AS35" s="37">
        <f>Ohj.lask.[[#This Row],[Jaettava € 8]]+Ohj.lask.[[#This Row],[Harkinnanvarainen korotus 9, €]]</f>
        <v>739646</v>
      </c>
      <c r="AT35" s="37">
        <v>0</v>
      </c>
      <c r="AU35" s="20">
        <f>Ohj.lask.[[#This Row],[Perus-, suoritus- ja vaikuttavuusrahoitus yhteensä, €]]+Ohj.lask.[[#This Row],[Alv-korvaus, €]]</f>
        <v>739646</v>
      </c>
    </row>
    <row r="36" spans="1:47" ht="13" x14ac:dyDescent="0.3">
      <c r="A36" s="7" t="s">
        <v>299</v>
      </c>
      <c r="B36" s="11" t="s">
        <v>39</v>
      </c>
      <c r="C36" s="11" t="s">
        <v>187</v>
      </c>
      <c r="D36" s="11" t="s">
        <v>336</v>
      </c>
      <c r="E36" s="11" t="s">
        <v>388</v>
      </c>
      <c r="F36" s="109">
        <v>2698</v>
      </c>
      <c r="G36" s="114">
        <f>Ohj.lask.[[#This Row],[Tavoitteelliset opiskelija-vuodet]]-Ohj.lask.[[#This Row],[Järjestämisluvan opisk.vuosien vähimmäismäärä]]</f>
        <v>35</v>
      </c>
      <c r="H36" s="36">
        <v>2733</v>
      </c>
      <c r="I36" s="12">
        <f>IFERROR(VLOOKUP($A36,'2.1 Toteut. op.vuodet'!$A:$T,COLUMN('2.1 Toteut. op.vuodet'!S:S),FALSE),0)</f>
        <v>1.1591012553664763</v>
      </c>
      <c r="J36" s="78">
        <f t="shared" si="0"/>
        <v>3167.8</v>
      </c>
      <c r="K36" s="13">
        <f>IFERROR(Ohj.lask.[[#This Row],[Painotetut opiskelija-vuodet]]/Ohj.lask.[[#Totals],[Painotetut opiskelija-vuodet]],0)</f>
        <v>1.466416570072103E-2</v>
      </c>
      <c r="L36" s="14">
        <f>ROUND(IFERROR('1.1 Jakotaulu'!L$13*Ohj.lask.[[#This Row],[%-osuus 1]],0),0)</f>
        <v>20583151</v>
      </c>
      <c r="M36" s="157">
        <f>IFERROR(ROUND(VLOOKUP($A36,'2.2 Tutk. ja osien pain. pist.'!$A:$Q,COLUMN('2.2 Tutk. ja osien pain. pist.'!O:O),FALSE),1),0)</f>
        <v>234242</v>
      </c>
      <c r="N36" s="13">
        <f>IFERROR(Ohj.lask.[[#This Row],[Painotetut pisteet 2]]/Ohj.lask.[[#Totals],[Painotetut pisteet 2]],0)</f>
        <v>1.5084356858268E-2</v>
      </c>
      <c r="O36" s="20">
        <f>ROUND(IFERROR('1.1 Jakotaulu'!K$14*Ohj.lask.[[#This Row],[%-osuus 2]],0),0)</f>
        <v>6178281</v>
      </c>
      <c r="P36" s="158">
        <f>IFERROR(ROUND(VLOOKUP($A36,'2.3 Työll. ja jatko-opisk.'!$A:$Z,COLUMN('2.3 Työll. ja jatko-opisk.'!M:M),FALSE),1),0)</f>
        <v>5444.9</v>
      </c>
      <c r="Q36" s="13">
        <f>IFERROR(Ohj.lask.[[#This Row],[Painotetut pisteet 3]]/Ohj.lask.[[#Totals],[Painotetut pisteet 3]],0)</f>
        <v>1.7482853164133453E-2</v>
      </c>
      <c r="R36" s="14">
        <f>ROUND(IFERROR('1.1 Jakotaulu'!L$16*Ohj.lask.[[#This Row],[%-osuus 3]],0),0)</f>
        <v>2506232</v>
      </c>
      <c r="S36" s="157">
        <f>IFERROR(ROUND(VLOOKUP($A36,'2.4 Aloittaneet palaute'!$A:$J,COLUMN('2.4 Aloittaneet palaute'!I:I),FALSE),1),0)</f>
        <v>26412</v>
      </c>
      <c r="T36" s="17">
        <f>IFERROR(Ohj.lask.[[#This Row],[Painotetut pisteet 4]]/Ohj.lask.[[#Totals],[Painotetut pisteet 4]],0)</f>
        <v>1.6839426138471954E-2</v>
      </c>
      <c r="U36" s="20">
        <f>ROUND(IFERROR('1.1 Jakotaulu'!M$18*Ohj.lask.[[#This Row],[%-osuus 4]],0),0)</f>
        <v>129321</v>
      </c>
      <c r="V36" s="157">
        <f>IFERROR(ROUND(VLOOKUP($A36,'2.5 Päättäneet palaute'!$A:$Z,COLUMN('2.5 Päättäneet palaute'!Y:Y),FALSE),1),0)</f>
        <v>141217.9</v>
      </c>
      <c r="W36" s="17">
        <f>IFERROR(Ohj.lask.[[#This Row],[Painotetut pisteet 5]]/Ohj.lask.[[#Totals],[Painotetut pisteet 5]],0)</f>
        <v>1.483980646763523E-2</v>
      </c>
      <c r="X36" s="20">
        <f>ROUND(IFERROR('1.1 Jakotaulu'!M$19*Ohj.lask.[[#This Row],[%-osuus 5]],0),0)</f>
        <v>341894</v>
      </c>
      <c r="Y36" s="157">
        <f>IFERROR(ROUND(VLOOKUP($A36,'2.6 Työpaikkaohjaajakysely'!A:I,COLUMN('2.6 Työpaikkaohjaajakysely'!H:H),FALSE),1),0)</f>
        <v>7249150.2000000002</v>
      </c>
      <c r="Z36" s="13">
        <f>IFERROR(Ohj.lask.[[#This Row],[Painotetut pisteet 6]]/Ohj.lask.[[#Totals],[Painotetut pisteet 6]],0)</f>
        <v>1.8142458188160199E-2</v>
      </c>
      <c r="AA36" s="20">
        <f>ROUND(IFERROR('1.1 Jakotaulu'!M$21*Ohj.lask.[[#This Row],[%-osuus 6]],0),0)</f>
        <v>417984</v>
      </c>
      <c r="AB36" s="157">
        <f>IFERROR(ROUND(VLOOKUP($A36,'2.7 Työpaikkakysely'!A:G,COLUMN('2.7 Työpaikkakysely'!F:F),FALSE),1),0)</f>
        <v>3832215.3</v>
      </c>
      <c r="AC36" s="13">
        <f>IFERROR(Ohj.lask.[[#This Row],[Pisteet 7]]/Ohj.lask.[[#Totals],[Pisteet 7]],0)</f>
        <v>2.0046688877366266E-2</v>
      </c>
      <c r="AD36" s="20">
        <f>ROUND(IFERROR('1.1 Jakotaulu'!M$22*Ohj.lask.[[#This Row],[%-osuus 7]],0),0)</f>
        <v>153952</v>
      </c>
      <c r="AE36" s="16">
        <f>IFERROR(Ohj.lask.[[#This Row],[Jaettava € 8]]/Ohj.lask.[[#Totals],[Jaettava € 8]],"")</f>
        <v>1.5020158482940364E-2</v>
      </c>
      <c r="AF36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30310815</v>
      </c>
      <c r="AG36" s="105">
        <v>0</v>
      </c>
      <c r="AH36" s="105">
        <v>0</v>
      </c>
      <c r="AI36" s="105">
        <v>0</v>
      </c>
      <c r="AJ36" s="105">
        <v>0</v>
      </c>
      <c r="AK36" s="105">
        <v>0</v>
      </c>
      <c r="AL36" s="105">
        <v>0</v>
      </c>
      <c r="AM36" s="105">
        <v>46000</v>
      </c>
      <c r="AN36" s="105">
        <v>0</v>
      </c>
      <c r="AO36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46000</v>
      </c>
      <c r="AP36" s="14">
        <f>Ohj.lask.[[#This Row],[Jaettava € 1]]+Ohj.lask.[[#This Row],[Harkinnanvarainen korotus 9, €]]</f>
        <v>20629151</v>
      </c>
      <c r="AQ36" s="105">
        <f>Ohj.lask.[[#This Row],[Jaettava € 2]]</f>
        <v>6178281</v>
      </c>
      <c r="AR36" s="14">
        <f>Ohj.lask.[[#This Row],[Jaettava € 3]]+Ohj.lask.[[#This Row],[Jaettava € 4]]+Ohj.lask.[[#This Row],[Jaettava € 5]]+Ohj.lask.[[#This Row],[Jaettava € 6]]+Ohj.lask.[[#This Row],[Jaettava € 7]]</f>
        <v>3549383</v>
      </c>
      <c r="AS36" s="37">
        <f>Ohj.lask.[[#This Row],[Jaettava € 8]]+Ohj.lask.[[#This Row],[Harkinnanvarainen korotus 9, €]]</f>
        <v>30356815</v>
      </c>
      <c r="AT36" s="37">
        <v>0</v>
      </c>
      <c r="AU36" s="20">
        <f>Ohj.lask.[[#This Row],[Perus-, suoritus- ja vaikuttavuusrahoitus yhteensä, €]]+Ohj.lask.[[#This Row],[Alv-korvaus, €]]</f>
        <v>30356815</v>
      </c>
    </row>
    <row r="37" spans="1:47" ht="13" x14ac:dyDescent="0.3">
      <c r="A37" s="7" t="s">
        <v>298</v>
      </c>
      <c r="B37" s="11" t="s">
        <v>40</v>
      </c>
      <c r="C37" s="11" t="s">
        <v>180</v>
      </c>
      <c r="D37" s="11" t="s">
        <v>337</v>
      </c>
      <c r="E37" s="11" t="s">
        <v>388</v>
      </c>
      <c r="F37" s="109">
        <v>136</v>
      </c>
      <c r="G37" s="114">
        <f>Ohj.lask.[[#This Row],[Tavoitteelliset opiskelija-vuodet]]-Ohj.lask.[[#This Row],[Järjestämisluvan opisk.vuosien vähimmäismäärä]]</f>
        <v>0</v>
      </c>
      <c r="H37" s="36">
        <v>136</v>
      </c>
      <c r="I37" s="12">
        <f>IFERROR(VLOOKUP($A37,'2.1 Toteut. op.vuodet'!$A:$T,COLUMN('2.1 Toteut. op.vuodet'!S:S),FALSE),0)</f>
        <v>0.72540000000001725</v>
      </c>
      <c r="J37" s="78">
        <f t="shared" si="0"/>
        <v>98.7</v>
      </c>
      <c r="K37" s="13">
        <f>IFERROR(Ohj.lask.[[#This Row],[Painotetut opiskelija-vuodet]]/Ohj.lask.[[#Totals],[Painotetut opiskelija-vuodet]],0)</f>
        <v>4.5689537049724277E-4</v>
      </c>
      <c r="L37" s="14">
        <f>ROUND(IFERROR('1.1 Jakotaulu'!L$13*Ohj.lask.[[#This Row],[%-osuus 1]],0),0)</f>
        <v>641315</v>
      </c>
      <c r="M37" s="157">
        <f>IFERROR(ROUND(VLOOKUP($A37,'2.2 Tutk. ja osien pain. pist.'!$A:$Q,COLUMN('2.2 Tutk. ja osien pain. pist.'!O:O),FALSE),1),0)</f>
        <v>11145.9</v>
      </c>
      <c r="N37" s="13">
        <f>IFERROR(Ohj.lask.[[#This Row],[Painotetut pisteet 2]]/Ohj.lask.[[#Totals],[Painotetut pisteet 2]],0)</f>
        <v>7.177565641796488E-4</v>
      </c>
      <c r="O37" s="20">
        <f>ROUND(IFERROR('1.1 Jakotaulu'!K$14*Ohj.lask.[[#This Row],[%-osuus 2]],0),0)</f>
        <v>293980</v>
      </c>
      <c r="P37" s="158">
        <f>IFERROR(ROUND(VLOOKUP($A37,'2.3 Työll. ja jatko-opisk.'!$A:$Z,COLUMN('2.3 Työll. ja jatko-opisk.'!M:M),FALSE),1),0)</f>
        <v>224.5</v>
      </c>
      <c r="Q37" s="13">
        <f>IFERROR(Ohj.lask.[[#This Row],[Painotetut pisteet 3]]/Ohj.lask.[[#Totals],[Painotetut pisteet 3]],0)</f>
        <v>7.2083978316368714E-4</v>
      </c>
      <c r="R37" s="14">
        <f>ROUND(IFERROR('1.1 Jakotaulu'!L$16*Ohj.lask.[[#This Row],[%-osuus 3]],0),0)</f>
        <v>103335</v>
      </c>
      <c r="S37" s="157">
        <f>IFERROR(ROUND(VLOOKUP($A37,'2.4 Aloittaneet palaute'!$A:$J,COLUMN('2.4 Aloittaneet palaute'!I:I),FALSE),1),0)</f>
        <v>3637.6</v>
      </c>
      <c r="T37" s="17">
        <f>IFERROR(Ohj.lask.[[#This Row],[Painotetut pisteet 4]]/Ohj.lask.[[#Totals],[Painotetut pisteet 4]],0)</f>
        <v>2.3192146191619561E-3</v>
      </c>
      <c r="U37" s="20">
        <f>ROUND(IFERROR('1.1 Jakotaulu'!M$18*Ohj.lask.[[#This Row],[%-osuus 4]],0),0)</f>
        <v>17811</v>
      </c>
      <c r="V37" s="157">
        <f>IFERROR(ROUND(VLOOKUP($A37,'2.5 Päättäneet palaute'!$A:$Z,COLUMN('2.5 Päättäneet palaute'!Y:Y),FALSE),1),0)</f>
        <v>26871</v>
      </c>
      <c r="W37" s="17">
        <f>IFERROR(Ohj.lask.[[#This Row],[Painotetut pisteet 5]]/Ohj.lask.[[#Totals],[Painotetut pisteet 5]],0)</f>
        <v>2.8237244682991765E-3</v>
      </c>
      <c r="X37" s="20">
        <f>ROUND(IFERROR('1.1 Jakotaulu'!M$19*Ohj.lask.[[#This Row],[%-osuus 5]],0),0)</f>
        <v>65056</v>
      </c>
      <c r="Y37" s="157">
        <f>IFERROR(ROUND(VLOOKUP($A37,'2.6 Työpaikkaohjaajakysely'!A:I,COLUMN('2.6 Työpaikkaohjaajakysely'!H:H),FALSE),1),0)</f>
        <v>2048164.1</v>
      </c>
      <c r="Z37" s="13">
        <f>IFERROR(Ohj.lask.[[#This Row],[Painotetut pisteet 6]]/Ohj.lask.[[#Totals],[Painotetut pisteet 6]],0)</f>
        <v>5.1259431135446424E-3</v>
      </c>
      <c r="AA37" s="20">
        <f>ROUND(IFERROR('1.1 Jakotaulu'!M$21*Ohj.lask.[[#This Row],[%-osuus 6]],0),0)</f>
        <v>118097</v>
      </c>
      <c r="AB37" s="157">
        <f>IFERROR(ROUND(VLOOKUP($A37,'2.7 Työpaikkakysely'!A:G,COLUMN('2.7 Työpaikkakysely'!F:F),FALSE),1),0)</f>
        <v>1963301</v>
      </c>
      <c r="AC37" s="13">
        <f>IFERROR(Ohj.lask.[[#This Row],[Pisteet 7]]/Ohj.lask.[[#Totals],[Pisteet 7]],0)</f>
        <v>1.0270217416965604E-2</v>
      </c>
      <c r="AD37" s="20">
        <f>ROUND(IFERROR('1.1 Jakotaulu'!M$22*Ohj.lask.[[#This Row],[%-osuus 7]],0),0)</f>
        <v>78872</v>
      </c>
      <c r="AE37" s="16">
        <f>IFERROR(Ohj.lask.[[#This Row],[Jaettava € 8]]/Ohj.lask.[[#Totals],[Jaettava € 8]],"")</f>
        <v>6.5334991072884218E-4</v>
      </c>
      <c r="AF37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1318466</v>
      </c>
      <c r="AG37" s="105">
        <v>0</v>
      </c>
      <c r="AH37" s="105">
        <v>0</v>
      </c>
      <c r="AI37" s="105">
        <v>0</v>
      </c>
      <c r="AJ37" s="105">
        <v>0</v>
      </c>
      <c r="AK37" s="105">
        <v>0</v>
      </c>
      <c r="AL37" s="105">
        <v>0</v>
      </c>
      <c r="AM37" s="105">
        <v>0</v>
      </c>
      <c r="AN37" s="105">
        <v>0</v>
      </c>
      <c r="AO37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0</v>
      </c>
      <c r="AP37" s="14">
        <f>Ohj.lask.[[#This Row],[Jaettava € 1]]+Ohj.lask.[[#This Row],[Harkinnanvarainen korotus 9, €]]</f>
        <v>641315</v>
      </c>
      <c r="AQ37" s="105">
        <f>Ohj.lask.[[#This Row],[Jaettava € 2]]</f>
        <v>293980</v>
      </c>
      <c r="AR37" s="14">
        <f>Ohj.lask.[[#This Row],[Jaettava € 3]]+Ohj.lask.[[#This Row],[Jaettava € 4]]+Ohj.lask.[[#This Row],[Jaettava € 5]]+Ohj.lask.[[#This Row],[Jaettava € 6]]+Ohj.lask.[[#This Row],[Jaettava € 7]]</f>
        <v>383171</v>
      </c>
      <c r="AS37" s="37">
        <f>Ohj.lask.[[#This Row],[Jaettava € 8]]+Ohj.lask.[[#This Row],[Harkinnanvarainen korotus 9, €]]</f>
        <v>1318466</v>
      </c>
      <c r="AT37" s="37">
        <v>38623</v>
      </c>
      <c r="AU37" s="20">
        <f>Ohj.lask.[[#This Row],[Perus-, suoritus- ja vaikuttavuusrahoitus yhteensä, €]]+Ohj.lask.[[#This Row],[Alv-korvaus, €]]</f>
        <v>1357089</v>
      </c>
    </row>
    <row r="38" spans="1:47" ht="13" x14ac:dyDescent="0.3">
      <c r="A38" s="7" t="s">
        <v>297</v>
      </c>
      <c r="B38" s="11" t="s">
        <v>460</v>
      </c>
      <c r="C38" s="99" t="s">
        <v>182</v>
      </c>
      <c r="D38" s="99" t="s">
        <v>336</v>
      </c>
      <c r="E38" s="99" t="s">
        <v>388</v>
      </c>
      <c r="F38" s="108">
        <v>6314</v>
      </c>
      <c r="G38" s="114">
        <f>Ohj.lask.[[#This Row],[Tavoitteelliset opiskelija-vuodet]]-Ohj.lask.[[#This Row],[Järjestämisluvan opisk.vuosien vähimmäismäärä]]</f>
        <v>40</v>
      </c>
      <c r="H38" s="36">
        <v>6354</v>
      </c>
      <c r="I38" s="12">
        <f>IFERROR(VLOOKUP($A38,'2.1 Toteut. op.vuodet'!$A:$T,COLUMN('2.1 Toteut. op.vuodet'!S:S),FALSE),0)</f>
        <v>1.0983715323503576</v>
      </c>
      <c r="J38" s="78">
        <f t="shared" ref="J38:J69" si="1">IFERROR(ROUND(H38*I38,1),0)</f>
        <v>6979.1</v>
      </c>
      <c r="K38" s="13">
        <f>IFERROR(Ohj.lask.[[#This Row],[Painotetut opiskelija-vuodet]]/Ohj.lask.[[#Totals],[Painotetut opiskelija-vuodet]],0)</f>
        <v>3.2307178117905844E-2</v>
      </c>
      <c r="L38" s="14">
        <f>ROUND(IFERROR('1.1 Jakotaulu'!L$13*Ohj.lask.[[#This Row],[%-osuus 1]],0),0)</f>
        <v>45347518</v>
      </c>
      <c r="M38" s="157">
        <f>IFERROR(ROUND(VLOOKUP($A38,'2.2 Tutk. ja osien pain. pist.'!$A:$Q,COLUMN('2.2 Tutk. ja osien pain. pist.'!O:O),FALSE),1),0)</f>
        <v>549871.30000000005</v>
      </c>
      <c r="N38" s="13">
        <f>IFERROR(Ohj.lask.[[#This Row],[Painotetut pisteet 2]]/Ohj.lask.[[#Totals],[Painotetut pisteet 2]],0)</f>
        <v>3.5409768168474236E-2</v>
      </c>
      <c r="O38" s="20">
        <f>ROUND(IFERROR('1.1 Jakotaulu'!K$14*Ohj.lask.[[#This Row],[%-osuus 2]],0),0)</f>
        <v>14503204</v>
      </c>
      <c r="P38" s="158">
        <f>IFERROR(ROUND(VLOOKUP($A38,'2.3 Työll. ja jatko-opisk.'!$A:$Z,COLUMN('2.3 Työll. ja jatko-opisk.'!M:M),FALSE),1),0)</f>
        <v>12292.7</v>
      </c>
      <c r="Q38" s="17">
        <f>IFERROR(Ohj.lask.[[#This Row],[Painotetut pisteet 3]]/Ohj.lask.[[#Totals],[Painotetut pisteet 3]],0)</f>
        <v>3.9470232527822974E-2</v>
      </c>
      <c r="R38" s="14">
        <f>ROUND(IFERROR('1.1 Jakotaulu'!L$16*Ohj.lask.[[#This Row],[%-osuus 3]],0),0)</f>
        <v>5658204</v>
      </c>
      <c r="S38" s="157">
        <f>IFERROR(ROUND(VLOOKUP($A38,'2.4 Aloittaneet palaute'!$A:$J,COLUMN('2.4 Aloittaneet palaute'!I:I),FALSE),1),0)</f>
        <v>44595</v>
      </c>
      <c r="T38" s="17">
        <f>IFERROR(Ohj.lask.[[#This Row],[Painotetut pisteet 4]]/Ohj.lask.[[#Totals],[Painotetut pisteet 4]],0)</f>
        <v>2.843231139804471E-2</v>
      </c>
      <c r="U38" s="20">
        <f>ROUND(IFERROR('1.1 Jakotaulu'!M$18*Ohj.lask.[[#This Row],[%-osuus 4]],0),0)</f>
        <v>218351</v>
      </c>
      <c r="V38" s="157">
        <f>IFERROR(ROUND(VLOOKUP($A38,'2.5 Päättäneet palaute'!$A:$Z,COLUMN('2.5 Päättäneet palaute'!Y:Y),FALSE),1),0)</f>
        <v>331098</v>
      </c>
      <c r="W38" s="17">
        <f>IFERROR(Ohj.lask.[[#This Row],[Painotetut pisteet 5]]/Ohj.lask.[[#Totals],[Painotetut pisteet 5]],0)</f>
        <v>3.4793253842615487E-2</v>
      </c>
      <c r="X38" s="20">
        <f>ROUND(IFERROR('1.1 Jakotaulu'!M$19*Ohj.lask.[[#This Row],[%-osuus 5]],0),0)</f>
        <v>801601</v>
      </c>
      <c r="Y38" s="157">
        <f>IFERROR(ROUND(VLOOKUP($A38,'2.6 Työpaikkaohjaajakysely'!A:I,COLUMN('2.6 Työpaikkaohjaajakysely'!H:H),FALSE),1),0)</f>
        <v>13172600.6</v>
      </c>
      <c r="Z38" s="13">
        <f>IFERROR(Ohj.lask.[[#This Row],[Painotetut pisteet 6]]/Ohj.lask.[[#Totals],[Painotetut pisteet 6]],0)</f>
        <v>3.2967085661272953E-2</v>
      </c>
      <c r="AA38" s="20">
        <f>ROUND(IFERROR('1.1 Jakotaulu'!M$21*Ohj.lask.[[#This Row],[%-osuus 6]],0),0)</f>
        <v>759528</v>
      </c>
      <c r="AB38" s="157">
        <f>IFERROR(ROUND(VLOOKUP($A38,'2.7 Työpaikkakysely'!A:G,COLUMN('2.7 Työpaikkakysely'!F:F),FALSE),1),0)</f>
        <v>5886968</v>
      </c>
      <c r="AC38" s="13">
        <f>IFERROR(Ohj.lask.[[#This Row],[Pisteet 7]]/Ohj.lask.[[#Totals],[Pisteet 7]],0)</f>
        <v>3.0795298982030348E-2</v>
      </c>
      <c r="AD38" s="20">
        <f>ROUND(IFERROR('1.1 Jakotaulu'!M$22*Ohj.lask.[[#This Row],[%-osuus 7]],0),0)</f>
        <v>236498</v>
      </c>
      <c r="AE38" s="16">
        <f>IFERROR(Ohj.lask.[[#This Row],[Jaettava € 8]]/Ohj.lask.[[#Totals],[Jaettava € 8]],"")</f>
        <v>3.3461151065233105E-2</v>
      </c>
      <c r="AF38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67524904</v>
      </c>
      <c r="AG38" s="105">
        <v>0</v>
      </c>
      <c r="AH38" s="105">
        <v>0</v>
      </c>
      <c r="AI38" s="105">
        <v>0</v>
      </c>
      <c r="AJ38" s="105">
        <v>0</v>
      </c>
      <c r="AK38" s="105">
        <v>0</v>
      </c>
      <c r="AL38" s="105">
        <v>0</v>
      </c>
      <c r="AM38" s="105">
        <v>60000</v>
      </c>
      <c r="AN38" s="105">
        <v>37000</v>
      </c>
      <c r="AO38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97000</v>
      </c>
      <c r="AP38" s="14">
        <f>Ohj.lask.[[#This Row],[Jaettava € 1]]+Ohj.lask.[[#This Row],[Harkinnanvarainen korotus 9, €]]</f>
        <v>45444518</v>
      </c>
      <c r="AQ38" s="105">
        <f>Ohj.lask.[[#This Row],[Jaettava € 2]]</f>
        <v>14503204</v>
      </c>
      <c r="AR38" s="14">
        <f>Ohj.lask.[[#This Row],[Jaettava € 3]]+Ohj.lask.[[#This Row],[Jaettava € 4]]+Ohj.lask.[[#This Row],[Jaettava € 5]]+Ohj.lask.[[#This Row],[Jaettava € 6]]+Ohj.lask.[[#This Row],[Jaettava € 7]]</f>
        <v>7674182</v>
      </c>
      <c r="AS38" s="37">
        <f>Ohj.lask.[[#This Row],[Jaettava € 8]]+Ohj.lask.[[#This Row],[Harkinnanvarainen korotus 9, €]]</f>
        <v>67621904</v>
      </c>
      <c r="AT38" s="37">
        <v>0</v>
      </c>
      <c r="AU38" s="20">
        <f>Ohj.lask.[[#This Row],[Perus-, suoritus- ja vaikuttavuusrahoitus yhteensä, €]]+Ohj.lask.[[#This Row],[Alv-korvaus, €]]</f>
        <v>67621904</v>
      </c>
    </row>
    <row r="39" spans="1:47" ht="13" x14ac:dyDescent="0.3">
      <c r="A39" s="7" t="s">
        <v>302</v>
      </c>
      <c r="B39" s="11" t="s">
        <v>41</v>
      </c>
      <c r="C39" s="99" t="s">
        <v>182</v>
      </c>
      <c r="D39" s="99" t="s">
        <v>337</v>
      </c>
      <c r="E39" s="99" t="s">
        <v>388</v>
      </c>
      <c r="F39" s="108">
        <v>166</v>
      </c>
      <c r="G39" s="114">
        <f>Ohj.lask.[[#This Row],[Tavoitteelliset opiskelija-vuodet]]-Ohj.lask.[[#This Row],[Järjestämisluvan opisk.vuosien vähimmäismäärä]]</f>
        <v>29</v>
      </c>
      <c r="H39" s="36">
        <v>195</v>
      </c>
      <c r="I39" s="12">
        <f>IFERROR(VLOOKUP($A39,'2.1 Toteut. op.vuodet'!$A:$T,COLUMN('2.1 Toteut. op.vuodet'!S:S),FALSE),0)</f>
        <v>0.93447862688310612</v>
      </c>
      <c r="J39" s="78">
        <f t="shared" si="1"/>
        <v>182.2</v>
      </c>
      <c r="K39" s="13">
        <f>IFERROR(Ohj.lask.[[#This Row],[Painotetut opiskelija-vuodet]]/Ohj.lask.[[#Totals],[Painotetut opiskelija-vuodet]],0)</f>
        <v>8.4342792811142474E-4</v>
      </c>
      <c r="L39" s="14">
        <f>ROUND(IFERROR('1.1 Jakotaulu'!L$13*Ohj.lask.[[#This Row],[%-osuus 1]],0),0)</f>
        <v>1183866</v>
      </c>
      <c r="M39" s="157">
        <f>IFERROR(ROUND(VLOOKUP($A39,'2.2 Tutk. ja osien pain. pist.'!$A:$Q,COLUMN('2.2 Tutk. ja osien pain. pist.'!O:O),FALSE),1),0)</f>
        <v>19863.599999999999</v>
      </c>
      <c r="N39" s="13">
        <f>IFERROR(Ohj.lask.[[#This Row],[Painotetut pisteet 2]]/Ohj.lask.[[#Totals],[Painotetut pisteet 2]],0)</f>
        <v>1.2791456309709285E-3</v>
      </c>
      <c r="O39" s="20">
        <f>ROUND(IFERROR('1.1 Jakotaulu'!K$14*Ohj.lask.[[#This Row],[%-osuus 2]],0),0)</f>
        <v>523915</v>
      </c>
      <c r="P39" s="158">
        <f>IFERROR(ROUND(VLOOKUP($A39,'2.3 Työll. ja jatko-opisk.'!$A:$Z,COLUMN('2.3 Työll. ja jatko-opisk.'!M:M),FALSE),1),0)</f>
        <v>443.3</v>
      </c>
      <c r="Q39" s="17">
        <f>IFERROR(Ohj.lask.[[#This Row],[Painotetut pisteet 3]]/Ohj.lask.[[#Totals],[Painotetut pisteet 3]],0)</f>
        <v>1.4233776208305681E-3</v>
      </c>
      <c r="R39" s="14">
        <f>ROUND(IFERROR('1.1 Jakotaulu'!L$16*Ohj.lask.[[#This Row],[%-osuus 3]],0),0)</f>
        <v>204046</v>
      </c>
      <c r="S39" s="157">
        <f>IFERROR(ROUND(VLOOKUP($A39,'2.4 Aloittaneet palaute'!$A:$J,COLUMN('2.4 Aloittaneet palaute'!I:I),FALSE),1),0)</f>
        <v>3725.5</v>
      </c>
      <c r="T39" s="17">
        <f>IFERROR(Ohj.lask.[[#This Row],[Painotetut pisteet 4]]/Ohj.lask.[[#Totals],[Painotetut pisteet 4]],0)</f>
        <v>2.3752567802088924E-3</v>
      </c>
      <c r="U39" s="20">
        <f>ROUND(IFERROR('1.1 Jakotaulu'!M$18*Ohj.lask.[[#This Row],[%-osuus 4]],0),0)</f>
        <v>18241</v>
      </c>
      <c r="V39" s="157">
        <f>IFERROR(ROUND(VLOOKUP($A39,'2.5 Päättäneet palaute'!$A:$Z,COLUMN('2.5 Päättäneet palaute'!Y:Y),FALSE),1),0)</f>
        <v>19361.099999999999</v>
      </c>
      <c r="W39" s="17">
        <f>IFERROR(Ohj.lask.[[#This Row],[Painotetut pisteet 5]]/Ohj.lask.[[#Totals],[Painotetut pisteet 5]],0)</f>
        <v>2.0345506978968844E-3</v>
      </c>
      <c r="X39" s="20">
        <f>ROUND(IFERROR('1.1 Jakotaulu'!M$19*Ohj.lask.[[#This Row],[%-osuus 5]],0),0)</f>
        <v>46874</v>
      </c>
      <c r="Y39" s="157">
        <f>IFERROR(ROUND(VLOOKUP($A39,'2.6 Työpaikkaohjaajakysely'!A:I,COLUMN('2.6 Työpaikkaohjaajakysely'!H:H),FALSE),1),0)</f>
        <v>1226354</v>
      </c>
      <c r="Z39" s="13">
        <f>IFERROR(Ohj.lask.[[#This Row],[Painotetut pisteet 6]]/Ohj.lask.[[#Totals],[Painotetut pisteet 6]],0)</f>
        <v>3.0691978445808741E-3</v>
      </c>
      <c r="AA39" s="20">
        <f>ROUND(IFERROR('1.1 Jakotaulu'!M$21*Ohj.lask.[[#This Row],[%-osuus 6]],0),0)</f>
        <v>70711</v>
      </c>
      <c r="AB39" s="157">
        <f>IFERROR(ROUND(VLOOKUP($A39,'2.7 Työpaikkakysely'!A:G,COLUMN('2.7 Työpaikkakysely'!F:F),FALSE),1),0)</f>
        <v>872880.3</v>
      </c>
      <c r="AC39" s="13">
        <f>IFERROR(Ohj.lask.[[#This Row],[Pisteet 7]]/Ohj.lask.[[#Totals],[Pisteet 7]],0)</f>
        <v>4.5661212722787597E-3</v>
      </c>
      <c r="AD39" s="20">
        <f>ROUND(IFERROR('1.1 Jakotaulu'!M$22*Ohj.lask.[[#This Row],[%-osuus 7]],0),0)</f>
        <v>35066</v>
      </c>
      <c r="AE39" s="16">
        <f>IFERROR(Ohj.lask.[[#This Row],[Jaettava € 8]]/Ohj.lask.[[#Totals],[Jaettava € 8]],"")</f>
        <v>1.0320662593675252E-3</v>
      </c>
      <c r="AF39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2082719</v>
      </c>
      <c r="AG39" s="105">
        <v>0</v>
      </c>
      <c r="AH39" s="105">
        <v>0</v>
      </c>
      <c r="AI39" s="105">
        <v>0</v>
      </c>
      <c r="AJ39" s="105">
        <v>0</v>
      </c>
      <c r="AK39" s="105">
        <v>0</v>
      </c>
      <c r="AL39" s="105">
        <v>0</v>
      </c>
      <c r="AM39" s="105">
        <v>8000</v>
      </c>
      <c r="AN39" s="105">
        <v>0</v>
      </c>
      <c r="AO39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8000</v>
      </c>
      <c r="AP39" s="14">
        <f>Ohj.lask.[[#This Row],[Jaettava € 1]]+Ohj.lask.[[#This Row],[Harkinnanvarainen korotus 9, €]]</f>
        <v>1191866</v>
      </c>
      <c r="AQ39" s="105">
        <f>Ohj.lask.[[#This Row],[Jaettava € 2]]</f>
        <v>523915</v>
      </c>
      <c r="AR39" s="14">
        <f>Ohj.lask.[[#This Row],[Jaettava € 3]]+Ohj.lask.[[#This Row],[Jaettava € 4]]+Ohj.lask.[[#This Row],[Jaettava € 5]]+Ohj.lask.[[#This Row],[Jaettava € 6]]+Ohj.lask.[[#This Row],[Jaettava € 7]]</f>
        <v>374938</v>
      </c>
      <c r="AS39" s="37">
        <f>Ohj.lask.[[#This Row],[Jaettava € 8]]+Ohj.lask.[[#This Row],[Harkinnanvarainen korotus 9, €]]</f>
        <v>2090719</v>
      </c>
      <c r="AT39" s="37">
        <v>99117</v>
      </c>
      <c r="AU39" s="20">
        <f>Ohj.lask.[[#This Row],[Perus-, suoritus- ja vaikuttavuusrahoitus yhteensä, €]]+Ohj.lask.[[#This Row],[Alv-korvaus, €]]</f>
        <v>2189836</v>
      </c>
    </row>
    <row r="40" spans="1:47" ht="13" x14ac:dyDescent="0.3">
      <c r="A40" s="7" t="s">
        <v>301</v>
      </c>
      <c r="B40" s="11" t="s">
        <v>42</v>
      </c>
      <c r="C40" s="11" t="s">
        <v>182</v>
      </c>
      <c r="D40" s="11" t="s">
        <v>337</v>
      </c>
      <c r="E40" s="11" t="s">
        <v>388</v>
      </c>
      <c r="F40" s="109">
        <v>118</v>
      </c>
      <c r="G40" s="114">
        <f>Ohj.lask.[[#This Row],[Tavoitteelliset opiskelija-vuodet]]-Ohj.lask.[[#This Row],[Järjestämisluvan opisk.vuosien vähimmäismäärä]]</f>
        <v>3</v>
      </c>
      <c r="H40" s="36">
        <v>121</v>
      </c>
      <c r="I40" s="12">
        <f>IFERROR(VLOOKUP($A40,'2.1 Toteut. op.vuodet'!$A:$T,COLUMN('2.1 Toteut. op.vuodet'!S:S),FALSE),0)</f>
        <v>1.1131497611046373</v>
      </c>
      <c r="J40" s="78">
        <f t="shared" si="1"/>
        <v>134.69999999999999</v>
      </c>
      <c r="K40" s="13">
        <f>IFERROR(Ohj.lask.[[#This Row],[Painotetut opiskelija-vuodet]]/Ohj.lask.[[#Totals],[Painotetut opiskelija-vuodet]],0)</f>
        <v>6.235441378518601E-4</v>
      </c>
      <c r="L40" s="14">
        <f>ROUND(IFERROR('1.1 Jakotaulu'!L$13*Ohj.lask.[[#This Row],[%-osuus 1]],0),0)</f>
        <v>875229</v>
      </c>
      <c r="M40" s="157">
        <f>IFERROR(ROUND(VLOOKUP($A40,'2.2 Tutk. ja osien pain. pist.'!$A:$Q,COLUMN('2.2 Tutk. ja osien pain. pist.'!O:O),FALSE),1),0)</f>
        <v>12924.6</v>
      </c>
      <c r="N40" s="13">
        <f>IFERROR(Ohj.lask.[[#This Row],[Painotetut pisteet 2]]/Ohj.lask.[[#Totals],[Painotetut pisteet 2]],0)</f>
        <v>8.3229855726287601E-4</v>
      </c>
      <c r="O40" s="20">
        <f>ROUND(IFERROR('1.1 Jakotaulu'!K$14*Ohj.lask.[[#This Row],[%-osuus 2]],0),0)</f>
        <v>340895</v>
      </c>
      <c r="P40" s="158">
        <f>IFERROR(ROUND(VLOOKUP($A40,'2.3 Työll. ja jatko-opisk.'!$A:$Z,COLUMN('2.3 Työll. ja jatko-opisk.'!M:M),FALSE),1),0)</f>
        <v>193.7</v>
      </c>
      <c r="Q40" s="13">
        <f>IFERROR(Ohj.lask.[[#This Row],[Painotetut pisteet 3]]/Ohj.lask.[[#Totals],[Painotetut pisteet 3]],0)</f>
        <v>6.2194506012831264E-4</v>
      </c>
      <c r="R40" s="14">
        <f>ROUND(IFERROR('1.1 Jakotaulu'!L$16*Ohj.lask.[[#This Row],[%-osuus 3]],0),0)</f>
        <v>89158</v>
      </c>
      <c r="S40" s="157">
        <f>IFERROR(ROUND(VLOOKUP($A40,'2.4 Aloittaneet palaute'!$A:$J,COLUMN('2.4 Aloittaneet palaute'!I:I),FALSE),1),0)</f>
        <v>1104.3</v>
      </c>
      <c r="T40" s="17">
        <f>IFERROR(Ohj.lask.[[#This Row],[Painotetut pisteet 4]]/Ohj.lask.[[#Totals],[Painotetut pisteet 4]],0)</f>
        <v>7.040655113098054E-4</v>
      </c>
      <c r="U40" s="20">
        <f>ROUND(IFERROR('1.1 Jakotaulu'!M$18*Ohj.lask.[[#This Row],[%-osuus 4]],0),0)</f>
        <v>5407</v>
      </c>
      <c r="V40" s="157">
        <f>IFERROR(ROUND(VLOOKUP($A40,'2.5 Päättäneet palaute'!$A:$Z,COLUMN('2.5 Päättäneet palaute'!Y:Y),FALSE),1),0)</f>
        <v>7264.3</v>
      </c>
      <c r="W40" s="17">
        <f>IFERROR(Ohj.lask.[[#This Row],[Painotetut pisteet 5]]/Ohj.lask.[[#Totals],[Painotetut pisteet 5]],0)</f>
        <v>7.633650275414278E-4</v>
      </c>
      <c r="X40" s="20">
        <f>ROUND(IFERROR('1.1 Jakotaulu'!M$19*Ohj.lask.[[#This Row],[%-osuus 5]],0),0)</f>
        <v>17587</v>
      </c>
      <c r="Y40" s="157">
        <f>IFERROR(ROUND(VLOOKUP($A40,'2.6 Työpaikkaohjaajakysely'!A:I,COLUMN('2.6 Työpaikkaohjaajakysely'!H:H),FALSE),1),0)</f>
        <v>390364.7</v>
      </c>
      <c r="Z40" s="13">
        <f>IFERROR(Ohj.lask.[[#This Row],[Painotetut pisteet 6]]/Ohj.lask.[[#Totals],[Painotetut pisteet 6]],0)</f>
        <v>9.7696627225129086E-4</v>
      </c>
      <c r="AA40" s="20">
        <f>ROUND(IFERROR('1.1 Jakotaulu'!M$21*Ohj.lask.[[#This Row],[%-osuus 6]],0),0)</f>
        <v>22508</v>
      </c>
      <c r="AB40" s="157">
        <f>IFERROR(ROUND(VLOOKUP($A40,'2.7 Työpaikkakysely'!A:G,COLUMN('2.7 Työpaikkakysely'!F:F),FALSE),1),0)</f>
        <v>260716</v>
      </c>
      <c r="AC40" s="13">
        <f>IFERROR(Ohj.lask.[[#This Row],[Pisteet 7]]/Ohj.lask.[[#Totals],[Pisteet 7]],0)</f>
        <v>1.3638306118529987E-3</v>
      </c>
      <c r="AD40" s="20">
        <f>ROUND(IFERROR('1.1 Jakotaulu'!M$22*Ohj.lask.[[#This Row],[%-osuus 7]],0),0)</f>
        <v>10474</v>
      </c>
      <c r="AE40" s="16">
        <f>IFERROR(Ohj.lask.[[#This Row],[Jaettava € 8]]/Ohj.lask.[[#Totals],[Jaettava € 8]],"")</f>
        <v>6.7455496977466406E-4</v>
      </c>
      <c r="AF40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1361258</v>
      </c>
      <c r="AG40" s="105">
        <v>0</v>
      </c>
      <c r="AH40" s="105">
        <v>0</v>
      </c>
      <c r="AI40" s="105">
        <v>0</v>
      </c>
      <c r="AJ40" s="105">
        <v>0</v>
      </c>
      <c r="AK40" s="105">
        <v>0</v>
      </c>
      <c r="AL40" s="105">
        <v>0</v>
      </c>
      <c r="AM40" s="105">
        <v>0</v>
      </c>
      <c r="AN40" s="105">
        <v>0</v>
      </c>
      <c r="AO40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0</v>
      </c>
      <c r="AP40" s="14">
        <f>Ohj.lask.[[#This Row],[Jaettava € 1]]+Ohj.lask.[[#This Row],[Harkinnanvarainen korotus 9, €]]</f>
        <v>875229</v>
      </c>
      <c r="AQ40" s="105">
        <f>Ohj.lask.[[#This Row],[Jaettava € 2]]</f>
        <v>340895</v>
      </c>
      <c r="AR40" s="14">
        <f>Ohj.lask.[[#This Row],[Jaettava € 3]]+Ohj.lask.[[#This Row],[Jaettava € 4]]+Ohj.lask.[[#This Row],[Jaettava € 5]]+Ohj.lask.[[#This Row],[Jaettava € 6]]+Ohj.lask.[[#This Row],[Jaettava € 7]]</f>
        <v>145134</v>
      </c>
      <c r="AS40" s="37">
        <f>Ohj.lask.[[#This Row],[Jaettava € 8]]+Ohj.lask.[[#This Row],[Harkinnanvarainen korotus 9, €]]</f>
        <v>1361258</v>
      </c>
      <c r="AT40" s="37">
        <v>58895</v>
      </c>
      <c r="AU40" s="20">
        <f>Ohj.lask.[[#This Row],[Perus-, suoritus- ja vaikuttavuusrahoitus yhteensä, €]]+Ohj.lask.[[#This Row],[Alv-korvaus, €]]</f>
        <v>1420153</v>
      </c>
    </row>
    <row r="41" spans="1:47" ht="13" x14ac:dyDescent="0.3">
      <c r="A41" s="7" t="s">
        <v>296</v>
      </c>
      <c r="B41" s="11" t="s">
        <v>43</v>
      </c>
      <c r="C41" s="11" t="s">
        <v>209</v>
      </c>
      <c r="D41" s="11" t="s">
        <v>336</v>
      </c>
      <c r="E41" s="11" t="s">
        <v>388</v>
      </c>
      <c r="F41" s="109">
        <v>555</v>
      </c>
      <c r="G41" s="114">
        <f>Ohj.lask.[[#This Row],[Tavoitteelliset opiskelija-vuodet]]-Ohj.lask.[[#This Row],[Järjestämisluvan opisk.vuosien vähimmäismäärä]]</f>
        <v>12</v>
      </c>
      <c r="H41" s="36">
        <v>567</v>
      </c>
      <c r="I41" s="12">
        <f>IFERROR(VLOOKUP($A41,'2.1 Toteut. op.vuodet'!$A:$T,COLUMN('2.1 Toteut. op.vuodet'!S:S),FALSE),0)</f>
        <v>1.2815893741694033</v>
      </c>
      <c r="J41" s="78">
        <f t="shared" si="1"/>
        <v>726.7</v>
      </c>
      <c r="K41" s="13">
        <f>IFERROR(Ohj.lask.[[#This Row],[Painotetut opiskelija-vuodet]]/Ohj.lask.[[#Totals],[Painotetut opiskelija-vuodet]],0)</f>
        <v>3.3639905343500133E-3</v>
      </c>
      <c r="L41" s="14">
        <f>ROUND(IFERROR('1.1 Jakotaulu'!L$13*Ohj.lask.[[#This Row],[%-osuus 1]],0),0)</f>
        <v>4721818</v>
      </c>
      <c r="M41" s="157">
        <f>IFERROR(ROUND(VLOOKUP($A41,'2.2 Tutk. ja osien pain. pist.'!$A:$Q,COLUMN('2.2 Tutk. ja osien pain. pist.'!O:O),FALSE),1),0)</f>
        <v>46933.5</v>
      </c>
      <c r="N41" s="13">
        <f>IFERROR(Ohj.lask.[[#This Row],[Painotetut pisteet 2]]/Ohj.lask.[[#Totals],[Painotetut pisteet 2]],0)</f>
        <v>3.0223515108627878E-3</v>
      </c>
      <c r="O41" s="20">
        <f>ROUND(IFERROR('1.1 Jakotaulu'!K$14*Ohj.lask.[[#This Row],[%-osuus 2]],0),0)</f>
        <v>1237901</v>
      </c>
      <c r="P41" s="158">
        <f>IFERROR(ROUND(VLOOKUP($A41,'2.3 Työll. ja jatko-opisk.'!$A:$Z,COLUMN('2.3 Työll. ja jatko-opisk.'!M:M),FALSE),1),0)</f>
        <v>1135.7</v>
      </c>
      <c r="Q41" s="13">
        <f>IFERROR(Ohj.lask.[[#This Row],[Painotetut pisteet 3]]/Ohj.lask.[[#Totals],[Painotetut pisteet 3]],0)</f>
        <v>3.6465823685478821E-3</v>
      </c>
      <c r="R41" s="14">
        <f>ROUND(IFERROR('1.1 Jakotaulu'!L$16*Ohj.lask.[[#This Row],[%-osuus 3]],0),0)</f>
        <v>522751</v>
      </c>
      <c r="S41" s="157">
        <f>IFERROR(ROUND(VLOOKUP($A41,'2.4 Aloittaneet palaute'!$A:$J,COLUMN('2.4 Aloittaneet palaute'!I:I),FALSE),1),0)</f>
        <v>4084.4</v>
      </c>
      <c r="T41" s="17">
        <f>IFERROR(Ohj.lask.[[#This Row],[Painotetut pisteet 4]]/Ohj.lask.[[#Totals],[Painotetut pisteet 4]],0)</f>
        <v>2.6040796653026979E-3</v>
      </c>
      <c r="U41" s="20">
        <f>ROUND(IFERROR('1.1 Jakotaulu'!M$18*Ohj.lask.[[#This Row],[%-osuus 4]],0),0)</f>
        <v>19998</v>
      </c>
      <c r="V41" s="157">
        <f>IFERROR(ROUND(VLOOKUP($A41,'2.5 Päättäneet palaute'!$A:$Z,COLUMN('2.5 Päättäneet palaute'!Y:Y),FALSE),1),0)</f>
        <v>22095.4</v>
      </c>
      <c r="W41" s="17">
        <f>IFERROR(Ohj.lask.[[#This Row],[Painotetut pisteet 5]]/Ohj.lask.[[#Totals],[Painotetut pisteet 5]],0)</f>
        <v>2.3218831311398024E-3</v>
      </c>
      <c r="X41" s="20">
        <f>ROUND(IFERROR('1.1 Jakotaulu'!M$19*Ohj.lask.[[#This Row],[%-osuus 5]],0),0)</f>
        <v>53494</v>
      </c>
      <c r="Y41" s="157">
        <f>IFERROR(ROUND(VLOOKUP($A41,'2.6 Työpaikkaohjaajakysely'!A:I,COLUMN('2.6 Työpaikkaohjaajakysely'!H:H),FALSE),1),0)</f>
        <v>1131505.7</v>
      </c>
      <c r="Z41" s="13">
        <f>IFERROR(Ohj.lask.[[#This Row],[Painotetut pisteet 6]]/Ohj.lask.[[#Totals],[Painotetut pisteet 6]],0)</f>
        <v>2.8318208735576946E-3</v>
      </c>
      <c r="AA41" s="20">
        <f>ROUND(IFERROR('1.1 Jakotaulu'!M$21*Ohj.lask.[[#This Row],[%-osuus 6]],0),0)</f>
        <v>65242</v>
      </c>
      <c r="AB41" s="157">
        <f>IFERROR(ROUND(VLOOKUP($A41,'2.7 Työpaikkakysely'!A:G,COLUMN('2.7 Työpaikkakysely'!F:F),FALSE),1),0)</f>
        <v>462682</v>
      </c>
      <c r="AC41" s="13">
        <f>IFERROR(Ohj.lask.[[#This Row],[Pisteet 7]]/Ohj.lask.[[#Totals],[Pisteet 7]],0)</f>
        <v>2.4203342915408688E-3</v>
      </c>
      <c r="AD41" s="20">
        <f>ROUND(IFERROR('1.1 Jakotaulu'!M$22*Ohj.lask.[[#This Row],[%-osuus 7]],0),0)</f>
        <v>18587</v>
      </c>
      <c r="AE41" s="16">
        <f>IFERROR(Ohj.lask.[[#This Row],[Jaettava € 8]]/Ohj.lask.[[#Totals],[Jaettava € 8]],"")</f>
        <v>3.2902682792792302E-3</v>
      </c>
      <c r="AF41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6639791</v>
      </c>
      <c r="AG41" s="105">
        <v>0</v>
      </c>
      <c r="AH41" s="105">
        <v>0</v>
      </c>
      <c r="AI41" s="105">
        <v>0</v>
      </c>
      <c r="AJ41" s="105">
        <v>0</v>
      </c>
      <c r="AK41" s="105">
        <v>0</v>
      </c>
      <c r="AL41" s="105">
        <v>0</v>
      </c>
      <c r="AM41" s="105">
        <v>5000</v>
      </c>
      <c r="AN41" s="105">
        <v>0</v>
      </c>
      <c r="AO41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5000</v>
      </c>
      <c r="AP41" s="14">
        <f>Ohj.lask.[[#This Row],[Jaettava € 1]]+Ohj.lask.[[#This Row],[Harkinnanvarainen korotus 9, €]]</f>
        <v>4726818</v>
      </c>
      <c r="AQ41" s="105">
        <f>Ohj.lask.[[#This Row],[Jaettava € 2]]</f>
        <v>1237901</v>
      </c>
      <c r="AR41" s="14">
        <f>Ohj.lask.[[#This Row],[Jaettava € 3]]+Ohj.lask.[[#This Row],[Jaettava € 4]]+Ohj.lask.[[#This Row],[Jaettava € 5]]+Ohj.lask.[[#This Row],[Jaettava € 6]]+Ohj.lask.[[#This Row],[Jaettava € 7]]</f>
        <v>680072</v>
      </c>
      <c r="AS41" s="37">
        <f>Ohj.lask.[[#This Row],[Jaettava € 8]]+Ohj.lask.[[#This Row],[Harkinnanvarainen korotus 9, €]]</f>
        <v>6644791</v>
      </c>
      <c r="AT41" s="37">
        <v>0</v>
      </c>
      <c r="AU41" s="20">
        <f>Ohj.lask.[[#This Row],[Perus-, suoritus- ja vaikuttavuusrahoitus yhteensä, €]]+Ohj.lask.[[#This Row],[Alv-korvaus, €]]</f>
        <v>6644791</v>
      </c>
    </row>
    <row r="42" spans="1:47" ht="13" x14ac:dyDescent="0.3">
      <c r="A42" s="7" t="s">
        <v>295</v>
      </c>
      <c r="B42" s="11" t="s">
        <v>44</v>
      </c>
      <c r="C42" s="11" t="s">
        <v>188</v>
      </c>
      <c r="D42" s="11" t="s">
        <v>338</v>
      </c>
      <c r="E42" s="11" t="s">
        <v>388</v>
      </c>
      <c r="F42" s="109">
        <v>2596</v>
      </c>
      <c r="G42" s="114">
        <f>Ohj.lask.[[#This Row],[Tavoitteelliset opiskelija-vuodet]]-Ohj.lask.[[#This Row],[Järjestämisluvan opisk.vuosien vähimmäismäärä]]</f>
        <v>233</v>
      </c>
      <c r="H42" s="36">
        <v>2829</v>
      </c>
      <c r="I42" s="12">
        <f>IFERROR(VLOOKUP($A42,'2.1 Toteut. op.vuodet'!$A:$T,COLUMN('2.1 Toteut. op.vuodet'!S:S),FALSE),0)</f>
        <v>1.0856684312197564</v>
      </c>
      <c r="J42" s="78">
        <f t="shared" si="1"/>
        <v>3071.4</v>
      </c>
      <c r="K42" s="13">
        <f>IFERROR(Ohj.lask.[[#This Row],[Painotetut opiskelija-vuodet]]/Ohj.lask.[[#Totals],[Painotetut opiskelija-vuodet]],0)</f>
        <v>1.4217917334804776E-2</v>
      </c>
      <c r="L42" s="14">
        <f>ROUND(IFERROR('1.1 Jakotaulu'!L$13*Ohj.lask.[[#This Row],[%-osuus 1]],0),0)</f>
        <v>19956781</v>
      </c>
      <c r="M42" s="157">
        <f>IFERROR(ROUND(VLOOKUP($A42,'2.2 Tutk. ja osien pain. pist.'!$A:$Q,COLUMN('2.2 Tutk. ja osien pain. pist.'!O:O),FALSE),1),0)</f>
        <v>218314.6</v>
      </c>
      <c r="N42" s="13">
        <f>IFERROR(Ohj.lask.[[#This Row],[Painotetut pisteet 2]]/Ohj.lask.[[#Totals],[Painotetut pisteet 2]],0)</f>
        <v>1.4058688594573284E-2</v>
      </c>
      <c r="O42" s="20">
        <f>ROUND(IFERROR('1.1 Jakotaulu'!K$14*Ohj.lask.[[#This Row],[%-osuus 2]],0),0)</f>
        <v>5758186</v>
      </c>
      <c r="P42" s="158">
        <f>IFERROR(ROUND(VLOOKUP($A42,'2.3 Työll. ja jatko-opisk.'!$A:$Z,COLUMN('2.3 Työll. ja jatko-opisk.'!M:M),FALSE),1),0)</f>
        <v>4945.8999999999996</v>
      </c>
      <c r="Q42" s="13">
        <f>IFERROR(Ohj.lask.[[#This Row],[Painotetut pisteet 3]]/Ohj.lask.[[#Totals],[Painotetut pisteet 3]],0)</f>
        <v>1.5880630216255145E-2</v>
      </c>
      <c r="R42" s="14">
        <f>ROUND(IFERROR('1.1 Jakotaulu'!L$16*Ohj.lask.[[#This Row],[%-osuus 3]],0),0)</f>
        <v>2276547</v>
      </c>
      <c r="S42" s="157">
        <f>IFERROR(ROUND(VLOOKUP($A42,'2.4 Aloittaneet palaute'!$A:$J,COLUMN('2.4 Aloittaneet palaute'!I:I),FALSE),1),0)</f>
        <v>26667.599999999999</v>
      </c>
      <c r="T42" s="17">
        <f>IFERROR(Ohj.lask.[[#This Row],[Painotetut pisteet 4]]/Ohj.lask.[[#Totals],[Painotetut pisteet 4]],0)</f>
        <v>1.7002388326908778E-2</v>
      </c>
      <c r="U42" s="20">
        <f>ROUND(IFERROR('1.1 Jakotaulu'!M$18*Ohj.lask.[[#This Row],[%-osuus 4]],0),0)</f>
        <v>130573</v>
      </c>
      <c r="V42" s="157">
        <f>IFERROR(ROUND(VLOOKUP($A42,'2.5 Päättäneet palaute'!$A:$Z,COLUMN('2.5 Päättäneet palaute'!Y:Y),FALSE),1),0)</f>
        <v>169446.5</v>
      </c>
      <c r="W42" s="17">
        <f>IFERROR(Ohj.lask.[[#This Row],[Painotetut pisteet 5]]/Ohj.lask.[[#Totals],[Painotetut pisteet 5]],0)</f>
        <v>1.7806193595982896E-2</v>
      </c>
      <c r="X42" s="20">
        <f>ROUND(IFERROR('1.1 Jakotaulu'!M$19*Ohj.lask.[[#This Row],[%-osuus 5]],0),0)</f>
        <v>410237</v>
      </c>
      <c r="Y42" s="157">
        <f>IFERROR(ROUND(VLOOKUP($A42,'2.6 Työpaikkaohjaajakysely'!A:I,COLUMN('2.6 Työpaikkaohjaajakysely'!H:H),FALSE),1),0)</f>
        <v>11144411.6</v>
      </c>
      <c r="Z42" s="13">
        <f>IFERROR(Ohj.lask.[[#This Row],[Painotetut pisteet 6]]/Ohj.lask.[[#Totals],[Painotetut pisteet 6]],0)</f>
        <v>2.7891134258005511E-2</v>
      </c>
      <c r="AA42" s="20">
        <f>ROUND(IFERROR('1.1 Jakotaulu'!M$21*Ohj.lask.[[#This Row],[%-osuus 6]],0),0)</f>
        <v>642584</v>
      </c>
      <c r="AB42" s="157">
        <f>IFERROR(ROUND(VLOOKUP($A42,'2.7 Työpaikkakysely'!A:G,COLUMN('2.7 Työpaikkakysely'!F:F),FALSE),1),0)</f>
        <v>7739992.9000000004</v>
      </c>
      <c r="AC42" s="13">
        <f>IFERROR(Ohj.lask.[[#This Row],[Pisteet 7]]/Ohj.lask.[[#Totals],[Pisteet 7]],0)</f>
        <v>4.0488651454244726E-2</v>
      </c>
      <c r="AD42" s="20">
        <f>ROUND(IFERROR('1.1 Jakotaulu'!M$22*Ohj.lask.[[#This Row],[%-osuus 7]],0),0)</f>
        <v>310939</v>
      </c>
      <c r="AE42" s="16">
        <f>IFERROR(Ohj.lask.[[#This Row],[Jaettava € 8]]/Ohj.lask.[[#Totals],[Jaettava € 8]],"")</f>
        <v>1.4611355548959395E-2</v>
      </c>
      <c r="AF42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29485847</v>
      </c>
      <c r="AG42" s="105">
        <v>0</v>
      </c>
      <c r="AH42" s="105">
        <v>0</v>
      </c>
      <c r="AI42" s="105">
        <v>0</v>
      </c>
      <c r="AJ42" s="105">
        <v>0</v>
      </c>
      <c r="AK42" s="105">
        <v>0</v>
      </c>
      <c r="AL42" s="105">
        <v>0</v>
      </c>
      <c r="AM42" s="105">
        <v>68000</v>
      </c>
      <c r="AN42" s="105">
        <v>0</v>
      </c>
      <c r="AO42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68000</v>
      </c>
      <c r="AP42" s="14">
        <f>Ohj.lask.[[#This Row],[Jaettava € 1]]+Ohj.lask.[[#This Row],[Harkinnanvarainen korotus 9, €]]</f>
        <v>20024781</v>
      </c>
      <c r="AQ42" s="105">
        <f>Ohj.lask.[[#This Row],[Jaettava € 2]]</f>
        <v>5758186</v>
      </c>
      <c r="AR42" s="14">
        <f>Ohj.lask.[[#This Row],[Jaettava € 3]]+Ohj.lask.[[#This Row],[Jaettava € 4]]+Ohj.lask.[[#This Row],[Jaettava € 5]]+Ohj.lask.[[#This Row],[Jaettava € 6]]+Ohj.lask.[[#This Row],[Jaettava € 7]]</f>
        <v>3770880</v>
      </c>
      <c r="AS42" s="37">
        <f>Ohj.lask.[[#This Row],[Jaettava € 8]]+Ohj.lask.[[#This Row],[Harkinnanvarainen korotus 9, €]]</f>
        <v>29553847</v>
      </c>
      <c r="AT42" s="37">
        <v>0</v>
      </c>
      <c r="AU42" s="20">
        <f>Ohj.lask.[[#This Row],[Perus-, suoritus- ja vaikuttavuusrahoitus yhteensä, €]]+Ohj.lask.[[#This Row],[Alv-korvaus, €]]</f>
        <v>29553847</v>
      </c>
    </row>
    <row r="43" spans="1:47" ht="13" x14ac:dyDescent="0.3">
      <c r="A43" s="7" t="s">
        <v>294</v>
      </c>
      <c r="B43" s="11" t="s">
        <v>155</v>
      </c>
      <c r="C43" s="11" t="s">
        <v>187</v>
      </c>
      <c r="D43" s="11" t="s">
        <v>337</v>
      </c>
      <c r="E43" s="11" t="s">
        <v>388</v>
      </c>
      <c r="F43" s="109">
        <v>88</v>
      </c>
      <c r="G43" s="114">
        <f>Ohj.lask.[[#This Row],[Tavoitteelliset opiskelija-vuodet]]-Ohj.lask.[[#This Row],[Järjestämisluvan opisk.vuosien vähimmäismäärä]]</f>
        <v>0</v>
      </c>
      <c r="H43" s="36">
        <v>88</v>
      </c>
      <c r="I43" s="12">
        <f>IFERROR(VLOOKUP($A43,'2.1 Toteut. op.vuodet'!$A:$T,COLUMN('2.1 Toteut. op.vuodet'!S:S),FALSE),0)</f>
        <v>1.1474193133831894</v>
      </c>
      <c r="J43" s="78">
        <f t="shared" si="1"/>
        <v>101</v>
      </c>
      <c r="K43" s="13">
        <f>IFERROR(Ohj.lask.[[#This Row],[Painotetut opiskelija-vuodet]]/Ohj.lask.[[#Totals],[Painotetut opiskelija-vuodet]],0)</f>
        <v>4.6754237507823219E-4</v>
      </c>
      <c r="L43" s="14">
        <f>ROUND(IFERROR('1.1 Jakotaulu'!L$13*Ohj.lask.[[#This Row],[%-osuus 1]],0),0)</f>
        <v>656259</v>
      </c>
      <c r="M43" s="157">
        <f>IFERROR(ROUND(VLOOKUP($A43,'2.2 Tutk. ja osien pain. pist.'!$A:$Q,COLUMN('2.2 Tutk. ja osien pain. pist.'!O:O),FALSE),1),0)</f>
        <v>8605.7000000000007</v>
      </c>
      <c r="N43" s="13">
        <f>IFERROR(Ohj.lask.[[#This Row],[Painotetut pisteet 2]]/Ohj.lask.[[#Totals],[Painotetut pisteet 2]],0)</f>
        <v>5.5417666266167865E-4</v>
      </c>
      <c r="O43" s="20">
        <f>ROUND(IFERROR('1.1 Jakotaulu'!K$14*Ohj.lask.[[#This Row],[%-osuus 2]],0),0)</f>
        <v>226981</v>
      </c>
      <c r="P43" s="158">
        <f>IFERROR(ROUND(VLOOKUP($A43,'2.3 Työll. ja jatko-opisk.'!$A:$Z,COLUMN('2.3 Työll. ja jatko-opisk.'!M:M),FALSE),1),0)</f>
        <v>253.4</v>
      </c>
      <c r="Q43" s="13">
        <f>IFERROR(Ohj.lask.[[#This Row],[Painotetut pisteet 3]]/Ohj.lask.[[#Totals],[Painotetut pisteet 3]],0)</f>
        <v>8.1363385770012622E-4</v>
      </c>
      <c r="R43" s="14">
        <f>ROUND(IFERROR('1.1 Jakotaulu'!L$16*Ohj.lask.[[#This Row],[%-osuus 3]],0),0)</f>
        <v>116637</v>
      </c>
      <c r="S43" s="157">
        <f>IFERROR(ROUND(VLOOKUP($A43,'2.4 Aloittaneet palaute'!$A:$J,COLUMN('2.4 Aloittaneet palaute'!I:I),FALSE),1),0)</f>
        <v>1250.4000000000001</v>
      </c>
      <c r="T43" s="17">
        <f>IFERROR(Ohj.lask.[[#This Row],[Painotetut pisteet 4]]/Ohj.lask.[[#Totals],[Painotetut pisteet 4]],0)</f>
        <v>7.9721408615573736E-4</v>
      </c>
      <c r="U43" s="20">
        <f>ROUND(IFERROR('1.1 Jakotaulu'!M$18*Ohj.lask.[[#This Row],[%-osuus 4]],0),0)</f>
        <v>6122</v>
      </c>
      <c r="V43" s="157">
        <f>IFERROR(ROUND(VLOOKUP($A43,'2.5 Päättäneet palaute'!$A:$Z,COLUMN('2.5 Päättäneet palaute'!Y:Y),FALSE),1),0)</f>
        <v>9098</v>
      </c>
      <c r="W43" s="17">
        <f>IFERROR(Ohj.lask.[[#This Row],[Painotetut pisteet 5]]/Ohj.lask.[[#Totals],[Painotetut pisteet 5]],0)</f>
        <v>9.5605839799731704E-4</v>
      </c>
      <c r="X43" s="20">
        <f>ROUND(IFERROR('1.1 Jakotaulu'!M$19*Ohj.lask.[[#This Row],[%-osuus 5]],0),0)</f>
        <v>22027</v>
      </c>
      <c r="Y43" s="157">
        <f>IFERROR(ROUND(VLOOKUP($A43,'2.6 Työpaikkaohjaajakysely'!A:I,COLUMN('2.6 Työpaikkaohjaajakysely'!H:H),FALSE),1),0)</f>
        <v>435925.6</v>
      </c>
      <c r="Z43" s="13">
        <f>IFERROR(Ohj.lask.[[#This Row],[Painotetut pisteet 6]]/Ohj.lask.[[#Totals],[Painotetut pisteet 6]],0)</f>
        <v>1.0909915994220464E-3</v>
      </c>
      <c r="AA43" s="20">
        <f>ROUND(IFERROR('1.1 Jakotaulu'!M$21*Ohj.lask.[[#This Row],[%-osuus 6]],0),0)</f>
        <v>25135</v>
      </c>
      <c r="AB43" s="157">
        <f>IFERROR(ROUND(VLOOKUP($A43,'2.7 Työpaikkakysely'!A:G,COLUMN('2.7 Työpaikkakysely'!F:F),FALSE),1),0)</f>
        <v>207146</v>
      </c>
      <c r="AC43" s="13">
        <f>IFERROR(Ohj.lask.[[#This Row],[Pisteet 7]]/Ohj.lask.[[#Totals],[Pisteet 7]],0)</f>
        <v>1.0836007606855784E-3</v>
      </c>
      <c r="AD43" s="20">
        <f>ROUND(IFERROR('1.1 Jakotaulu'!M$22*Ohj.lask.[[#This Row],[%-osuus 7]],0),0)</f>
        <v>8322</v>
      </c>
      <c r="AE43" s="16">
        <f>IFERROR(Ohj.lask.[[#This Row],[Jaettava € 8]]/Ohj.lask.[[#Totals],[Jaettava € 8]],"")</f>
        <v>5.2600508719237622E-4</v>
      </c>
      <c r="AF43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1061483</v>
      </c>
      <c r="AG43" s="105">
        <v>0</v>
      </c>
      <c r="AH43" s="105">
        <v>0</v>
      </c>
      <c r="AI43" s="105">
        <v>0</v>
      </c>
      <c r="AJ43" s="105">
        <v>0</v>
      </c>
      <c r="AK43" s="105">
        <v>0</v>
      </c>
      <c r="AL43" s="105">
        <v>0</v>
      </c>
      <c r="AM43" s="105">
        <v>5000</v>
      </c>
      <c r="AN43" s="105">
        <v>0</v>
      </c>
      <c r="AO43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5000</v>
      </c>
      <c r="AP43" s="14">
        <f>Ohj.lask.[[#This Row],[Jaettava € 1]]+Ohj.lask.[[#This Row],[Harkinnanvarainen korotus 9, €]]</f>
        <v>661259</v>
      </c>
      <c r="AQ43" s="105">
        <f>Ohj.lask.[[#This Row],[Jaettava € 2]]</f>
        <v>226981</v>
      </c>
      <c r="AR43" s="14">
        <f>Ohj.lask.[[#This Row],[Jaettava € 3]]+Ohj.lask.[[#This Row],[Jaettava € 4]]+Ohj.lask.[[#This Row],[Jaettava € 5]]+Ohj.lask.[[#This Row],[Jaettava € 6]]+Ohj.lask.[[#This Row],[Jaettava € 7]]</f>
        <v>178243</v>
      </c>
      <c r="AS43" s="37">
        <f>Ohj.lask.[[#This Row],[Jaettava € 8]]+Ohj.lask.[[#This Row],[Harkinnanvarainen korotus 9, €]]</f>
        <v>1066483</v>
      </c>
      <c r="AT43" s="37">
        <v>48432</v>
      </c>
      <c r="AU43" s="20">
        <f>Ohj.lask.[[#This Row],[Perus-, suoritus- ja vaikuttavuusrahoitus yhteensä, €]]+Ohj.lask.[[#This Row],[Alv-korvaus, €]]</f>
        <v>1114915</v>
      </c>
    </row>
    <row r="44" spans="1:47" ht="13" x14ac:dyDescent="0.3">
      <c r="A44" s="7" t="s">
        <v>293</v>
      </c>
      <c r="B44" s="11" t="s">
        <v>46</v>
      </c>
      <c r="C44" s="11" t="s">
        <v>180</v>
      </c>
      <c r="D44" s="11" t="s">
        <v>337</v>
      </c>
      <c r="E44" s="11" t="s">
        <v>388</v>
      </c>
      <c r="F44" s="109">
        <v>85</v>
      </c>
      <c r="G44" s="114">
        <f>Ohj.lask.[[#This Row],[Tavoitteelliset opiskelija-vuodet]]-Ohj.lask.[[#This Row],[Järjestämisluvan opisk.vuosien vähimmäismäärä]]</f>
        <v>1</v>
      </c>
      <c r="H44" s="36">
        <v>86</v>
      </c>
      <c r="I44" s="12">
        <f>IFERROR(VLOOKUP($A44,'2.1 Toteut. op.vuodet'!$A:$T,COLUMN('2.1 Toteut. op.vuodet'!S:S),FALSE),0)</f>
        <v>1.3329663398503635</v>
      </c>
      <c r="J44" s="78">
        <f t="shared" si="1"/>
        <v>114.6</v>
      </c>
      <c r="K44" s="13">
        <f>IFERROR(Ohj.lask.[[#This Row],[Painotetut opiskelija-vuodet]]/Ohj.lask.[[#Totals],[Painotetut opiskelija-vuodet]],0)</f>
        <v>5.304985760788654E-4</v>
      </c>
      <c r="L44" s="14">
        <f>ROUND(IFERROR('1.1 Jakotaulu'!L$13*Ohj.lask.[[#This Row],[%-osuus 1]],0),0)</f>
        <v>744627</v>
      </c>
      <c r="M44" s="157">
        <f>IFERROR(ROUND(VLOOKUP($A44,'2.2 Tutk. ja osien pain. pist.'!$A:$Q,COLUMN('2.2 Tutk. ja osien pain. pist.'!O:O),FALSE),1),0)</f>
        <v>7250.3</v>
      </c>
      <c r="N44" s="13">
        <f>IFERROR(Ohj.lask.[[#This Row],[Painotetut pisteet 2]]/Ohj.lask.[[#Totals],[Painotetut pisteet 2]],0)</f>
        <v>4.6689369340041702E-4</v>
      </c>
      <c r="O44" s="20">
        <f>ROUND(IFERROR('1.1 Jakotaulu'!K$14*Ohj.lask.[[#This Row],[%-osuus 2]],0),0)</f>
        <v>191231</v>
      </c>
      <c r="P44" s="158">
        <f>IFERROR(ROUND(VLOOKUP($A44,'2.3 Työll. ja jatko-opisk.'!$A:$Z,COLUMN('2.3 Työll. ja jatko-opisk.'!M:M),FALSE),1),0)</f>
        <v>199</v>
      </c>
      <c r="Q44" s="13">
        <f>IFERROR(Ohj.lask.[[#This Row],[Painotetut pisteet 3]]/Ohj.lask.[[#Totals],[Painotetut pisteet 3]],0)</f>
        <v>6.3896265857271153E-4</v>
      </c>
      <c r="R44" s="14">
        <f>ROUND(IFERROR('1.1 Jakotaulu'!L$16*Ohj.lask.[[#This Row],[%-osuus 3]],0),0)</f>
        <v>91598</v>
      </c>
      <c r="S44" s="157">
        <f>IFERROR(ROUND(VLOOKUP($A44,'2.4 Aloittaneet palaute'!$A:$J,COLUMN('2.4 Aloittaneet palaute'!I:I),FALSE),1),0)</f>
        <v>943</v>
      </c>
      <c r="T44" s="17">
        <f>IFERROR(Ohj.lask.[[#This Row],[Painotetut pisteet 4]]/Ohj.lask.[[#Totals],[Painotetut pisteet 4]],0)</f>
        <v>6.0122591430331117E-4</v>
      </c>
      <c r="U44" s="20">
        <f>ROUND(IFERROR('1.1 Jakotaulu'!M$18*Ohj.lask.[[#This Row],[%-osuus 4]],0),0)</f>
        <v>4617</v>
      </c>
      <c r="V44" s="157">
        <f>IFERROR(ROUND(VLOOKUP($A44,'2.5 Päättäneet palaute'!$A:$Z,COLUMN('2.5 Päättäneet palaute'!Y:Y),FALSE),1),0)</f>
        <v>5493.3</v>
      </c>
      <c r="W44" s="17">
        <f>IFERROR(Ohj.lask.[[#This Row],[Painotetut pisteet 5]]/Ohj.lask.[[#Totals],[Painotetut pisteet 5]],0)</f>
        <v>5.7726045259602794E-4</v>
      </c>
      <c r="X44" s="20">
        <f>ROUND(IFERROR('1.1 Jakotaulu'!M$19*Ohj.lask.[[#This Row],[%-osuus 5]],0),0)</f>
        <v>13299</v>
      </c>
      <c r="Y44" s="157">
        <f>IFERROR(ROUND(VLOOKUP($A44,'2.6 Työpaikkaohjaajakysely'!A:I,COLUMN('2.6 Työpaikkaohjaajakysely'!H:H),FALSE),1),0)</f>
        <v>378915.8</v>
      </c>
      <c r="Z44" s="13">
        <f>IFERROR(Ohj.lask.[[#This Row],[Painotetut pisteet 6]]/Ohj.lask.[[#Totals],[Painotetut pisteet 6]],0)</f>
        <v>9.4831309445530209E-4</v>
      </c>
      <c r="AA44" s="20">
        <f>ROUND(IFERROR('1.1 Jakotaulu'!M$21*Ohj.lask.[[#This Row],[%-osuus 6]],0),0)</f>
        <v>21848</v>
      </c>
      <c r="AB44" s="157">
        <f>IFERROR(ROUND(VLOOKUP($A44,'2.7 Työpaikkakysely'!A:G,COLUMN('2.7 Työpaikkakysely'!F:F),FALSE),1),0)</f>
        <v>85069</v>
      </c>
      <c r="AC44" s="13">
        <f>IFERROR(Ohj.lask.[[#This Row],[Pisteet 7]]/Ohj.lask.[[#Totals],[Pisteet 7]],0)</f>
        <v>4.4500416667838858E-4</v>
      </c>
      <c r="AD44" s="20">
        <f>ROUND(IFERROR('1.1 Jakotaulu'!M$22*Ohj.lask.[[#This Row],[%-osuus 7]],0),0)</f>
        <v>3417</v>
      </c>
      <c r="AE44" s="16">
        <f>IFERROR(Ohj.lask.[[#This Row],[Jaettava € 8]]/Ohj.lask.[[#Totals],[Jaettava € 8]],"")</f>
        <v>5.3054124139188677E-4</v>
      </c>
      <c r="AF44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1070637</v>
      </c>
      <c r="AG44" s="105">
        <v>0</v>
      </c>
      <c r="AH44" s="105">
        <v>0</v>
      </c>
      <c r="AI44" s="105">
        <v>0</v>
      </c>
      <c r="AJ44" s="105">
        <v>0</v>
      </c>
      <c r="AK44" s="105">
        <v>0</v>
      </c>
      <c r="AL44" s="105">
        <v>0</v>
      </c>
      <c r="AM44" s="105">
        <v>0</v>
      </c>
      <c r="AN44" s="105">
        <v>0</v>
      </c>
      <c r="AO44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0</v>
      </c>
      <c r="AP44" s="14">
        <f>Ohj.lask.[[#This Row],[Jaettava € 1]]+Ohj.lask.[[#This Row],[Harkinnanvarainen korotus 9, €]]</f>
        <v>744627</v>
      </c>
      <c r="AQ44" s="105">
        <f>Ohj.lask.[[#This Row],[Jaettava € 2]]</f>
        <v>191231</v>
      </c>
      <c r="AR44" s="14">
        <f>Ohj.lask.[[#This Row],[Jaettava € 3]]+Ohj.lask.[[#This Row],[Jaettava € 4]]+Ohj.lask.[[#This Row],[Jaettava € 5]]+Ohj.lask.[[#This Row],[Jaettava € 6]]+Ohj.lask.[[#This Row],[Jaettava € 7]]</f>
        <v>134779</v>
      </c>
      <c r="AS44" s="37">
        <f>Ohj.lask.[[#This Row],[Jaettava € 8]]+Ohj.lask.[[#This Row],[Harkinnanvarainen korotus 9, €]]</f>
        <v>1070637</v>
      </c>
      <c r="AT44" s="37">
        <v>48613</v>
      </c>
      <c r="AU44" s="20">
        <f>Ohj.lask.[[#This Row],[Perus-, suoritus- ja vaikuttavuusrahoitus yhteensä, €]]+Ohj.lask.[[#This Row],[Alv-korvaus, €]]</f>
        <v>1119250</v>
      </c>
    </row>
    <row r="45" spans="1:47" ht="13" x14ac:dyDescent="0.3">
      <c r="A45" s="7" t="s">
        <v>292</v>
      </c>
      <c r="B45" s="11" t="s">
        <v>47</v>
      </c>
      <c r="C45" s="11" t="s">
        <v>180</v>
      </c>
      <c r="D45" s="11" t="s">
        <v>337</v>
      </c>
      <c r="E45" s="11" t="s">
        <v>388</v>
      </c>
      <c r="F45" s="109">
        <v>63</v>
      </c>
      <c r="G45" s="114">
        <f>Ohj.lask.[[#This Row],[Tavoitteelliset opiskelija-vuodet]]-Ohj.lask.[[#This Row],[Järjestämisluvan opisk.vuosien vähimmäismäärä]]</f>
        <v>0</v>
      </c>
      <c r="H45" s="36">
        <v>63</v>
      </c>
      <c r="I45" s="12">
        <f>IFERROR(VLOOKUP($A45,'2.1 Toteut. op.vuodet'!$A:$T,COLUMN('2.1 Toteut. op.vuodet'!S:S),FALSE),0)</f>
        <v>0.91857405832752048</v>
      </c>
      <c r="J45" s="78">
        <f t="shared" si="1"/>
        <v>57.9</v>
      </c>
      <c r="K45" s="13">
        <f>IFERROR(Ohj.lask.[[#This Row],[Painotetut opiskelija-vuodet]]/Ohj.lask.[[#Totals],[Painotetut opiskelija-vuodet]],0)</f>
        <v>2.6802676749534298E-4</v>
      </c>
      <c r="L45" s="14">
        <f>ROUND(IFERROR('1.1 Jakotaulu'!L$13*Ohj.lask.[[#This Row],[%-osuus 1]],0),0)</f>
        <v>376212</v>
      </c>
      <c r="M45" s="157">
        <f>IFERROR(ROUND(VLOOKUP($A45,'2.2 Tutk. ja osien pain. pist.'!$A:$Q,COLUMN('2.2 Tutk. ja osien pain. pist.'!O:O),FALSE),1),0)</f>
        <v>1805.8</v>
      </c>
      <c r="N45" s="13">
        <f>IFERROR(Ohj.lask.[[#This Row],[Painotetut pisteet 2]]/Ohj.lask.[[#Totals],[Painotetut pisteet 2]],0)</f>
        <v>1.1628713729672883E-4</v>
      </c>
      <c r="O45" s="20">
        <f>ROUND(IFERROR('1.1 Jakotaulu'!K$14*Ohj.lask.[[#This Row],[%-osuus 2]],0),0)</f>
        <v>47629</v>
      </c>
      <c r="P45" s="158">
        <f>IFERROR(ROUND(VLOOKUP($A45,'2.3 Työll. ja jatko-opisk.'!$A:$Z,COLUMN('2.3 Työll. ja jatko-opisk.'!M:M),FALSE),1),0)</f>
        <v>35.6</v>
      </c>
      <c r="Q45" s="13">
        <f>IFERROR(Ohj.lask.[[#This Row],[Painotetut pisteet 3]]/Ohj.lask.[[#Totals],[Painotetut pisteet 3]],0)</f>
        <v>1.1430688766426398E-4</v>
      </c>
      <c r="R45" s="14">
        <f>ROUND(IFERROR('1.1 Jakotaulu'!L$16*Ohj.lask.[[#This Row],[%-osuus 3]],0),0)</f>
        <v>16386</v>
      </c>
      <c r="S45" s="157">
        <f>IFERROR(ROUND(VLOOKUP($A45,'2.4 Aloittaneet palaute'!$A:$J,COLUMN('2.4 Aloittaneet palaute'!I:I),FALSE),1),0)</f>
        <v>326.5</v>
      </c>
      <c r="T45" s="17">
        <f>IFERROR(Ohj.lask.[[#This Row],[Painotetut pisteet 4]]/Ohj.lask.[[#Totals],[Painotetut pisteet 4]],0)</f>
        <v>2.0816570627786967E-4</v>
      </c>
      <c r="U45" s="20">
        <f>ROUND(IFERROR('1.1 Jakotaulu'!M$18*Ohj.lask.[[#This Row],[%-osuus 4]],0),0)</f>
        <v>1599</v>
      </c>
      <c r="V45" s="157">
        <f>IFERROR(ROUND(VLOOKUP($A45,'2.5 Päättäneet palaute'!$A:$Z,COLUMN('2.5 Päättäneet palaute'!Y:Y),FALSE),1),0)</f>
        <v>1901.7</v>
      </c>
      <c r="W45" s="17">
        <f>IFERROR(Ohj.lask.[[#This Row],[Painotetut pisteet 5]]/Ohj.lask.[[#Totals],[Painotetut pisteet 5]],0)</f>
        <v>1.9983911359326202E-4</v>
      </c>
      <c r="X45" s="20">
        <f>ROUND(IFERROR('1.1 Jakotaulu'!M$19*Ohj.lask.[[#This Row],[%-osuus 5]],0),0)</f>
        <v>4604</v>
      </c>
      <c r="Y45" s="157">
        <f>IFERROR(ROUND(VLOOKUP($A45,'2.6 Työpaikkaohjaajakysely'!A:I,COLUMN('2.6 Työpaikkaohjaajakysely'!H:H),FALSE),1),0)</f>
        <v>35297.4</v>
      </c>
      <c r="Z45" s="13">
        <f>IFERROR(Ohj.lask.[[#This Row],[Painotetut pisteet 6]]/Ohj.lask.[[#Totals],[Painotetut pisteet 6]],0)</f>
        <v>8.8338851587150982E-5</v>
      </c>
      <c r="AA45" s="20">
        <f>ROUND(IFERROR('1.1 Jakotaulu'!M$21*Ohj.lask.[[#This Row],[%-osuus 6]],0),0)</f>
        <v>2035</v>
      </c>
      <c r="AB45" s="157">
        <f>IFERROR(ROUND(VLOOKUP($A45,'2.7 Työpaikkakysely'!A:G,COLUMN('2.7 Työpaikkakysely'!F:F),FALSE),1),0)</f>
        <v>17028</v>
      </c>
      <c r="AC45" s="13">
        <f>IFERROR(Ohj.lask.[[#This Row],[Pisteet 7]]/Ohj.lask.[[#Totals],[Pisteet 7]],0)</f>
        <v>8.9075114909069114E-5</v>
      </c>
      <c r="AD45" s="20">
        <f>ROUND(IFERROR('1.1 Jakotaulu'!M$22*Ohj.lask.[[#This Row],[%-osuus 7]],0),0)</f>
        <v>684</v>
      </c>
      <c r="AE45" s="16">
        <f>IFERROR(Ohj.lask.[[#This Row],[Jaettava € 8]]/Ohj.lask.[[#Totals],[Jaettava € 8]],"")</f>
        <v>2.2257036514703355E-4</v>
      </c>
      <c r="AF45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449149</v>
      </c>
      <c r="AG45" s="105">
        <v>0</v>
      </c>
      <c r="AH45" s="105">
        <v>0</v>
      </c>
      <c r="AI45" s="105">
        <v>0</v>
      </c>
      <c r="AJ45" s="105">
        <v>0</v>
      </c>
      <c r="AK45" s="105">
        <v>0</v>
      </c>
      <c r="AL45" s="105">
        <v>0</v>
      </c>
      <c r="AM45" s="105">
        <v>0</v>
      </c>
      <c r="AN45" s="105">
        <v>0</v>
      </c>
      <c r="AO45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0</v>
      </c>
      <c r="AP45" s="14">
        <f>Ohj.lask.[[#This Row],[Jaettava € 1]]+Ohj.lask.[[#This Row],[Harkinnanvarainen korotus 9, €]]</f>
        <v>376212</v>
      </c>
      <c r="AQ45" s="105">
        <f>Ohj.lask.[[#This Row],[Jaettava € 2]]</f>
        <v>47629</v>
      </c>
      <c r="AR45" s="14">
        <f>Ohj.lask.[[#This Row],[Jaettava € 3]]+Ohj.lask.[[#This Row],[Jaettava € 4]]+Ohj.lask.[[#This Row],[Jaettava € 5]]+Ohj.lask.[[#This Row],[Jaettava € 6]]+Ohj.lask.[[#This Row],[Jaettava € 7]]</f>
        <v>25308</v>
      </c>
      <c r="AS45" s="37">
        <f>Ohj.lask.[[#This Row],[Jaettava € 8]]+Ohj.lask.[[#This Row],[Harkinnanvarainen korotus 9, €]]</f>
        <v>449149</v>
      </c>
      <c r="AT45" s="37">
        <v>0</v>
      </c>
      <c r="AU45" s="20">
        <f>Ohj.lask.[[#This Row],[Perus-, suoritus- ja vaikuttavuusrahoitus yhteensä, €]]+Ohj.lask.[[#This Row],[Alv-korvaus, €]]</f>
        <v>449149</v>
      </c>
    </row>
    <row r="46" spans="1:47" ht="13" x14ac:dyDescent="0.3">
      <c r="A46" s="7" t="s">
        <v>291</v>
      </c>
      <c r="B46" s="11" t="s">
        <v>48</v>
      </c>
      <c r="C46" s="11" t="s">
        <v>182</v>
      </c>
      <c r="D46" s="11" t="s">
        <v>337</v>
      </c>
      <c r="E46" s="11" t="s">
        <v>388</v>
      </c>
      <c r="F46" s="109">
        <v>23</v>
      </c>
      <c r="G46" s="114">
        <f>Ohj.lask.[[#This Row],[Tavoitteelliset opiskelija-vuodet]]-Ohj.lask.[[#This Row],[Järjestämisluvan opisk.vuosien vähimmäismäärä]]</f>
        <v>0</v>
      </c>
      <c r="H46" s="36">
        <v>23</v>
      </c>
      <c r="I46" s="12">
        <f>IFERROR(VLOOKUP($A46,'2.1 Toteut. op.vuodet'!$A:$T,COLUMN('2.1 Toteut. op.vuodet'!S:S),FALSE),0)</f>
        <v>0.72738502042669018</v>
      </c>
      <c r="J46" s="78">
        <f t="shared" si="1"/>
        <v>16.7</v>
      </c>
      <c r="K46" s="13">
        <f>IFERROR(Ohj.lask.[[#This Row],[Painotetut opiskelija-vuodet]]/Ohj.lask.[[#Totals],[Painotetut opiskelija-vuodet]],0)</f>
        <v>7.7306511522836412E-5</v>
      </c>
      <c r="L46" s="14">
        <f>ROUND(IFERROR('1.1 Jakotaulu'!L$13*Ohj.lask.[[#This Row],[%-osuus 1]],0),0)</f>
        <v>108510</v>
      </c>
      <c r="M46" s="157">
        <f>IFERROR(ROUND(VLOOKUP($A46,'2.2 Tutk. ja osien pain. pist.'!$A:$Q,COLUMN('2.2 Tutk. ja osien pain. pist.'!O:O),FALSE),1),0)</f>
        <v>577</v>
      </c>
      <c r="N46" s="13">
        <f>IFERROR(Ohj.lask.[[#This Row],[Painotetut pisteet 2]]/Ohj.lask.[[#Totals],[Painotetut pisteet 2]],0)</f>
        <v>3.7156760560534129E-5</v>
      </c>
      <c r="O46" s="20">
        <f>ROUND(IFERROR('1.1 Jakotaulu'!K$14*Ohj.lask.[[#This Row],[%-osuus 2]],0),0)</f>
        <v>15219</v>
      </c>
      <c r="P46" s="158">
        <f>IFERROR(ROUND(VLOOKUP($A46,'2.3 Työll. ja jatko-opisk.'!$A:$Z,COLUMN('2.3 Työll. ja jatko-opisk.'!M:M),FALSE),1),0)</f>
        <v>40.5</v>
      </c>
      <c r="Q46" s="13">
        <f>IFERROR(Ohj.lask.[[#This Row],[Painotetut pisteet 3]]/Ohj.lask.[[#Totals],[Painotetut pisteet 3]],0)</f>
        <v>1.3004013905625536E-4</v>
      </c>
      <c r="R46" s="14">
        <f>ROUND(IFERROR('1.1 Jakotaulu'!L$16*Ohj.lask.[[#This Row],[%-osuus 3]],0),0)</f>
        <v>18642</v>
      </c>
      <c r="S46" s="157">
        <f>IFERROR(ROUND(VLOOKUP($A46,'2.4 Aloittaneet palaute'!$A:$J,COLUMN('2.4 Aloittaneet palaute'!I:I),FALSE),1),0)</f>
        <v>239.7</v>
      </c>
      <c r="T46" s="17">
        <f>IFERROR(Ohj.lask.[[#This Row],[Painotetut pisteet 4]]/Ohj.lask.[[#Totals],[Painotetut pisteet 4]],0)</f>
        <v>1.5282486920307919E-4</v>
      </c>
      <c r="U46" s="20">
        <f>ROUND(IFERROR('1.1 Jakotaulu'!M$18*Ohj.lask.[[#This Row],[%-osuus 4]],0),0)</f>
        <v>1174</v>
      </c>
      <c r="V46" s="157">
        <f>IFERROR(ROUND(VLOOKUP($A46,'2.5 Päättäneet palaute'!$A:$Z,COLUMN('2.5 Päättäneet palaute'!Y:Y),FALSE),1),0)</f>
        <v>855</v>
      </c>
      <c r="W46" s="17">
        <f>IFERROR(Ohj.lask.[[#This Row],[Painotetut pisteet 5]]/Ohj.lask.[[#Totals],[Painotetut pisteet 5]],0)</f>
        <v>8.9847211506672469E-5</v>
      </c>
      <c r="X46" s="20">
        <f>ROUND(IFERROR('1.1 Jakotaulu'!M$19*Ohj.lask.[[#This Row],[%-osuus 5]],0),0)</f>
        <v>2070</v>
      </c>
      <c r="Y46" s="157">
        <f>IFERROR(ROUND(VLOOKUP($A46,'2.6 Työpaikkaohjaajakysely'!A:I,COLUMN('2.6 Työpaikkaohjaajakysely'!H:H),FALSE),1),0)</f>
        <v>59781.1</v>
      </c>
      <c r="Z46" s="13">
        <f>IFERROR(Ohj.lask.[[#This Row],[Painotetut pisteet 6]]/Ohj.lask.[[#Totals],[Painotetut pisteet 6]],0)</f>
        <v>1.4961424129303095E-4</v>
      </c>
      <c r="AA46" s="20">
        <f>ROUND(IFERROR('1.1 Jakotaulu'!M$21*Ohj.lask.[[#This Row],[%-osuus 6]],0),0)</f>
        <v>3447</v>
      </c>
      <c r="AB46" s="157">
        <f>IFERROR(ROUND(VLOOKUP($A46,'2.7 Työpaikkakysely'!A:G,COLUMN('2.7 Työpaikkakysely'!F:F),FALSE),1),0)</f>
        <v>49290</v>
      </c>
      <c r="AC46" s="13">
        <f>IFERROR(Ohj.lask.[[#This Row],[Pisteet 7]]/Ohj.lask.[[#Totals],[Pisteet 7]],0)</f>
        <v>2.5784075721564577E-4</v>
      </c>
      <c r="AD46" s="20">
        <f>ROUND(IFERROR('1.1 Jakotaulu'!M$22*Ohj.lask.[[#This Row],[%-osuus 7]],0),0)</f>
        <v>1980</v>
      </c>
      <c r="AE46" s="16">
        <f>IFERROR(Ohj.lask.[[#This Row],[Jaettava € 8]]/Ohj.lask.[[#Totals],[Jaettava € 8]],"")</f>
        <v>7.48470398298521E-5</v>
      </c>
      <c r="AF46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151042</v>
      </c>
      <c r="AG46" s="105">
        <v>0</v>
      </c>
      <c r="AH46" s="105">
        <v>0</v>
      </c>
      <c r="AI46" s="105">
        <v>0</v>
      </c>
      <c r="AJ46" s="105">
        <v>0</v>
      </c>
      <c r="AK46" s="105">
        <v>0</v>
      </c>
      <c r="AL46" s="105">
        <v>0</v>
      </c>
      <c r="AM46" s="105">
        <v>0</v>
      </c>
      <c r="AN46" s="105">
        <v>0</v>
      </c>
      <c r="AO46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0</v>
      </c>
      <c r="AP46" s="14">
        <f>Ohj.lask.[[#This Row],[Jaettava € 1]]+Ohj.lask.[[#This Row],[Harkinnanvarainen korotus 9, €]]</f>
        <v>108510</v>
      </c>
      <c r="AQ46" s="105">
        <f>Ohj.lask.[[#This Row],[Jaettava € 2]]</f>
        <v>15219</v>
      </c>
      <c r="AR46" s="14">
        <f>Ohj.lask.[[#This Row],[Jaettava € 3]]+Ohj.lask.[[#This Row],[Jaettava € 4]]+Ohj.lask.[[#This Row],[Jaettava € 5]]+Ohj.lask.[[#This Row],[Jaettava € 6]]+Ohj.lask.[[#This Row],[Jaettava € 7]]</f>
        <v>27313</v>
      </c>
      <c r="AS46" s="37">
        <f>Ohj.lask.[[#This Row],[Jaettava € 8]]+Ohj.lask.[[#This Row],[Harkinnanvarainen korotus 9, €]]</f>
        <v>151042</v>
      </c>
      <c r="AT46" s="37">
        <v>8935</v>
      </c>
      <c r="AU46" s="20">
        <f>Ohj.lask.[[#This Row],[Perus-, suoritus- ja vaikuttavuusrahoitus yhteensä, €]]+Ohj.lask.[[#This Row],[Alv-korvaus, €]]</f>
        <v>159977</v>
      </c>
    </row>
    <row r="47" spans="1:47" ht="13" x14ac:dyDescent="0.3">
      <c r="A47" s="7" t="s">
        <v>289</v>
      </c>
      <c r="B47" s="11" t="s">
        <v>49</v>
      </c>
      <c r="C47" s="11" t="s">
        <v>180</v>
      </c>
      <c r="D47" s="11" t="s">
        <v>337</v>
      </c>
      <c r="E47" s="11" t="s">
        <v>388</v>
      </c>
      <c r="F47" s="109">
        <v>83</v>
      </c>
      <c r="G47" s="114">
        <f>Ohj.lask.[[#This Row],[Tavoitteelliset opiskelija-vuodet]]-Ohj.lask.[[#This Row],[Järjestämisluvan opisk.vuosien vähimmäismäärä]]</f>
        <v>19</v>
      </c>
      <c r="H47" s="36">
        <v>102</v>
      </c>
      <c r="I47" s="12">
        <f>IFERROR(VLOOKUP($A47,'2.1 Toteut. op.vuodet'!$A:$T,COLUMN('2.1 Toteut. op.vuodet'!S:S),FALSE),0)</f>
        <v>1.0549671766839501</v>
      </c>
      <c r="J47" s="78">
        <f t="shared" si="1"/>
        <v>107.6</v>
      </c>
      <c r="K47" s="13">
        <f>IFERROR(Ohj.lask.[[#This Row],[Painotetut opiskelija-vuodet]]/Ohj.lask.[[#Totals],[Painotetut opiskelija-vuodet]],0)</f>
        <v>4.9809464909324533E-4</v>
      </c>
      <c r="L47" s="14">
        <f>ROUND(IFERROR('1.1 Jakotaulu'!L$13*Ohj.lask.[[#This Row],[%-osuus 1]],0),0)</f>
        <v>699144</v>
      </c>
      <c r="M47" s="157">
        <f>IFERROR(ROUND(VLOOKUP($A47,'2.2 Tutk. ja osien pain. pist.'!$A:$Q,COLUMN('2.2 Tutk. ja osien pain. pist.'!O:O),FALSE),1),0)</f>
        <v>5686.4</v>
      </c>
      <c r="N47" s="13">
        <f>IFERROR(Ohj.lask.[[#This Row],[Painotetut pisteet 2]]/Ohj.lask.[[#Totals],[Painotetut pisteet 2]],0)</f>
        <v>3.6618406109431762E-4</v>
      </c>
      <c r="O47" s="20">
        <f>ROUND(IFERROR('1.1 Jakotaulu'!K$14*Ohj.lask.[[#This Row],[%-osuus 2]],0),0)</f>
        <v>149982</v>
      </c>
      <c r="P47" s="158">
        <f>IFERROR(ROUND(VLOOKUP($A47,'2.3 Työll. ja jatko-opisk.'!$A:$Z,COLUMN('2.3 Työll. ja jatko-opisk.'!M:M),FALSE),1),0)</f>
        <v>103</v>
      </c>
      <c r="Q47" s="13">
        <f>IFERROR(Ohj.lask.[[#This Row],[Painotetut pisteet 3]]/Ohj.lask.[[#Totals],[Painotetut pisteet 3]],0)</f>
        <v>3.3071936599492105E-4</v>
      </c>
      <c r="R47" s="14">
        <f>ROUND(IFERROR('1.1 Jakotaulu'!L$16*Ohj.lask.[[#This Row],[%-osuus 3]],0),0)</f>
        <v>47410</v>
      </c>
      <c r="S47" s="157">
        <f>IFERROR(ROUND(VLOOKUP($A47,'2.4 Aloittaneet palaute'!$A:$J,COLUMN('2.4 Aloittaneet palaute'!I:I),FALSE),1),0)</f>
        <v>604.5</v>
      </c>
      <c r="T47" s="17">
        <f>IFERROR(Ohj.lask.[[#This Row],[Painotetut pisteet 4]]/Ohj.lask.[[#Totals],[Painotetut pisteet 4]],0)</f>
        <v>3.8540940105657643E-4</v>
      </c>
      <c r="U47" s="20">
        <f>ROUND(IFERROR('1.1 Jakotaulu'!M$18*Ohj.lask.[[#This Row],[%-osuus 4]],0),0)</f>
        <v>2960</v>
      </c>
      <c r="V47" s="157">
        <f>IFERROR(ROUND(VLOOKUP($A47,'2.5 Päättäneet palaute'!$A:$Z,COLUMN('2.5 Päättäneet palaute'!Y:Y),FALSE),1),0)</f>
        <v>2749.3</v>
      </c>
      <c r="W47" s="17">
        <f>IFERROR(Ohj.lask.[[#This Row],[Painotetut pisteet 5]]/Ohj.lask.[[#Totals],[Painotetut pisteet 5]],0)</f>
        <v>2.8890870011145573E-4</v>
      </c>
      <c r="X47" s="20">
        <f>ROUND(IFERROR('1.1 Jakotaulu'!M$19*Ohj.lask.[[#This Row],[%-osuus 5]],0),0)</f>
        <v>6656</v>
      </c>
      <c r="Y47" s="157">
        <f>IFERROR(ROUND(VLOOKUP($A47,'2.6 Työpaikkaohjaajakysely'!A:I,COLUMN('2.6 Työpaikkaohjaajakysely'!H:H),FALSE),1),0)</f>
        <v>68910.399999999994</v>
      </c>
      <c r="Z47" s="13">
        <f>IFERROR(Ohj.lask.[[#This Row],[Painotetut pisteet 6]]/Ohj.lask.[[#Totals],[Painotetut pisteet 6]],0)</f>
        <v>1.7246215297475758E-4</v>
      </c>
      <c r="AA47" s="20">
        <f>ROUND(IFERROR('1.1 Jakotaulu'!M$21*Ohj.lask.[[#This Row],[%-osuus 6]],0),0)</f>
        <v>3973</v>
      </c>
      <c r="AB47" s="157">
        <f>IFERROR(ROUND(VLOOKUP($A47,'2.7 Työpaikkakysely'!A:G,COLUMN('2.7 Työpaikkakysely'!F:F),FALSE),1),0)</f>
        <v>53248</v>
      </c>
      <c r="AC47" s="13">
        <f>IFERROR(Ohj.lask.[[#This Row],[Pisteet 7]]/Ohj.lask.[[#Totals],[Pisteet 7]],0)</f>
        <v>2.785454380243195E-4</v>
      </c>
      <c r="AD47" s="20">
        <f>ROUND(IFERROR('1.1 Jakotaulu'!M$22*Ohj.lask.[[#This Row],[%-osuus 7]],0),0)</f>
        <v>2139</v>
      </c>
      <c r="AE47" s="16">
        <f>IFERROR(Ohj.lask.[[#This Row],[Jaettava € 8]]/Ohj.lask.[[#Totals],[Jaettava € 8]],"")</f>
        <v>4.5206141300658224E-4</v>
      </c>
      <c r="AF47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912264</v>
      </c>
      <c r="AG47" s="105">
        <v>0</v>
      </c>
      <c r="AH47" s="105">
        <v>0</v>
      </c>
      <c r="AI47" s="105">
        <v>0</v>
      </c>
      <c r="AJ47" s="105">
        <v>0</v>
      </c>
      <c r="AK47" s="105">
        <v>0</v>
      </c>
      <c r="AL47" s="105">
        <v>0</v>
      </c>
      <c r="AM47" s="105">
        <v>0</v>
      </c>
      <c r="AN47" s="105">
        <v>0</v>
      </c>
      <c r="AO47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0</v>
      </c>
      <c r="AP47" s="14">
        <f>Ohj.lask.[[#This Row],[Jaettava € 1]]+Ohj.lask.[[#This Row],[Harkinnanvarainen korotus 9, €]]</f>
        <v>699144</v>
      </c>
      <c r="AQ47" s="105">
        <f>Ohj.lask.[[#This Row],[Jaettava € 2]]</f>
        <v>149982</v>
      </c>
      <c r="AR47" s="14">
        <f>Ohj.lask.[[#This Row],[Jaettava € 3]]+Ohj.lask.[[#This Row],[Jaettava € 4]]+Ohj.lask.[[#This Row],[Jaettava € 5]]+Ohj.lask.[[#This Row],[Jaettava € 6]]+Ohj.lask.[[#This Row],[Jaettava € 7]]</f>
        <v>63138</v>
      </c>
      <c r="AS47" s="37">
        <f>Ohj.lask.[[#This Row],[Jaettava € 8]]+Ohj.lask.[[#This Row],[Harkinnanvarainen korotus 9, €]]</f>
        <v>912264</v>
      </c>
      <c r="AT47" s="37">
        <v>32280</v>
      </c>
      <c r="AU47" s="20">
        <f>Ohj.lask.[[#This Row],[Perus-, suoritus- ja vaikuttavuusrahoitus yhteensä, €]]+Ohj.lask.[[#This Row],[Alv-korvaus, €]]</f>
        <v>944544</v>
      </c>
    </row>
    <row r="48" spans="1:47" ht="13" x14ac:dyDescent="0.3">
      <c r="A48" s="7" t="s">
        <v>288</v>
      </c>
      <c r="B48" s="11" t="s">
        <v>50</v>
      </c>
      <c r="C48" s="99" t="s">
        <v>232</v>
      </c>
      <c r="D48" s="99" t="s">
        <v>336</v>
      </c>
      <c r="E48" s="99" t="s">
        <v>388</v>
      </c>
      <c r="F48" s="108">
        <v>2434</v>
      </c>
      <c r="G48" s="114">
        <f>Ohj.lask.[[#This Row],[Tavoitteelliset opiskelija-vuodet]]-Ohj.lask.[[#This Row],[Järjestämisluvan opisk.vuosien vähimmäismäärä]]</f>
        <v>60</v>
      </c>
      <c r="H48" s="36">
        <v>2494</v>
      </c>
      <c r="I48" s="12">
        <f>IFERROR(VLOOKUP($A48,'2.1 Toteut. op.vuodet'!$A:$T,COLUMN('2.1 Toteut. op.vuodet'!S:S),FALSE),0)</f>
        <v>1.1433721595167501</v>
      </c>
      <c r="J48" s="78">
        <f t="shared" si="1"/>
        <v>2851.6</v>
      </c>
      <c r="K48" s="13">
        <f>IFERROR(Ohj.lask.[[#This Row],[Painotetut opiskelija-vuodet]]/Ohj.lask.[[#Totals],[Painotetut opiskelija-vuodet]],0)</f>
        <v>1.3200434027456305E-2</v>
      </c>
      <c r="L48" s="14">
        <f>ROUND(IFERROR('1.1 Jakotaulu'!L$13*Ohj.lask.[[#This Row],[%-osuus 1]],0),0)</f>
        <v>18528604</v>
      </c>
      <c r="M48" s="157">
        <f>IFERROR(ROUND(VLOOKUP($A48,'2.2 Tutk. ja osien pain. pist.'!$A:$Q,COLUMN('2.2 Tutk. ja osien pain. pist.'!O:O),FALSE),1),0)</f>
        <v>200403.3</v>
      </c>
      <c r="N48" s="13">
        <f>IFERROR(Ohj.lask.[[#This Row],[Painotetut pisteet 2]]/Ohj.lask.[[#Totals],[Painotetut pisteet 2]],0)</f>
        <v>1.2905264183086464E-2</v>
      </c>
      <c r="O48" s="20">
        <f>ROUND(IFERROR('1.1 Jakotaulu'!K$14*Ohj.lask.[[#This Row],[%-osuus 2]],0),0)</f>
        <v>5285764</v>
      </c>
      <c r="P48" s="158">
        <f>IFERROR(ROUND(VLOOKUP($A48,'2.3 Työll. ja jatko-opisk.'!$A:$Z,COLUMN('2.3 Työll. ja jatko-opisk.'!M:M),FALSE),1),0)</f>
        <v>4281.8</v>
      </c>
      <c r="Q48" s="17">
        <f>IFERROR(Ohj.lask.[[#This Row],[Painotetut pisteet 3]]/Ohj.lask.[[#Totals],[Painotetut pisteet 3]],0)</f>
        <v>1.3748293022495662E-2</v>
      </c>
      <c r="R48" s="14">
        <f>ROUND(IFERROR('1.1 Jakotaulu'!L$16*Ohj.lask.[[#This Row],[%-osuus 3]],0),0)</f>
        <v>1970869</v>
      </c>
      <c r="S48" s="157">
        <f>IFERROR(ROUND(VLOOKUP($A48,'2.4 Aloittaneet palaute'!$A:$J,COLUMN('2.4 Aloittaneet palaute'!I:I),FALSE),1),0)</f>
        <v>25022</v>
      </c>
      <c r="T48" s="17">
        <f>IFERROR(Ohj.lask.[[#This Row],[Painotetut pisteet 4]]/Ohj.lask.[[#Totals],[Painotetut pisteet 4]],0)</f>
        <v>1.5953207664578421E-2</v>
      </c>
      <c r="U48" s="20">
        <f>ROUND(IFERROR('1.1 Jakotaulu'!M$18*Ohj.lask.[[#This Row],[%-osuus 4]],0),0)</f>
        <v>122515</v>
      </c>
      <c r="V48" s="157">
        <f>IFERROR(ROUND(VLOOKUP($A48,'2.5 Päättäneet palaute'!$A:$Z,COLUMN('2.5 Päättäneet palaute'!Y:Y),FALSE),1),0)</f>
        <v>126687.9</v>
      </c>
      <c r="W48" s="17">
        <f>IFERROR(Ohj.lask.[[#This Row],[Painotetut pisteet 5]]/Ohj.lask.[[#Totals],[Painotetut pisteet 5]],0)</f>
        <v>1.3312929294311311E-2</v>
      </c>
      <c r="X48" s="20">
        <f>ROUND(IFERROR('1.1 Jakotaulu'!M$19*Ohj.lask.[[#This Row],[%-osuus 5]],0),0)</f>
        <v>306716</v>
      </c>
      <c r="Y48" s="157">
        <f>IFERROR(ROUND(VLOOKUP($A48,'2.6 Työpaikkaohjaajakysely'!A:I,COLUMN('2.6 Työpaikkaohjaajakysely'!H:H),FALSE),1),0)</f>
        <v>5350574.3</v>
      </c>
      <c r="Z48" s="13">
        <f>IFERROR(Ohj.lask.[[#This Row],[Painotetut pisteet 6]]/Ohj.lask.[[#Totals],[Painotetut pisteet 6]],0)</f>
        <v>1.3390889668749658E-2</v>
      </c>
      <c r="AA48" s="20">
        <f>ROUND(IFERROR('1.1 Jakotaulu'!M$21*Ohj.lask.[[#This Row],[%-osuus 6]],0),0)</f>
        <v>308513</v>
      </c>
      <c r="AB48" s="157">
        <f>IFERROR(ROUND(VLOOKUP($A48,'2.7 Työpaikkakysely'!A:G,COLUMN('2.7 Työpaikkakysely'!F:F),FALSE),1),0)</f>
        <v>3209079</v>
      </c>
      <c r="AC48" s="13">
        <f>IFERROR(Ohj.lask.[[#This Row],[Pisteet 7]]/Ohj.lask.[[#Totals],[Pisteet 7]],0)</f>
        <v>1.6787002623753853E-2</v>
      </c>
      <c r="AD48" s="20">
        <f>ROUND(IFERROR('1.1 Jakotaulu'!M$22*Ohj.lask.[[#This Row],[%-osuus 7]],0),0)</f>
        <v>128919</v>
      </c>
      <c r="AE48" s="16">
        <f>IFERROR(Ohj.lask.[[#This Row],[Jaettava € 8]]/Ohj.lask.[[#Totals],[Jaettava € 8]],"")</f>
        <v>1.3207027322474776E-2</v>
      </c>
      <c r="AF48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26651900</v>
      </c>
      <c r="AG48" s="105">
        <v>0</v>
      </c>
      <c r="AH48" s="105">
        <v>0</v>
      </c>
      <c r="AI48" s="105">
        <v>0</v>
      </c>
      <c r="AJ48" s="105">
        <v>0</v>
      </c>
      <c r="AK48" s="105">
        <v>0</v>
      </c>
      <c r="AL48" s="105">
        <v>0</v>
      </c>
      <c r="AM48" s="105">
        <v>32000</v>
      </c>
      <c r="AN48" s="105">
        <v>0</v>
      </c>
      <c r="AO48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32000</v>
      </c>
      <c r="AP48" s="14">
        <f>Ohj.lask.[[#This Row],[Jaettava € 1]]+Ohj.lask.[[#This Row],[Harkinnanvarainen korotus 9, €]]</f>
        <v>18560604</v>
      </c>
      <c r="AQ48" s="105">
        <f>Ohj.lask.[[#This Row],[Jaettava € 2]]</f>
        <v>5285764</v>
      </c>
      <c r="AR48" s="14">
        <f>Ohj.lask.[[#This Row],[Jaettava € 3]]+Ohj.lask.[[#This Row],[Jaettava € 4]]+Ohj.lask.[[#This Row],[Jaettava € 5]]+Ohj.lask.[[#This Row],[Jaettava € 6]]+Ohj.lask.[[#This Row],[Jaettava € 7]]</f>
        <v>2837532</v>
      </c>
      <c r="AS48" s="37">
        <f>Ohj.lask.[[#This Row],[Jaettava € 8]]+Ohj.lask.[[#This Row],[Harkinnanvarainen korotus 9, €]]</f>
        <v>26683900</v>
      </c>
      <c r="AT48" s="37">
        <v>0</v>
      </c>
      <c r="AU48" s="20">
        <f>Ohj.lask.[[#This Row],[Perus-, suoritus- ja vaikuttavuusrahoitus yhteensä, €]]+Ohj.lask.[[#This Row],[Alv-korvaus, €]]</f>
        <v>26683900</v>
      </c>
    </row>
    <row r="49" spans="1:47" ht="13" x14ac:dyDescent="0.3">
      <c r="A49" s="7" t="s">
        <v>277</v>
      </c>
      <c r="B49" s="11" t="s">
        <v>454</v>
      </c>
      <c r="C49" s="11" t="s">
        <v>275</v>
      </c>
      <c r="D49" s="11" t="s">
        <v>337</v>
      </c>
      <c r="E49" s="11" t="s">
        <v>388</v>
      </c>
      <c r="F49" s="109">
        <v>43</v>
      </c>
      <c r="G49" s="114">
        <f>Ohj.lask.[[#This Row],[Tavoitteelliset opiskelija-vuodet]]-Ohj.lask.[[#This Row],[Järjestämisluvan opisk.vuosien vähimmäismäärä]]</f>
        <v>5</v>
      </c>
      <c r="H49" s="36">
        <v>48</v>
      </c>
      <c r="I49" s="12">
        <f>IFERROR(VLOOKUP($A49,'2.1 Toteut. op.vuodet'!$A:$T,COLUMN('2.1 Toteut. op.vuodet'!S:S),FALSE),0)</f>
        <v>1.4740489378865278</v>
      </c>
      <c r="J49" s="78">
        <f t="shared" si="1"/>
        <v>70.8</v>
      </c>
      <c r="K49" s="13">
        <f>IFERROR(Ohj.lask.[[#This Row],[Painotetut opiskelija-vuodet]]/Ohj.lask.[[#Totals],[Painotetut opiskelija-vuodet]],0)</f>
        <v>3.2774257579741426E-4</v>
      </c>
      <c r="L49" s="14">
        <f>ROUND(IFERROR('1.1 Jakotaulu'!L$13*Ohj.lask.[[#This Row],[%-osuus 1]],0),0)</f>
        <v>460031</v>
      </c>
      <c r="M49" s="157">
        <f>IFERROR(ROUND(VLOOKUP($A49,'2.2 Tutk. ja osien pain. pist.'!$A:$Q,COLUMN('2.2 Tutk. ja osien pain. pist.'!O:O),FALSE),1),0)</f>
        <v>8432.5</v>
      </c>
      <c r="N49" s="13">
        <f>IFERROR(Ohj.lask.[[#This Row],[Painotetut pisteet 2]]/Ohj.lask.[[#Totals],[Painotetut pisteet 2]],0)</f>
        <v>5.4302319484697407E-4</v>
      </c>
      <c r="O49" s="20">
        <f>ROUND(IFERROR('1.1 Jakotaulu'!K$14*Ohj.lask.[[#This Row],[%-osuus 2]],0),0)</f>
        <v>222413</v>
      </c>
      <c r="P49" s="158">
        <f>IFERROR(ROUND(VLOOKUP($A49,'2.3 Työll. ja jatko-opisk.'!$A:$Z,COLUMN('2.3 Työll. ja jatko-opisk.'!M:M),FALSE),1),0)</f>
        <v>108.4</v>
      </c>
      <c r="Q49" s="13">
        <f>IFERROR(Ohj.lask.[[#This Row],[Painotetut pisteet 3]]/Ohj.lask.[[#Totals],[Painotetut pisteet 3]],0)</f>
        <v>3.480580512024218E-4</v>
      </c>
      <c r="R49" s="14">
        <f>ROUND(IFERROR('1.1 Jakotaulu'!L$16*Ohj.lask.[[#This Row],[%-osuus 3]],0),0)</f>
        <v>49895</v>
      </c>
      <c r="S49" s="157">
        <f>IFERROR(ROUND(VLOOKUP($A49,'2.4 Aloittaneet palaute'!$A:$J,COLUMN('2.4 Aloittaneet palaute'!I:I),FALSE),1),0)</f>
        <v>358.5</v>
      </c>
      <c r="T49" s="17">
        <f>IFERROR(Ohj.lask.[[#This Row],[Painotetut pisteet 4]]/Ohj.lask.[[#Totals],[Painotetut pisteet 4]],0)</f>
        <v>2.2856785819484309E-4</v>
      </c>
      <c r="U49" s="20">
        <f>ROUND(IFERROR('1.1 Jakotaulu'!M$18*Ohj.lask.[[#This Row],[%-osuus 4]],0),0)</f>
        <v>1755</v>
      </c>
      <c r="V49" s="157">
        <f>IFERROR(ROUND(VLOOKUP($A49,'2.5 Päättäneet palaute'!$A:$Z,COLUMN('2.5 Päättäneet palaute'!Y:Y),FALSE),1),0)</f>
        <v>2644.7</v>
      </c>
      <c r="W49" s="17">
        <f>IFERROR(Ohj.lask.[[#This Row],[Painotetut pisteet 5]]/Ohj.lask.[[#Totals],[Painotetut pisteet 5]],0)</f>
        <v>2.779168658148499E-4</v>
      </c>
      <c r="X49" s="20">
        <f>ROUND(IFERROR('1.1 Jakotaulu'!M$19*Ohj.lask.[[#This Row],[%-osuus 5]],0),0)</f>
        <v>6403</v>
      </c>
      <c r="Y49" s="157">
        <f>IFERROR(ROUND(VLOOKUP($A49,'2.6 Työpaikkaohjaajakysely'!A:I,COLUMN('2.6 Työpaikkaohjaajakysely'!H:H),FALSE),1),0)</f>
        <v>0</v>
      </c>
      <c r="Z49" s="13">
        <f>IFERROR(Ohj.lask.[[#This Row],[Painotetut pisteet 6]]/Ohj.lask.[[#Totals],[Painotetut pisteet 6]],0)</f>
        <v>0</v>
      </c>
      <c r="AA49" s="20">
        <f>ROUND(IFERROR('1.1 Jakotaulu'!M$21*Ohj.lask.[[#This Row],[%-osuus 6]],0),0)</f>
        <v>0</v>
      </c>
      <c r="AB49" s="157">
        <f>IFERROR(ROUND(VLOOKUP($A49,'2.7 Työpaikkakysely'!A:G,COLUMN('2.7 Työpaikkakysely'!F:F),FALSE),1),0)</f>
        <v>0</v>
      </c>
      <c r="AC49" s="13">
        <f>IFERROR(Ohj.lask.[[#This Row],[Pisteet 7]]/Ohj.lask.[[#Totals],[Pisteet 7]],0)</f>
        <v>0</v>
      </c>
      <c r="AD49" s="20">
        <f>ROUND(IFERROR('1.1 Jakotaulu'!M$22*Ohj.lask.[[#This Row],[%-osuus 7]],0),0)</f>
        <v>0</v>
      </c>
      <c r="AE49" s="16">
        <f>IFERROR(Ohj.lask.[[#This Row],[Jaettava € 8]]/Ohj.lask.[[#Totals],[Jaettava € 8]],"")</f>
        <v>3.6694434960399085E-4</v>
      </c>
      <c r="AF49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740497</v>
      </c>
      <c r="AG49" s="105">
        <v>0</v>
      </c>
      <c r="AH49" s="105">
        <v>0</v>
      </c>
      <c r="AI49" s="105">
        <v>0</v>
      </c>
      <c r="AJ49" s="105">
        <v>0</v>
      </c>
      <c r="AK49" s="105">
        <v>0</v>
      </c>
      <c r="AL49" s="105">
        <v>0</v>
      </c>
      <c r="AM49" s="105">
        <v>0</v>
      </c>
      <c r="AN49" s="105">
        <v>0</v>
      </c>
      <c r="AO49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0</v>
      </c>
      <c r="AP49" s="14">
        <f>Ohj.lask.[[#This Row],[Jaettava € 1]]+Ohj.lask.[[#This Row],[Harkinnanvarainen korotus 9, €]]</f>
        <v>460031</v>
      </c>
      <c r="AQ49" s="105">
        <f>Ohj.lask.[[#This Row],[Jaettava € 2]]</f>
        <v>222413</v>
      </c>
      <c r="AR49" s="14">
        <f>Ohj.lask.[[#This Row],[Jaettava € 3]]+Ohj.lask.[[#This Row],[Jaettava € 4]]+Ohj.lask.[[#This Row],[Jaettava € 5]]+Ohj.lask.[[#This Row],[Jaettava € 6]]+Ohj.lask.[[#This Row],[Jaettava € 7]]</f>
        <v>58053</v>
      </c>
      <c r="AS49" s="37">
        <f>Ohj.lask.[[#This Row],[Jaettava € 8]]+Ohj.lask.[[#This Row],[Harkinnanvarainen korotus 9, €]]</f>
        <v>740497</v>
      </c>
      <c r="AT49" s="37">
        <v>13512</v>
      </c>
      <c r="AU49" s="20">
        <f>Ohj.lask.[[#This Row],[Perus-, suoritus- ja vaikuttavuusrahoitus yhteensä, €]]+Ohj.lask.[[#This Row],[Alv-korvaus, €]]</f>
        <v>754009</v>
      </c>
    </row>
    <row r="50" spans="1:47" ht="13" x14ac:dyDescent="0.3">
      <c r="A50" s="7" t="s">
        <v>276</v>
      </c>
      <c r="B50" s="11" t="s">
        <v>52</v>
      </c>
      <c r="C50" s="11" t="s">
        <v>275</v>
      </c>
      <c r="D50" s="11" t="s">
        <v>336</v>
      </c>
      <c r="E50" s="11" t="s">
        <v>388</v>
      </c>
      <c r="F50" s="109">
        <v>2572</v>
      </c>
      <c r="G50" s="114">
        <f>Ohj.lask.[[#This Row],[Tavoitteelliset opiskelija-vuodet]]-Ohj.lask.[[#This Row],[Järjestämisluvan opisk.vuosien vähimmäismäärä]]</f>
        <v>72</v>
      </c>
      <c r="H50" s="36">
        <v>2644</v>
      </c>
      <c r="I50" s="12">
        <f>IFERROR(VLOOKUP($A50,'2.1 Toteut. op.vuodet'!$A:$T,COLUMN('2.1 Toteut. op.vuodet'!S:S),FALSE),0)</f>
        <v>1.2184017258305551</v>
      </c>
      <c r="J50" s="78">
        <f t="shared" si="1"/>
        <v>3221.5</v>
      </c>
      <c r="K50" s="13">
        <f>IFERROR(Ohj.lask.[[#This Row],[Painotetut opiskelija-vuodet]]/Ohj.lask.[[#Totals],[Painotetut opiskelija-vuodet]],0)</f>
        <v>1.4912750112024999E-2</v>
      </c>
      <c r="L50" s="14">
        <f>ROUND(IFERROR('1.1 Jakotaulu'!L$13*Ohj.lask.[[#This Row],[%-osuus 1]],0),0)</f>
        <v>20932073</v>
      </c>
      <c r="M50" s="157">
        <f>IFERROR(ROUND(VLOOKUP($A50,'2.2 Tutk. ja osien pain. pist.'!$A:$Q,COLUMN('2.2 Tutk. ja osien pain. pist.'!O:O),FALSE),1),0)</f>
        <v>262608.8</v>
      </c>
      <c r="N50" s="13">
        <f>IFERROR(Ohj.lask.[[#This Row],[Painotetut pisteet 2]]/Ohj.lask.[[#Totals],[Painotetut pisteet 2]],0)</f>
        <v>1.6911078514192712E-2</v>
      </c>
      <c r="O50" s="20">
        <f>ROUND(IFERROR('1.1 Jakotaulu'!K$14*Ohj.lask.[[#This Row],[%-osuus 2]],0),0)</f>
        <v>6926473</v>
      </c>
      <c r="P50" s="158">
        <f>IFERROR(ROUND(VLOOKUP($A50,'2.3 Työll. ja jatko-opisk.'!$A:$Z,COLUMN('2.3 Työll. ja jatko-opisk.'!M:M),FALSE),1),0)</f>
        <v>5264</v>
      </c>
      <c r="Q50" s="13">
        <f>IFERROR(Ohj.lask.[[#This Row],[Painotetut pisteet 3]]/Ohj.lask.[[#Totals],[Painotetut pisteet 3]],0)</f>
        <v>1.6902007209682178E-2</v>
      </c>
      <c r="R50" s="14">
        <f>ROUND(IFERROR('1.1 Jakotaulu'!L$16*Ohj.lask.[[#This Row],[%-osuus 3]],0),0)</f>
        <v>2422965</v>
      </c>
      <c r="S50" s="157">
        <f>IFERROR(ROUND(VLOOKUP($A50,'2.4 Aloittaneet palaute'!$A:$J,COLUMN('2.4 Aloittaneet palaute'!I:I),FALSE),1),0)</f>
        <v>23655.8</v>
      </c>
      <c r="T50" s="17">
        <f>IFERROR(Ohj.lask.[[#This Row],[Painotetut pisteet 4]]/Ohj.lask.[[#Totals],[Painotetut pisteet 4]],0)</f>
        <v>1.5082163291173137E-2</v>
      </c>
      <c r="U50" s="20">
        <f>ROUND(IFERROR('1.1 Jakotaulu'!M$18*Ohj.lask.[[#This Row],[%-osuus 4]],0),0)</f>
        <v>115826</v>
      </c>
      <c r="V50" s="157">
        <f>IFERROR(ROUND(VLOOKUP($A50,'2.5 Päättäneet palaute'!$A:$Z,COLUMN('2.5 Päättäneet palaute'!Y:Y),FALSE),1),0)</f>
        <v>155152.9</v>
      </c>
      <c r="W50" s="17">
        <f>IFERROR(Ohj.lask.[[#This Row],[Painotetut pisteet 5]]/Ohj.lask.[[#Totals],[Painotetut pisteet 5]],0)</f>
        <v>1.6304158388507135E-2</v>
      </c>
      <c r="X50" s="20">
        <f>ROUND(IFERROR('1.1 Jakotaulu'!M$19*Ohj.lask.[[#This Row],[%-osuus 5]],0),0)</f>
        <v>375631</v>
      </c>
      <c r="Y50" s="157">
        <f>IFERROR(ROUND(VLOOKUP($A50,'2.6 Työpaikkaohjaajakysely'!A:I,COLUMN('2.6 Työpaikkaohjaajakysely'!H:H),FALSE),1),0)</f>
        <v>12461074.699999999</v>
      </c>
      <c r="Z50" s="13">
        <f>IFERROR(Ohj.lask.[[#This Row],[Painotetut pisteet 6]]/Ohj.lask.[[#Totals],[Painotetut pisteet 6]],0)</f>
        <v>3.1186348811518747E-2</v>
      </c>
      <c r="AA50" s="20">
        <f>ROUND(IFERROR('1.1 Jakotaulu'!M$21*Ohj.lask.[[#This Row],[%-osuus 6]],0),0)</f>
        <v>718502</v>
      </c>
      <c r="AB50" s="157">
        <f>IFERROR(ROUND(VLOOKUP($A50,'2.7 Työpaikkakysely'!A:G,COLUMN('2.7 Työpaikkakysely'!F:F),FALSE),1),0)</f>
        <v>11575962.300000001</v>
      </c>
      <c r="AC50" s="13">
        <f>IFERROR(Ohj.lask.[[#This Row],[Pisteet 7]]/Ohj.lask.[[#Totals],[Pisteet 7]],0)</f>
        <v>6.0554978391798922E-2</v>
      </c>
      <c r="AD50" s="20">
        <f>ROUND(IFERROR('1.1 Jakotaulu'!M$22*Ohj.lask.[[#This Row],[%-osuus 7]],0),0)</f>
        <v>465042</v>
      </c>
      <c r="AE50" s="16">
        <f>IFERROR(Ohj.lask.[[#This Row],[Jaettava € 8]]/Ohj.lask.[[#Totals],[Jaettava € 8]],"")</f>
        <v>1.5835663765622454E-2</v>
      </c>
      <c r="AF50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31956512</v>
      </c>
      <c r="AG50" s="105">
        <v>0</v>
      </c>
      <c r="AH50" s="105">
        <v>0</v>
      </c>
      <c r="AI50" s="105">
        <v>0</v>
      </c>
      <c r="AJ50" s="105">
        <v>0</v>
      </c>
      <c r="AK50" s="105">
        <v>0</v>
      </c>
      <c r="AL50" s="105">
        <v>0</v>
      </c>
      <c r="AM50" s="105">
        <v>33000</v>
      </c>
      <c r="AN50" s="105">
        <v>5000</v>
      </c>
      <c r="AO50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38000</v>
      </c>
      <c r="AP50" s="14">
        <f>Ohj.lask.[[#This Row],[Jaettava € 1]]+Ohj.lask.[[#This Row],[Harkinnanvarainen korotus 9, €]]</f>
        <v>20970073</v>
      </c>
      <c r="AQ50" s="105">
        <f>Ohj.lask.[[#This Row],[Jaettava € 2]]</f>
        <v>6926473</v>
      </c>
      <c r="AR50" s="14">
        <f>Ohj.lask.[[#This Row],[Jaettava € 3]]+Ohj.lask.[[#This Row],[Jaettava € 4]]+Ohj.lask.[[#This Row],[Jaettava € 5]]+Ohj.lask.[[#This Row],[Jaettava € 6]]+Ohj.lask.[[#This Row],[Jaettava € 7]]</f>
        <v>4097966</v>
      </c>
      <c r="AS50" s="37">
        <f>Ohj.lask.[[#This Row],[Jaettava € 8]]+Ohj.lask.[[#This Row],[Harkinnanvarainen korotus 9, €]]</f>
        <v>31994512</v>
      </c>
      <c r="AT50" s="37">
        <v>0</v>
      </c>
      <c r="AU50" s="20">
        <f>Ohj.lask.[[#This Row],[Perus-, suoritus- ja vaikuttavuusrahoitus yhteensä, €]]+Ohj.lask.[[#This Row],[Alv-korvaus, €]]</f>
        <v>31994512</v>
      </c>
    </row>
    <row r="51" spans="1:47" ht="13" x14ac:dyDescent="0.3">
      <c r="A51" s="7" t="s">
        <v>270</v>
      </c>
      <c r="B51" s="11" t="s">
        <v>53</v>
      </c>
      <c r="C51" s="11" t="s">
        <v>180</v>
      </c>
      <c r="D51" s="11" t="s">
        <v>336</v>
      </c>
      <c r="E51" s="11" t="s">
        <v>388</v>
      </c>
      <c r="F51" s="109">
        <v>5059</v>
      </c>
      <c r="G51" s="114">
        <f>Ohj.lask.[[#This Row],[Tavoitteelliset opiskelija-vuodet]]-Ohj.lask.[[#This Row],[Järjestämisluvan opisk.vuosien vähimmäismäärä]]</f>
        <v>1402</v>
      </c>
      <c r="H51" s="36">
        <v>6461</v>
      </c>
      <c r="I51" s="12">
        <f>IFERROR(VLOOKUP($A51,'2.1 Toteut. op.vuodet'!$A:$T,COLUMN('2.1 Toteut. op.vuodet'!S:S),FALSE),0)</f>
        <v>1.0896483475348906</v>
      </c>
      <c r="J51" s="78">
        <f t="shared" si="1"/>
        <v>7040.2</v>
      </c>
      <c r="K51" s="13">
        <f>IFERROR(Ohj.lask.[[#This Row],[Painotetut opiskelija-vuodet]]/Ohj.lask.[[#Totals],[Painotetut opiskelija-vuodet]],0)</f>
        <v>3.2590018109166043E-2</v>
      </c>
      <c r="L51" s="14">
        <f>ROUND(IFERROR('1.1 Jakotaulu'!L$13*Ohj.lask.[[#This Row],[%-osuus 1]],0),0)</f>
        <v>45744523</v>
      </c>
      <c r="M51" s="157">
        <f>IFERROR(ROUND(VLOOKUP($A51,'2.2 Tutk. ja osien pain. pist.'!$A:$Q,COLUMN('2.2 Tutk. ja osien pain. pist.'!O:O),FALSE),1),0)</f>
        <v>535984.4</v>
      </c>
      <c r="N51" s="13">
        <f>IFERROR(Ohj.lask.[[#This Row],[Painotetut pisteet 2]]/Ohj.lask.[[#Totals],[Painotetut pisteet 2]],0)</f>
        <v>3.4515500892515684E-2</v>
      </c>
      <c r="O51" s="20">
        <f>ROUND(IFERROR('1.1 Jakotaulu'!K$14*Ohj.lask.[[#This Row],[%-osuus 2]],0),0)</f>
        <v>14136928</v>
      </c>
      <c r="P51" s="158">
        <f>IFERROR(ROUND(VLOOKUP($A51,'2.3 Työll. ja jatko-opisk.'!$A:$Z,COLUMN('2.3 Työll. ja jatko-opisk.'!M:M),FALSE),1),0)</f>
        <v>10562.2</v>
      </c>
      <c r="Q51" s="13">
        <f>IFERROR(Ohj.lask.[[#This Row],[Painotetut pisteet 3]]/Ohj.lask.[[#Totals],[Painotetut pisteet 3]],0)</f>
        <v>3.3913826092345202E-2</v>
      </c>
      <c r="R51" s="14">
        <f>ROUND(IFERROR('1.1 Jakotaulu'!L$16*Ohj.lask.[[#This Row],[%-osuus 3]],0),0)</f>
        <v>4861672</v>
      </c>
      <c r="S51" s="157">
        <f>IFERROR(ROUND(VLOOKUP($A51,'2.4 Aloittaneet palaute'!$A:$J,COLUMN('2.4 Aloittaneet palaute'!I:I),FALSE),1),0)</f>
        <v>62823.5</v>
      </c>
      <c r="T51" s="17">
        <f>IFERROR(Ohj.lask.[[#This Row],[Painotetut pisteet 4]]/Ohj.lask.[[#Totals],[Painotetut pisteet 4]],0)</f>
        <v>4.0054205967374412E-2</v>
      </c>
      <c r="U51" s="20">
        <f>ROUND(IFERROR('1.1 Jakotaulu'!M$18*Ohj.lask.[[#This Row],[%-osuus 4]],0),0)</f>
        <v>307603</v>
      </c>
      <c r="V51" s="157">
        <f>IFERROR(ROUND(VLOOKUP($A51,'2.5 Päättäneet palaute'!$A:$Z,COLUMN('2.5 Päättäneet palaute'!Y:Y),FALSE),1),0)</f>
        <v>342897.5</v>
      </c>
      <c r="W51" s="17">
        <f>IFERROR(Ohj.lask.[[#This Row],[Painotetut pisteet 5]]/Ohj.lask.[[#Totals],[Painotetut pisteet 5]],0)</f>
        <v>3.6033197903636516E-2</v>
      </c>
      <c r="X51" s="20">
        <f>ROUND(IFERROR('1.1 Jakotaulu'!M$19*Ohj.lask.[[#This Row],[%-osuus 5]],0),0)</f>
        <v>830168</v>
      </c>
      <c r="Y51" s="157">
        <f>IFERROR(ROUND(VLOOKUP($A51,'2.6 Työpaikkaohjaajakysely'!A:I,COLUMN('2.6 Työpaikkaohjaajakysely'!H:H),FALSE),1),0)</f>
        <v>5407403.0999999996</v>
      </c>
      <c r="Z51" s="13">
        <f>IFERROR(Ohj.lask.[[#This Row],[Painotetut pisteet 6]]/Ohj.lask.[[#Totals],[Painotetut pisteet 6]],0)</f>
        <v>1.3533115184767151E-2</v>
      </c>
      <c r="AA51" s="20">
        <f>ROUND(IFERROR('1.1 Jakotaulu'!M$21*Ohj.lask.[[#This Row],[%-osuus 6]],0),0)</f>
        <v>311789</v>
      </c>
      <c r="AB51" s="157">
        <f>IFERROR(ROUND(VLOOKUP($A51,'2.7 Työpaikkakysely'!A:G,COLUMN('2.7 Työpaikkakysely'!F:F),FALSE),1),0)</f>
        <v>2849321</v>
      </c>
      <c r="AC51" s="13">
        <f>IFERROR(Ohj.lask.[[#This Row],[Pisteet 7]]/Ohj.lask.[[#Totals],[Pisteet 7]],0)</f>
        <v>1.4905073730785983E-2</v>
      </c>
      <c r="AD51" s="20">
        <f>ROUND(IFERROR('1.1 Jakotaulu'!M$22*Ohj.lask.[[#This Row],[%-osuus 7]],0),0)</f>
        <v>114466</v>
      </c>
      <c r="AE51" s="16">
        <f>IFERROR(Ohj.lask.[[#This Row],[Jaettava € 8]]/Ohj.lask.[[#Totals],[Jaettava € 8]],"")</f>
        <v>3.2857707274843669E-2</v>
      </c>
      <c r="AF51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66307149</v>
      </c>
      <c r="AG51" s="105">
        <v>0</v>
      </c>
      <c r="AH51" s="105">
        <v>0</v>
      </c>
      <c r="AI51" s="105">
        <v>0</v>
      </c>
      <c r="AJ51" s="105">
        <v>0</v>
      </c>
      <c r="AK51" s="105">
        <v>0</v>
      </c>
      <c r="AL51" s="105">
        <v>0</v>
      </c>
      <c r="AM51" s="105">
        <v>75000</v>
      </c>
      <c r="AN51" s="105">
        <v>0</v>
      </c>
      <c r="AO51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75000</v>
      </c>
      <c r="AP51" s="14">
        <f>Ohj.lask.[[#This Row],[Jaettava € 1]]+Ohj.lask.[[#This Row],[Harkinnanvarainen korotus 9, €]]</f>
        <v>45819523</v>
      </c>
      <c r="AQ51" s="105">
        <f>Ohj.lask.[[#This Row],[Jaettava € 2]]</f>
        <v>14136928</v>
      </c>
      <c r="AR51" s="14">
        <f>Ohj.lask.[[#This Row],[Jaettava € 3]]+Ohj.lask.[[#This Row],[Jaettava € 4]]+Ohj.lask.[[#This Row],[Jaettava € 5]]+Ohj.lask.[[#This Row],[Jaettava € 6]]+Ohj.lask.[[#This Row],[Jaettava € 7]]</f>
        <v>6425698</v>
      </c>
      <c r="AS51" s="37">
        <f>Ohj.lask.[[#This Row],[Jaettava € 8]]+Ohj.lask.[[#This Row],[Harkinnanvarainen korotus 9, €]]</f>
        <v>66382149</v>
      </c>
      <c r="AT51" s="37">
        <v>0</v>
      </c>
      <c r="AU51" s="20">
        <f>Ohj.lask.[[#This Row],[Perus-, suoritus- ja vaikuttavuusrahoitus yhteensä, €]]+Ohj.lask.[[#This Row],[Alv-korvaus, €]]</f>
        <v>66382149</v>
      </c>
    </row>
    <row r="52" spans="1:47" ht="13" x14ac:dyDescent="0.3">
      <c r="A52" s="7" t="s">
        <v>287</v>
      </c>
      <c r="B52" s="11" t="s">
        <v>54</v>
      </c>
      <c r="C52" s="11" t="s">
        <v>180</v>
      </c>
      <c r="D52" s="11" t="s">
        <v>337</v>
      </c>
      <c r="E52" s="11" t="s">
        <v>388</v>
      </c>
      <c r="F52" s="109">
        <v>330</v>
      </c>
      <c r="G52" s="114">
        <f>Ohj.lask.[[#This Row],[Tavoitteelliset opiskelija-vuodet]]-Ohj.lask.[[#This Row],[Järjestämisluvan opisk.vuosien vähimmäismäärä]]</f>
        <v>0</v>
      </c>
      <c r="H52" s="36">
        <v>330</v>
      </c>
      <c r="I52" s="12">
        <f>IFERROR(VLOOKUP($A52,'2.1 Toteut. op.vuodet'!$A:$T,COLUMN('2.1 Toteut. op.vuodet'!S:S),FALSE),0)</f>
        <v>0.8677259872527473</v>
      </c>
      <c r="J52" s="78">
        <f t="shared" si="1"/>
        <v>286.3</v>
      </c>
      <c r="K52" s="13">
        <f>IFERROR(Ohj.lask.[[#This Row],[Painotetut opiskelija-vuodet]]/Ohj.lask.[[#Totals],[Painotetut opiskelija-vuodet]],0)</f>
        <v>1.3253206137118603E-3</v>
      </c>
      <c r="L52" s="14">
        <f>ROUND(IFERROR('1.1 Jakotaulu'!L$13*Ohj.lask.[[#This Row],[%-osuus 1]],0),0)</f>
        <v>1860268</v>
      </c>
      <c r="M52" s="157">
        <f>IFERROR(ROUND(VLOOKUP($A52,'2.2 Tutk. ja osien pain. pist.'!$A:$Q,COLUMN('2.2 Tutk. ja osien pain. pist.'!O:O),FALSE),1),0)</f>
        <v>15159.3</v>
      </c>
      <c r="N52" s="13">
        <f>IFERROR(Ohj.lask.[[#This Row],[Painotetut pisteet 2]]/Ohj.lask.[[#Totals],[Painotetut pisteet 2]],0)</f>
        <v>9.7620533858805035E-4</v>
      </c>
      <c r="O52" s="20">
        <f>ROUND(IFERROR('1.1 Jakotaulu'!K$14*Ohj.lask.[[#This Row],[%-osuus 2]],0),0)</f>
        <v>399836</v>
      </c>
      <c r="P52" s="158">
        <f>IFERROR(ROUND(VLOOKUP($A52,'2.3 Työll. ja jatko-opisk.'!$A:$Z,COLUMN('2.3 Työll. ja jatko-opisk.'!M:M),FALSE),1),0)</f>
        <v>253.6</v>
      </c>
      <c r="Q52" s="13">
        <f>IFERROR(Ohj.lask.[[#This Row],[Painotetut pisteet 3]]/Ohj.lask.[[#Totals],[Painotetut pisteet 3]],0)</f>
        <v>8.1427603122632985E-4</v>
      </c>
      <c r="R52" s="14">
        <f>ROUND(IFERROR('1.1 Jakotaulu'!L$16*Ohj.lask.[[#This Row],[%-osuus 3]],0),0)</f>
        <v>116729</v>
      </c>
      <c r="S52" s="157">
        <f>IFERROR(ROUND(VLOOKUP($A52,'2.4 Aloittaneet palaute'!$A:$J,COLUMN('2.4 Aloittaneet palaute'!I:I),FALSE),1),0)</f>
        <v>2958</v>
      </c>
      <c r="T52" s="17">
        <f>IFERROR(Ohj.lask.[[#This Row],[Painotetut pisteet 4]]/Ohj.lask.[[#Totals],[Painotetut pisteet 4]],0)</f>
        <v>1.8859239178252326E-3</v>
      </c>
      <c r="U52" s="20">
        <f>ROUND(IFERROR('1.1 Jakotaulu'!M$18*Ohj.lask.[[#This Row],[%-osuus 4]],0),0)</f>
        <v>14483</v>
      </c>
      <c r="V52" s="157">
        <f>IFERROR(ROUND(VLOOKUP($A52,'2.5 Päättäneet palaute'!$A:$Z,COLUMN('2.5 Päättäneet palaute'!Y:Y),FALSE),1),0)</f>
        <v>29277</v>
      </c>
      <c r="W52" s="17">
        <f>IFERROR(Ohj.lask.[[#This Row],[Painotetut pisteet 5]]/Ohj.lask.[[#Totals],[Painotetut pisteet 5]],0)</f>
        <v>3.0765576740126896E-3</v>
      </c>
      <c r="X52" s="20">
        <f>ROUND(IFERROR('1.1 Jakotaulu'!M$19*Ohj.lask.[[#This Row],[%-osuus 5]],0),0)</f>
        <v>70881</v>
      </c>
      <c r="Y52" s="157">
        <f>IFERROR(ROUND(VLOOKUP($A52,'2.6 Työpaikkaohjaajakysely'!A:I,COLUMN('2.6 Työpaikkaohjaajakysely'!H:H),FALSE),1),0)</f>
        <v>0</v>
      </c>
      <c r="Z52" s="13">
        <f>IFERROR(Ohj.lask.[[#This Row],[Painotetut pisteet 6]]/Ohj.lask.[[#Totals],[Painotetut pisteet 6]],0)</f>
        <v>0</v>
      </c>
      <c r="AA52" s="20">
        <f>ROUND(IFERROR('1.1 Jakotaulu'!M$21*Ohj.lask.[[#This Row],[%-osuus 6]],0),0)</f>
        <v>0</v>
      </c>
      <c r="AB52" s="157">
        <f>IFERROR(ROUND(VLOOKUP($A52,'2.7 Työpaikkakysely'!A:G,COLUMN('2.7 Työpaikkakysely'!F:F),FALSE),1),0)</f>
        <v>0</v>
      </c>
      <c r="AC52" s="13">
        <f>IFERROR(Ohj.lask.[[#This Row],[Pisteet 7]]/Ohj.lask.[[#Totals],[Pisteet 7]],0)</f>
        <v>0</v>
      </c>
      <c r="AD52" s="20">
        <f>ROUND(IFERROR('1.1 Jakotaulu'!M$22*Ohj.lask.[[#This Row],[%-osuus 7]],0),0)</f>
        <v>0</v>
      </c>
      <c r="AE52" s="16">
        <f>IFERROR(Ohj.lask.[[#This Row],[Jaettava € 8]]/Ohj.lask.[[#Totals],[Jaettava € 8]],"")</f>
        <v>1.2201120014826495E-3</v>
      </c>
      <c r="AF52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2462197</v>
      </c>
      <c r="AG52" s="105">
        <v>0</v>
      </c>
      <c r="AH52" s="105">
        <v>0</v>
      </c>
      <c r="AI52" s="105">
        <v>0</v>
      </c>
      <c r="AJ52" s="105">
        <v>0</v>
      </c>
      <c r="AK52" s="105">
        <v>0</v>
      </c>
      <c r="AL52" s="105">
        <v>0</v>
      </c>
      <c r="AM52" s="105">
        <v>0</v>
      </c>
      <c r="AN52" s="105">
        <v>0</v>
      </c>
      <c r="AO52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0</v>
      </c>
      <c r="AP52" s="14">
        <f>Ohj.lask.[[#This Row],[Jaettava € 1]]+Ohj.lask.[[#This Row],[Harkinnanvarainen korotus 9, €]]</f>
        <v>1860268</v>
      </c>
      <c r="AQ52" s="105">
        <f>Ohj.lask.[[#This Row],[Jaettava € 2]]</f>
        <v>399836</v>
      </c>
      <c r="AR52" s="14">
        <f>Ohj.lask.[[#This Row],[Jaettava € 3]]+Ohj.lask.[[#This Row],[Jaettava € 4]]+Ohj.lask.[[#This Row],[Jaettava € 5]]+Ohj.lask.[[#This Row],[Jaettava € 6]]+Ohj.lask.[[#This Row],[Jaettava € 7]]</f>
        <v>202093</v>
      </c>
      <c r="AS52" s="37">
        <f>Ohj.lask.[[#This Row],[Jaettava € 8]]+Ohj.lask.[[#This Row],[Harkinnanvarainen korotus 9, €]]</f>
        <v>2462197</v>
      </c>
      <c r="AT52" s="37">
        <v>422941</v>
      </c>
      <c r="AU52" s="20">
        <f>Ohj.lask.[[#This Row],[Perus-, suoritus- ja vaikuttavuusrahoitus yhteensä, €]]+Ohj.lask.[[#This Row],[Alv-korvaus, €]]</f>
        <v>2885138</v>
      </c>
    </row>
    <row r="53" spans="1:47" ht="13" x14ac:dyDescent="0.3">
      <c r="A53" s="7" t="s">
        <v>286</v>
      </c>
      <c r="B53" s="11" t="s">
        <v>55</v>
      </c>
      <c r="C53" s="11" t="s">
        <v>265</v>
      </c>
      <c r="D53" s="11" t="s">
        <v>337</v>
      </c>
      <c r="E53" s="11" t="s">
        <v>388</v>
      </c>
      <c r="F53" s="109">
        <v>582</v>
      </c>
      <c r="G53" s="114">
        <f>Ohj.lask.[[#This Row],[Tavoitteelliset opiskelija-vuodet]]-Ohj.lask.[[#This Row],[Järjestämisluvan opisk.vuosien vähimmäismäärä]]</f>
        <v>103</v>
      </c>
      <c r="H53" s="36">
        <v>685</v>
      </c>
      <c r="I53" s="12">
        <f>IFERROR(VLOOKUP($A53,'2.1 Toteut. op.vuodet'!$A:$T,COLUMN('2.1 Toteut. op.vuodet'!S:S),FALSE),0)</f>
        <v>5.6043747655721132</v>
      </c>
      <c r="J53" s="78">
        <f t="shared" si="1"/>
        <v>3839</v>
      </c>
      <c r="K53" s="13">
        <f>IFERROR(Ohj.lask.[[#This Row],[Painotetut opiskelija-vuodet]]/Ohj.lask.[[#Totals],[Painotetut opiskelija-vuodet]],0)</f>
        <v>1.7771239385399339E-2</v>
      </c>
      <c r="L53" s="14">
        <f>ROUND(IFERROR('1.1 Jakotaulu'!L$13*Ohj.lask.[[#This Row],[%-osuus 1]],0),0)</f>
        <v>24944351</v>
      </c>
      <c r="M53" s="157">
        <f>IFERROR(ROUND(VLOOKUP($A53,'2.2 Tutk. ja osien pain. pist.'!$A:$Q,COLUMN('2.2 Tutk. ja osien pain. pist.'!O:O),FALSE),1),0)</f>
        <v>173149.3</v>
      </c>
      <c r="N53" s="13">
        <f>IFERROR(Ohj.lask.[[#This Row],[Painotetut pisteet 2]]/Ohj.lask.[[#Totals],[Painotetut pisteet 2]],0)</f>
        <v>1.1150202913906572E-2</v>
      </c>
      <c r="O53" s="20">
        <f>ROUND(IFERROR('1.1 Jakotaulu'!K$14*Ohj.lask.[[#This Row],[%-osuus 2]],0),0)</f>
        <v>4566922</v>
      </c>
      <c r="P53" s="158">
        <f>IFERROR(ROUND(VLOOKUP($A53,'2.3 Työll. ja jatko-opisk.'!$A:$Z,COLUMN('2.3 Työll. ja jatko-opisk.'!M:M),FALSE),1),0)</f>
        <v>756.3</v>
      </c>
      <c r="Q53" s="13">
        <f>IFERROR(Ohj.lask.[[#This Row],[Painotetut pisteet 3]]/Ohj.lask.[[#Totals],[Painotetut pisteet 3]],0)</f>
        <v>2.4283791893394057E-3</v>
      </c>
      <c r="R53" s="14">
        <f>ROUND(IFERROR('1.1 Jakotaulu'!L$16*Ohj.lask.[[#This Row],[%-osuus 3]],0),0)</f>
        <v>348117</v>
      </c>
      <c r="S53" s="157">
        <f>IFERROR(ROUND(VLOOKUP($A53,'2.4 Aloittaneet palaute'!$A:$J,COLUMN('2.4 Aloittaneet palaute'!I:I),FALSE),1),0)</f>
        <v>4213.3999999999996</v>
      </c>
      <c r="T53" s="17">
        <f>IFERROR(Ohj.lask.[[#This Row],[Painotetut pisteet 4]]/Ohj.lask.[[#Totals],[Painotetut pisteet 4]],0)</f>
        <v>2.6863258402179966E-3</v>
      </c>
      <c r="U53" s="20">
        <f>ROUND(IFERROR('1.1 Jakotaulu'!M$18*Ohj.lask.[[#This Row],[%-osuus 4]],0),0)</f>
        <v>20630</v>
      </c>
      <c r="V53" s="157">
        <f>IFERROR(ROUND(VLOOKUP($A53,'2.5 Päättäneet palaute'!$A:$Z,COLUMN('2.5 Päättäneet palaute'!Y:Y),FALSE),1),0)</f>
        <v>23877.9</v>
      </c>
      <c r="W53" s="17">
        <f>IFERROR(Ohj.lask.[[#This Row],[Painotetut pisteet 5]]/Ohj.lask.[[#Totals],[Painotetut pisteet 5]],0)</f>
        <v>2.5091961773510813E-3</v>
      </c>
      <c r="X53" s="20">
        <f>ROUND(IFERROR('1.1 Jakotaulu'!M$19*Ohj.lask.[[#This Row],[%-osuus 5]],0),0)</f>
        <v>57809</v>
      </c>
      <c r="Y53" s="157">
        <f>IFERROR(ROUND(VLOOKUP($A53,'2.6 Työpaikkaohjaajakysely'!A:I,COLUMN('2.6 Työpaikkaohjaajakysely'!H:H),FALSE),1),0)</f>
        <v>1494298.4</v>
      </c>
      <c r="Z53" s="13">
        <f>IFERROR(Ohj.lask.[[#This Row],[Painotetut pisteet 6]]/Ohj.lask.[[#Totals],[Painotetut pisteet 6]],0)</f>
        <v>3.7397826634402859E-3</v>
      </c>
      <c r="AA53" s="20">
        <f>ROUND(IFERROR('1.1 Jakotaulu'!M$21*Ohj.lask.[[#This Row],[%-osuus 6]],0),0)</f>
        <v>86161</v>
      </c>
      <c r="AB53" s="157">
        <f>IFERROR(ROUND(VLOOKUP($A53,'2.7 Työpaikkakysely'!A:G,COLUMN('2.7 Työpaikkakysely'!F:F),FALSE),1),0)</f>
        <v>627649</v>
      </c>
      <c r="AC53" s="13">
        <f>IFERROR(Ohj.lask.[[#This Row],[Pisteet 7]]/Ohj.lask.[[#Totals],[Pisteet 7]],0)</f>
        <v>3.283292623770397E-3</v>
      </c>
      <c r="AD53" s="20">
        <f>ROUND(IFERROR('1.1 Jakotaulu'!M$22*Ohj.lask.[[#This Row],[%-osuus 7]],0),0)</f>
        <v>25215</v>
      </c>
      <c r="AE53" s="16">
        <f>IFERROR(Ohj.lask.[[#This Row],[Jaettava € 8]]/Ohj.lask.[[#Totals],[Jaettava € 8]],"")</f>
        <v>1.4890520805407707E-2</v>
      </c>
      <c r="AF53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30049205</v>
      </c>
      <c r="AG53" s="105">
        <v>0</v>
      </c>
      <c r="AH53" s="105">
        <v>0</v>
      </c>
      <c r="AI53" s="105">
        <v>0</v>
      </c>
      <c r="AJ53" s="105">
        <v>0</v>
      </c>
      <c r="AK53" s="105">
        <v>0</v>
      </c>
      <c r="AL53" s="105">
        <v>0</v>
      </c>
      <c r="AM53" s="105">
        <v>16000</v>
      </c>
      <c r="AN53" s="105">
        <v>0</v>
      </c>
      <c r="AO53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16000</v>
      </c>
      <c r="AP53" s="14">
        <f>Ohj.lask.[[#This Row],[Jaettava € 1]]+Ohj.lask.[[#This Row],[Harkinnanvarainen korotus 9, €]]</f>
        <v>24960351</v>
      </c>
      <c r="AQ53" s="105">
        <f>Ohj.lask.[[#This Row],[Jaettava € 2]]</f>
        <v>4566922</v>
      </c>
      <c r="AR53" s="14">
        <f>Ohj.lask.[[#This Row],[Jaettava € 3]]+Ohj.lask.[[#This Row],[Jaettava € 4]]+Ohj.lask.[[#This Row],[Jaettava € 5]]+Ohj.lask.[[#This Row],[Jaettava € 6]]+Ohj.lask.[[#This Row],[Jaettava € 7]]</f>
        <v>537932</v>
      </c>
      <c r="AS53" s="37">
        <f>Ohj.lask.[[#This Row],[Jaettava € 8]]+Ohj.lask.[[#This Row],[Harkinnanvarainen korotus 9, €]]</f>
        <v>30065205</v>
      </c>
      <c r="AT53" s="37">
        <v>1540160</v>
      </c>
      <c r="AU53" s="20">
        <f>Ohj.lask.[[#This Row],[Perus-, suoritus- ja vaikuttavuusrahoitus yhteensä, €]]+Ohj.lask.[[#This Row],[Alv-korvaus, €]]</f>
        <v>31605365</v>
      </c>
    </row>
    <row r="54" spans="1:47" ht="13" x14ac:dyDescent="0.3">
      <c r="A54" s="7" t="s">
        <v>285</v>
      </c>
      <c r="B54" s="11" t="s">
        <v>56</v>
      </c>
      <c r="C54" s="99" t="s">
        <v>180</v>
      </c>
      <c r="D54" s="99" t="s">
        <v>337</v>
      </c>
      <c r="E54" s="99" t="s">
        <v>388</v>
      </c>
      <c r="F54" s="108">
        <v>1459</v>
      </c>
      <c r="G54" s="114">
        <f>Ohj.lask.[[#This Row],[Tavoitteelliset opiskelija-vuodet]]-Ohj.lask.[[#This Row],[Järjestämisluvan opisk.vuosien vähimmäismäärä]]</f>
        <v>337</v>
      </c>
      <c r="H54" s="36">
        <v>1796</v>
      </c>
      <c r="I54" s="12">
        <f>IFERROR(VLOOKUP($A54,'2.1 Toteut. op.vuodet'!$A:$T,COLUMN('2.1 Toteut. op.vuodet'!S:S),FALSE),0)</f>
        <v>1.0236045332931873</v>
      </c>
      <c r="J54" s="78">
        <f t="shared" si="1"/>
        <v>1838.4</v>
      </c>
      <c r="K54" s="13">
        <f>IFERROR(Ohj.lask.[[#This Row],[Painotetut opiskelija-vuodet]]/Ohj.lask.[[#Totals],[Painotetut opiskelija-vuodet]],0)</f>
        <v>8.5101970529091291E-3</v>
      </c>
      <c r="L54" s="14">
        <f>ROUND(IFERROR('1.1 Jakotaulu'!L$13*Ohj.lask.[[#This Row],[%-osuus 1]],0),0)</f>
        <v>11945219</v>
      </c>
      <c r="M54" s="157">
        <f>IFERROR(ROUND(VLOOKUP($A54,'2.2 Tutk. ja osien pain. pist.'!$A:$Q,COLUMN('2.2 Tutk. ja osien pain. pist.'!O:O),FALSE),1),0)</f>
        <v>136280.9</v>
      </c>
      <c r="N54" s="13">
        <f>IFERROR(Ohj.lask.[[#This Row],[Painotetut pisteet 2]]/Ohj.lask.[[#Totals],[Painotetut pisteet 2]],0)</f>
        <v>8.776008267372782E-3</v>
      </c>
      <c r="O54" s="20">
        <f>ROUND(IFERROR('1.1 Jakotaulu'!K$14*Ohj.lask.[[#This Row],[%-osuus 2]],0),0)</f>
        <v>3594495</v>
      </c>
      <c r="P54" s="158">
        <f>IFERROR(ROUND(VLOOKUP($A54,'2.3 Työll. ja jatko-opisk.'!$A:$Z,COLUMN('2.3 Työll. ja jatko-opisk.'!M:M),FALSE),1),0)</f>
        <v>3098.4</v>
      </c>
      <c r="Q54" s="17">
        <f>IFERROR(Ohj.lask.[[#This Row],[Painotetut pisteet 3]]/Ohj.lask.[[#Totals],[Painotetut pisteet 3]],0)</f>
        <v>9.9485522679481891E-3</v>
      </c>
      <c r="R54" s="14">
        <f>ROUND(IFERROR('1.1 Jakotaulu'!L$16*Ohj.lask.[[#This Row],[%-osuus 3]],0),0)</f>
        <v>1426162</v>
      </c>
      <c r="S54" s="157">
        <f>IFERROR(ROUND(VLOOKUP($A54,'2.4 Aloittaneet palaute'!$A:$J,COLUMN('2.4 Aloittaneet palaute'!I:I),FALSE),1),0)</f>
        <v>11040.6</v>
      </c>
      <c r="T54" s="17">
        <f>IFERROR(Ohj.lask.[[#This Row],[Painotetut pisteet 4]]/Ohj.lask.[[#Totals],[Painotetut pisteet 4]],0)</f>
        <v>7.0391249517042813E-3</v>
      </c>
      <c r="U54" s="20">
        <f>ROUND(IFERROR('1.1 Jakotaulu'!M$18*Ohj.lask.[[#This Row],[%-osuus 4]],0),0)</f>
        <v>54058</v>
      </c>
      <c r="V54" s="157">
        <f>IFERROR(ROUND(VLOOKUP($A54,'2.5 Päättäneet palaute'!$A:$Z,COLUMN('2.5 Päättäneet palaute'!Y:Y),FALSE),1),0)</f>
        <v>110323.9</v>
      </c>
      <c r="W54" s="17">
        <f>IFERROR(Ohj.lask.[[#This Row],[Painotetut pisteet 5]]/Ohj.lask.[[#Totals],[Painotetut pisteet 5]],0)</f>
        <v>1.1593327225194131E-2</v>
      </c>
      <c r="X54" s="20">
        <f>ROUND(IFERROR('1.1 Jakotaulu'!M$19*Ohj.lask.[[#This Row],[%-osuus 5]],0),0)</f>
        <v>267099</v>
      </c>
      <c r="Y54" s="157">
        <f>IFERROR(ROUND(VLOOKUP($A54,'2.6 Työpaikkaohjaajakysely'!A:I,COLUMN('2.6 Työpaikkaohjaajakysely'!H:H),FALSE),1),0)</f>
        <v>5258304.4000000004</v>
      </c>
      <c r="Z54" s="13">
        <f>IFERROR(Ohj.lask.[[#This Row],[Painotetut pisteet 6]]/Ohj.lask.[[#Totals],[Painotetut pisteet 6]],0)</f>
        <v>1.3159965662957129E-2</v>
      </c>
      <c r="AA54" s="20">
        <f>ROUND(IFERROR('1.1 Jakotaulu'!M$21*Ohj.lask.[[#This Row],[%-osuus 6]],0),0)</f>
        <v>303192</v>
      </c>
      <c r="AB54" s="157">
        <f>IFERROR(ROUND(VLOOKUP($A54,'2.7 Työpaikkakysely'!A:G,COLUMN('2.7 Työpaikkakysely'!F:F),FALSE),1),0)</f>
        <v>2095931.5</v>
      </c>
      <c r="AC54" s="13">
        <f>IFERROR(Ohj.lask.[[#This Row],[Pisteet 7]]/Ohj.lask.[[#Totals],[Pisteet 7]],0)</f>
        <v>1.0964020390183087E-2</v>
      </c>
      <c r="AD54" s="20">
        <f>ROUND(IFERROR('1.1 Jakotaulu'!M$22*Ohj.lask.[[#This Row],[%-osuus 7]],0),0)</f>
        <v>84200</v>
      </c>
      <c r="AE54" s="16">
        <f>IFERROR(Ohj.lask.[[#This Row],[Jaettava € 8]]/Ohj.lask.[[#Totals],[Jaettava € 8]],"")</f>
        <v>8.7583479558317138E-3</v>
      </c>
      <c r="AF54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17674425</v>
      </c>
      <c r="AG54" s="105">
        <v>0</v>
      </c>
      <c r="AH54" s="105">
        <v>0</v>
      </c>
      <c r="AI54" s="105">
        <v>0</v>
      </c>
      <c r="AJ54" s="105">
        <v>0</v>
      </c>
      <c r="AK54" s="105">
        <v>0</v>
      </c>
      <c r="AL54" s="105">
        <v>0</v>
      </c>
      <c r="AM54" s="105">
        <v>42000</v>
      </c>
      <c r="AN54" s="105">
        <v>0</v>
      </c>
      <c r="AO54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42000</v>
      </c>
      <c r="AP54" s="14">
        <f>Ohj.lask.[[#This Row],[Jaettava € 1]]+Ohj.lask.[[#This Row],[Harkinnanvarainen korotus 9, €]]</f>
        <v>11987219</v>
      </c>
      <c r="AQ54" s="105">
        <f>Ohj.lask.[[#This Row],[Jaettava € 2]]</f>
        <v>3594495</v>
      </c>
      <c r="AR54" s="14">
        <f>Ohj.lask.[[#This Row],[Jaettava € 3]]+Ohj.lask.[[#This Row],[Jaettava € 4]]+Ohj.lask.[[#This Row],[Jaettava € 5]]+Ohj.lask.[[#This Row],[Jaettava € 6]]+Ohj.lask.[[#This Row],[Jaettava € 7]]</f>
        <v>2134711</v>
      </c>
      <c r="AS54" s="37">
        <f>Ohj.lask.[[#This Row],[Jaettava € 8]]+Ohj.lask.[[#This Row],[Harkinnanvarainen korotus 9, €]]</f>
        <v>17716425</v>
      </c>
      <c r="AT54" s="37">
        <v>825941</v>
      </c>
      <c r="AU54" s="20">
        <f>Ohj.lask.[[#This Row],[Perus-, suoritus- ja vaikuttavuusrahoitus yhteensä, €]]+Ohj.lask.[[#This Row],[Alv-korvaus, €]]</f>
        <v>18542366</v>
      </c>
    </row>
    <row r="55" spans="1:47" ht="13" x14ac:dyDescent="0.3">
      <c r="A55" s="7" t="s">
        <v>205</v>
      </c>
      <c r="B55" s="11" t="s">
        <v>457</v>
      </c>
      <c r="C55" s="11" t="s">
        <v>180</v>
      </c>
      <c r="D55" s="11" t="s">
        <v>337</v>
      </c>
      <c r="E55" s="11" t="s">
        <v>388</v>
      </c>
      <c r="F55" s="109">
        <v>5</v>
      </c>
      <c r="G55" s="114">
        <f>Ohj.lask.[[#This Row],[Tavoitteelliset opiskelija-vuodet]]-Ohj.lask.[[#This Row],[Järjestämisluvan opisk.vuosien vähimmäismäärä]]</f>
        <v>0</v>
      </c>
      <c r="H55" s="36">
        <v>5</v>
      </c>
      <c r="I55" s="12">
        <f>IFERROR(VLOOKUP($A55,'2.1 Toteut. op.vuodet'!$A:$T,COLUMN('2.1 Toteut. op.vuodet'!S:S),FALSE),0)</f>
        <v>0.72539999999999971</v>
      </c>
      <c r="J55" s="78">
        <f t="shared" si="1"/>
        <v>3.6</v>
      </c>
      <c r="K55" s="13">
        <f>IFERROR(Ohj.lask.[[#This Row],[Painotetut opiskelija-vuodet]]/Ohj.lask.[[#Totals],[Painotetut opiskelija-vuodet]],0)</f>
        <v>1.6664876735461742E-5</v>
      </c>
      <c r="L55" s="14">
        <f>ROUND(IFERROR('1.1 Jakotaulu'!L$13*Ohj.lask.[[#This Row],[%-osuus 1]],0),0)</f>
        <v>23391</v>
      </c>
      <c r="M55" s="157">
        <f>IFERROR(ROUND(VLOOKUP($A55,'2.2 Tutk. ja osien pain. pist.'!$A:$Q,COLUMN('2.2 Tutk. ja osien pain. pist.'!O:O),FALSE),1),0)</f>
        <v>0</v>
      </c>
      <c r="N55" s="13">
        <f>IFERROR(Ohj.lask.[[#This Row],[Painotetut pisteet 2]]/Ohj.lask.[[#Totals],[Painotetut pisteet 2]],0)</f>
        <v>0</v>
      </c>
      <c r="O55" s="20">
        <f>ROUND(IFERROR('1.1 Jakotaulu'!K$14*Ohj.lask.[[#This Row],[%-osuus 2]],0),0)</f>
        <v>0</v>
      </c>
      <c r="P55" s="158">
        <f>IFERROR(ROUND(VLOOKUP($A55,'2.3 Työll. ja jatko-opisk.'!$A:$Z,COLUMN('2.3 Työll. ja jatko-opisk.'!M:M),FALSE),1),0)</f>
        <v>14</v>
      </c>
      <c r="Q55" s="13">
        <f>IFERROR(Ohj.lask.[[#This Row],[Painotetut pisteet 3]]/Ohj.lask.[[#Totals],[Painotetut pisteet 3]],0)</f>
        <v>4.4952146834261112E-5</v>
      </c>
      <c r="R55" s="14">
        <f>ROUND(IFERROR('1.1 Jakotaulu'!L$16*Ohj.lask.[[#This Row],[%-osuus 3]],0),0)</f>
        <v>6444</v>
      </c>
      <c r="S55" s="157">
        <f>IFERROR(ROUND(VLOOKUP($A55,'2.4 Aloittaneet palaute'!$A:$J,COLUMN('2.4 Aloittaneet palaute'!I:I),FALSE),1),0)</f>
        <v>249.8</v>
      </c>
      <c r="T55" s="17">
        <f>IFERROR(Ohj.lask.[[#This Row],[Painotetut pisteet 4]]/Ohj.lask.[[#Totals],[Painotetut pisteet 4]],0)</f>
        <v>1.5926429840187396E-4</v>
      </c>
      <c r="U55" s="20">
        <f>ROUND(IFERROR('1.1 Jakotaulu'!M$18*Ohj.lask.[[#This Row],[%-osuus 4]],0),0)</f>
        <v>1223</v>
      </c>
      <c r="V55" s="157">
        <f>IFERROR(ROUND(VLOOKUP($A55,'2.5 Päättäneet palaute'!$A:$Z,COLUMN('2.5 Päättäneet palaute'!Y:Y),FALSE),1),0)</f>
        <v>0</v>
      </c>
      <c r="W55" s="17">
        <f>IFERROR(Ohj.lask.[[#This Row],[Painotetut pisteet 5]]/Ohj.lask.[[#Totals],[Painotetut pisteet 5]],0)</f>
        <v>0</v>
      </c>
      <c r="X55" s="20">
        <f>ROUND(IFERROR('1.1 Jakotaulu'!M$19*Ohj.lask.[[#This Row],[%-osuus 5]],0),0)</f>
        <v>0</v>
      </c>
      <c r="Y55" s="157">
        <f>IFERROR(ROUND(VLOOKUP($A55,'2.6 Työpaikkaohjaajakysely'!A:I,COLUMN('2.6 Työpaikkaohjaajakysely'!H:H),FALSE),1),0)</f>
        <v>0</v>
      </c>
      <c r="Z55" s="13">
        <f>IFERROR(Ohj.lask.[[#This Row],[Painotetut pisteet 6]]/Ohj.lask.[[#Totals],[Painotetut pisteet 6]],0)</f>
        <v>0</v>
      </c>
      <c r="AA55" s="20">
        <f>ROUND(IFERROR('1.1 Jakotaulu'!M$21*Ohj.lask.[[#This Row],[%-osuus 6]],0),0)</f>
        <v>0</v>
      </c>
      <c r="AB55" s="157">
        <f>IFERROR(ROUND(VLOOKUP($A55,'2.7 Työpaikkakysely'!A:G,COLUMN('2.7 Työpaikkakysely'!F:F),FALSE),1),0)</f>
        <v>0</v>
      </c>
      <c r="AC55" s="13">
        <f>IFERROR(Ohj.lask.[[#This Row],[Pisteet 7]]/Ohj.lask.[[#Totals],[Pisteet 7]],0)</f>
        <v>0</v>
      </c>
      <c r="AD55" s="20">
        <f>ROUND(IFERROR('1.1 Jakotaulu'!M$22*Ohj.lask.[[#This Row],[%-osuus 7]],0),0)</f>
        <v>0</v>
      </c>
      <c r="AE55" s="16">
        <f>IFERROR(Ohj.lask.[[#This Row],[Jaettava € 8]]/Ohj.lask.[[#Totals],[Jaettava € 8]],"")</f>
        <v>1.5390416990211641E-5</v>
      </c>
      <c r="AF55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31058</v>
      </c>
      <c r="AG55" s="105">
        <v>0</v>
      </c>
      <c r="AH55" s="105">
        <v>0</v>
      </c>
      <c r="AI55" s="105">
        <v>0</v>
      </c>
      <c r="AJ55" s="105">
        <v>0</v>
      </c>
      <c r="AK55" s="105">
        <v>0</v>
      </c>
      <c r="AL55" s="105">
        <v>0</v>
      </c>
      <c r="AM55" s="105">
        <v>0</v>
      </c>
      <c r="AN55" s="105">
        <v>0</v>
      </c>
      <c r="AO55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0</v>
      </c>
      <c r="AP55" s="14">
        <f>Ohj.lask.[[#This Row],[Jaettava € 1]]+Ohj.lask.[[#This Row],[Harkinnanvarainen korotus 9, €]]</f>
        <v>23391</v>
      </c>
      <c r="AQ55" s="105">
        <f>Ohj.lask.[[#This Row],[Jaettava € 2]]</f>
        <v>0</v>
      </c>
      <c r="AR55" s="14">
        <f>Ohj.lask.[[#This Row],[Jaettava € 3]]+Ohj.lask.[[#This Row],[Jaettava € 4]]+Ohj.lask.[[#This Row],[Jaettava € 5]]+Ohj.lask.[[#This Row],[Jaettava € 6]]+Ohj.lask.[[#This Row],[Jaettava € 7]]</f>
        <v>7667</v>
      </c>
      <c r="AS55" s="37">
        <f>Ohj.lask.[[#This Row],[Jaettava € 8]]+Ohj.lask.[[#This Row],[Harkinnanvarainen korotus 9, €]]</f>
        <v>31058</v>
      </c>
      <c r="AT55" s="37">
        <v>820</v>
      </c>
      <c r="AU55" s="20">
        <f>Ohj.lask.[[#This Row],[Perus-, suoritus- ja vaikuttavuusrahoitus yhteensä, €]]+Ohj.lask.[[#This Row],[Alv-korvaus, €]]</f>
        <v>31878</v>
      </c>
    </row>
    <row r="56" spans="1:47" ht="13" x14ac:dyDescent="0.3">
      <c r="A56" s="7" t="s">
        <v>283</v>
      </c>
      <c r="B56" s="11" t="s">
        <v>58</v>
      </c>
      <c r="C56" s="11" t="s">
        <v>251</v>
      </c>
      <c r="D56" s="11" t="s">
        <v>337</v>
      </c>
      <c r="E56" s="11" t="s">
        <v>388</v>
      </c>
      <c r="F56" s="109">
        <v>19</v>
      </c>
      <c r="G56" s="114">
        <f>Ohj.lask.[[#This Row],[Tavoitteelliset opiskelija-vuodet]]-Ohj.lask.[[#This Row],[Järjestämisluvan opisk.vuosien vähimmäismäärä]]</f>
        <v>2</v>
      </c>
      <c r="H56" s="36">
        <v>21</v>
      </c>
      <c r="I56" s="12">
        <f>IFERROR(VLOOKUP($A56,'2.1 Toteut. op.vuodet'!$A:$T,COLUMN('2.1 Toteut. op.vuodet'!S:S),FALSE),0)</f>
        <v>0.81847318501900712</v>
      </c>
      <c r="J56" s="78">
        <f t="shared" si="1"/>
        <v>17.2</v>
      </c>
      <c r="K56" s="13">
        <f>IFERROR(Ohj.lask.[[#This Row],[Painotetut opiskelija-vuodet]]/Ohj.lask.[[#Totals],[Painotetut opiskelija-vuodet]],0)</f>
        <v>7.9621077736094988E-5</v>
      </c>
      <c r="L56" s="14">
        <f>ROUND(IFERROR('1.1 Jakotaulu'!L$13*Ohj.lask.[[#This Row],[%-osuus 1]],0),0)</f>
        <v>111759</v>
      </c>
      <c r="M56" s="157">
        <f>IFERROR(ROUND(VLOOKUP($A56,'2.2 Tutk. ja osien pain. pist.'!$A:$Q,COLUMN('2.2 Tutk. ja osien pain. pist.'!O:O),FALSE),1),0)</f>
        <v>1017.7</v>
      </c>
      <c r="N56" s="13">
        <f>IFERROR(Ohj.lask.[[#This Row],[Painotetut pisteet 2]]/Ohj.lask.[[#Totals],[Painotetut pisteet 2]],0)</f>
        <v>6.5536282881205525E-5</v>
      </c>
      <c r="O56" s="20">
        <f>ROUND(IFERROR('1.1 Jakotaulu'!K$14*Ohj.lask.[[#This Row],[%-osuus 2]],0),0)</f>
        <v>26842</v>
      </c>
      <c r="P56" s="158">
        <f>IFERROR(ROUND(VLOOKUP($A56,'2.3 Työll. ja jatko-opisk.'!$A:$Z,COLUMN('2.3 Työll. ja jatko-opisk.'!M:M),FALSE),1),0)</f>
        <v>29</v>
      </c>
      <c r="Q56" s="13">
        <f>IFERROR(Ohj.lask.[[#This Row],[Painotetut pisteet 3]]/Ohj.lask.[[#Totals],[Painotetut pisteet 3]],0)</f>
        <v>9.3115161299540882E-5</v>
      </c>
      <c r="R56" s="14">
        <f>ROUND(IFERROR('1.1 Jakotaulu'!L$16*Ohj.lask.[[#This Row],[%-osuus 3]],0),0)</f>
        <v>13348</v>
      </c>
      <c r="S56" s="157">
        <f>IFERROR(ROUND(VLOOKUP($A56,'2.4 Aloittaneet palaute'!$A:$J,COLUMN('2.4 Aloittaneet palaute'!I:I),FALSE),1),0)</f>
        <v>435.6</v>
      </c>
      <c r="T56" s="17">
        <f>IFERROR(Ohj.lask.[[#This Row],[Painotetut pisteet 4]]/Ohj.lask.[[#Totals],[Painotetut pisteet 4]],0)</f>
        <v>2.7772429296980101E-4</v>
      </c>
      <c r="U56" s="20">
        <f>ROUND(IFERROR('1.1 Jakotaulu'!M$18*Ohj.lask.[[#This Row],[%-osuus 4]],0),0)</f>
        <v>2133</v>
      </c>
      <c r="V56" s="157">
        <f>IFERROR(ROUND(VLOOKUP($A56,'2.5 Päättäneet palaute'!$A:$Z,COLUMN('2.5 Päättäneet palaute'!Y:Y),FALSE),1),0)</f>
        <v>1488.9</v>
      </c>
      <c r="W56" s="17">
        <f>IFERROR(Ohj.lask.[[#This Row],[Painotetut pisteet 5]]/Ohj.lask.[[#Totals],[Painotetut pisteet 5]],0)</f>
        <v>1.5646024937109314E-4</v>
      </c>
      <c r="X56" s="20">
        <f>ROUND(IFERROR('1.1 Jakotaulu'!M$19*Ohj.lask.[[#This Row],[%-osuus 5]],0),0)</f>
        <v>3605</v>
      </c>
      <c r="Y56" s="157">
        <f>IFERROR(ROUND(VLOOKUP($A56,'2.6 Työpaikkaohjaajakysely'!A:I,COLUMN('2.6 Työpaikkaohjaajakysely'!H:H),FALSE),1),0)</f>
        <v>89432.1</v>
      </c>
      <c r="Z56" s="13">
        <f>IFERROR(Ohj.lask.[[#This Row],[Painotetut pisteet 6]]/Ohj.lask.[[#Totals],[Painotetut pisteet 6]],0)</f>
        <v>2.2382183982466825E-4</v>
      </c>
      <c r="AA56" s="20">
        <f>ROUND(IFERROR('1.1 Jakotaulu'!M$21*Ohj.lask.[[#This Row],[%-osuus 6]],0),0)</f>
        <v>5157</v>
      </c>
      <c r="AB56" s="157">
        <f>IFERROR(ROUND(VLOOKUP($A56,'2.7 Työpaikkakysely'!A:G,COLUMN('2.7 Työpaikkakysely'!F:F),FALSE),1),0)</f>
        <v>85932</v>
      </c>
      <c r="AC56" s="13">
        <f>IFERROR(Ohj.lask.[[#This Row],[Pisteet 7]]/Ohj.lask.[[#Totals],[Pisteet 7]],0)</f>
        <v>4.4951860314576742E-4</v>
      </c>
      <c r="AD56" s="20">
        <f>ROUND(IFERROR('1.1 Jakotaulu'!M$22*Ohj.lask.[[#This Row],[%-osuus 7]],0),0)</f>
        <v>3452</v>
      </c>
      <c r="AE56" s="16">
        <f>IFERROR(Ohj.lask.[[#This Row],[Jaettava € 8]]/Ohj.lask.[[#Totals],[Jaettava € 8]],"")</f>
        <v>8.2405975394559685E-5</v>
      </c>
      <c r="AF56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166296</v>
      </c>
      <c r="AG56" s="105">
        <v>0</v>
      </c>
      <c r="AH56" s="105">
        <v>0</v>
      </c>
      <c r="AI56" s="105">
        <v>0</v>
      </c>
      <c r="AJ56" s="105">
        <v>0</v>
      </c>
      <c r="AK56" s="105">
        <v>0</v>
      </c>
      <c r="AL56" s="105">
        <v>0</v>
      </c>
      <c r="AM56" s="105">
        <v>0</v>
      </c>
      <c r="AN56" s="105">
        <v>0</v>
      </c>
      <c r="AO56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0</v>
      </c>
      <c r="AP56" s="14">
        <f>Ohj.lask.[[#This Row],[Jaettava € 1]]+Ohj.lask.[[#This Row],[Harkinnanvarainen korotus 9, €]]</f>
        <v>111759</v>
      </c>
      <c r="AQ56" s="105">
        <f>Ohj.lask.[[#This Row],[Jaettava € 2]]</f>
        <v>26842</v>
      </c>
      <c r="AR56" s="14">
        <f>Ohj.lask.[[#This Row],[Jaettava € 3]]+Ohj.lask.[[#This Row],[Jaettava € 4]]+Ohj.lask.[[#This Row],[Jaettava € 5]]+Ohj.lask.[[#This Row],[Jaettava € 6]]+Ohj.lask.[[#This Row],[Jaettava € 7]]</f>
        <v>27695</v>
      </c>
      <c r="AS56" s="37">
        <f>Ohj.lask.[[#This Row],[Jaettava € 8]]+Ohj.lask.[[#This Row],[Harkinnanvarainen korotus 9, €]]</f>
        <v>166296</v>
      </c>
      <c r="AT56" s="37">
        <v>5288</v>
      </c>
      <c r="AU56" s="20">
        <f>Ohj.lask.[[#This Row],[Perus-, suoritus- ja vaikuttavuusrahoitus yhteensä, €]]+Ohj.lask.[[#This Row],[Alv-korvaus, €]]</f>
        <v>171584</v>
      </c>
    </row>
    <row r="57" spans="1:47" ht="13" x14ac:dyDescent="0.3">
      <c r="A57" s="7" t="s">
        <v>511</v>
      </c>
      <c r="B57" s="11" t="s">
        <v>512</v>
      </c>
      <c r="C57" s="99" t="s">
        <v>180</v>
      </c>
      <c r="D57" s="99" t="s">
        <v>337</v>
      </c>
      <c r="E57" s="99" t="s">
        <v>388</v>
      </c>
      <c r="F57" s="108">
        <v>263</v>
      </c>
      <c r="G57" s="114">
        <f>Ohj.lask.[[#This Row],[Tavoitteelliset opiskelija-vuodet]]-Ohj.lask.[[#This Row],[Järjestämisluvan opisk.vuosien vähimmäismäärä]]</f>
        <v>59</v>
      </c>
      <c r="H57" s="36">
        <v>322</v>
      </c>
      <c r="I57" s="12">
        <f>IFERROR(VLOOKUP($A57,'2.1 Toteut. op.vuodet'!$A:$T,COLUMN('2.1 Toteut. op.vuodet'!S:S),FALSE),0)</f>
        <v>1.6111308738333543</v>
      </c>
      <c r="J57" s="78">
        <f t="shared" si="1"/>
        <v>518.79999999999995</v>
      </c>
      <c r="K57" s="13">
        <f>IFERROR(Ohj.lask.[[#This Row],[Painotetut opiskelija-vuodet]]/Ohj.lask.[[#Totals],[Painotetut opiskelija-vuodet]],0)</f>
        <v>2.4015939028770973E-3</v>
      </c>
      <c r="L57" s="14">
        <f>ROUND(IFERROR('1.1 Jakotaulu'!L$13*Ohj.lask.[[#This Row],[%-osuus 1]],0),0)</f>
        <v>3370964</v>
      </c>
      <c r="M57" s="157">
        <f>IFERROR(ROUND(VLOOKUP($A57,'2.2 Tutk. ja osien pain. pist.'!$A:$Q,COLUMN('2.2 Tutk. ja osien pain. pist.'!O:O),FALSE),1),0)</f>
        <v>37173.300000000003</v>
      </c>
      <c r="N57" s="13">
        <f>IFERROR(Ohj.lask.[[#This Row],[Painotetut pisteet 2]]/Ohj.lask.[[#Totals],[Painotetut pisteet 2]],0)</f>
        <v>2.3938291288473196E-3</v>
      </c>
      <c r="O57" s="20">
        <f>ROUND(IFERROR('1.1 Jakotaulu'!K$14*Ohj.lask.[[#This Row],[%-osuus 2]],0),0)</f>
        <v>980469</v>
      </c>
      <c r="P57" s="158">
        <f>IFERROR(ROUND(VLOOKUP($A57,'2.3 Työll. ja jatko-opisk.'!$A:$Z,COLUMN('2.3 Työll. ja jatko-opisk.'!M:M),FALSE),1),0)</f>
        <v>560.4</v>
      </c>
      <c r="Q57" s="17">
        <f>IFERROR(Ohj.lask.[[#This Row],[Painotetut pisteet 3]]/Ohj.lask.[[#Totals],[Painotetut pisteet 3]],0)</f>
        <v>1.7993702204228521E-3</v>
      </c>
      <c r="R57" s="14">
        <f>ROUND(IFERROR('1.1 Jakotaulu'!L$16*Ohj.lask.[[#This Row],[%-osuus 3]],0),0)</f>
        <v>257946</v>
      </c>
      <c r="S57" s="157">
        <f>IFERROR(ROUND(VLOOKUP($A57,'2.4 Aloittaneet palaute'!$A:$J,COLUMN('2.4 Aloittaneet palaute'!I:I),FALSE),1),0)</f>
        <v>3001.4</v>
      </c>
      <c r="T57" s="17">
        <f>IFERROR(Ohj.lask.[[#This Row],[Painotetut pisteet 4]]/Ohj.lask.[[#Totals],[Painotetut pisteet 4]],0)</f>
        <v>1.9135943363626279E-3</v>
      </c>
      <c r="U57" s="20">
        <f>ROUND(IFERROR('1.1 Jakotaulu'!M$18*Ohj.lask.[[#This Row],[%-osuus 4]],0),0)</f>
        <v>14696</v>
      </c>
      <c r="V57" s="157">
        <f>IFERROR(ROUND(VLOOKUP($A57,'2.5 Päättäneet palaute'!$A:$Z,COLUMN('2.5 Päättäneet palaute'!Y:Y),FALSE),1),0)</f>
        <v>17304</v>
      </c>
      <c r="W57" s="17">
        <f>IFERROR(Ohj.lask.[[#This Row],[Painotetut pisteet 5]]/Ohj.lask.[[#Totals],[Painotetut pisteet 5]],0)</f>
        <v>1.8183814595455676E-3</v>
      </c>
      <c r="X57" s="20">
        <f>ROUND(IFERROR('1.1 Jakotaulu'!M$19*Ohj.lask.[[#This Row],[%-osuus 5]],0),0)</f>
        <v>41894</v>
      </c>
      <c r="Y57" s="157">
        <f>IFERROR(ROUND(VLOOKUP($A57,'2.6 Työpaikkaohjaajakysely'!A:I,COLUMN('2.6 Työpaikkaohjaajakysely'!H:H),FALSE),1),0)</f>
        <v>1273729</v>
      </c>
      <c r="Z57" s="13">
        <f>IFERROR(Ohj.lask.[[#This Row],[Painotetut pisteet 6]]/Ohj.lask.[[#Totals],[Painotetut pisteet 6]],0)</f>
        <v>3.1877633223197804E-3</v>
      </c>
      <c r="AA57" s="20">
        <f>ROUND(IFERROR('1.1 Jakotaulu'!M$21*Ohj.lask.[[#This Row],[%-osuus 6]],0),0)</f>
        <v>73443</v>
      </c>
      <c r="AB57" s="157">
        <f>IFERROR(ROUND(VLOOKUP($A57,'2.7 Työpaikkakysely'!A:G,COLUMN('2.7 Työpaikkakysely'!F:F),FALSE),1),0)</f>
        <v>1172633</v>
      </c>
      <c r="AC57" s="13">
        <f>IFERROR(Ohj.lask.[[#This Row],[Pisteet 7]]/Ohj.lask.[[#Totals],[Pisteet 7]],0)</f>
        <v>6.1341566373717665E-3</v>
      </c>
      <c r="AD57" s="20">
        <f>ROUND(IFERROR('1.1 Jakotaulu'!M$22*Ohj.lask.[[#This Row],[%-osuus 7]],0),0)</f>
        <v>47108</v>
      </c>
      <c r="AE57" s="16">
        <f>IFERROR(Ohj.lask.[[#This Row],[Jaettava € 8]]/Ohj.lask.[[#Totals],[Jaettava € 8]],"")</f>
        <v>2.3719022065808427E-3</v>
      </c>
      <c r="AF57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4786520</v>
      </c>
      <c r="AG57" s="105">
        <v>0</v>
      </c>
      <c r="AH57" s="105">
        <v>0</v>
      </c>
      <c r="AI57" s="105">
        <v>0</v>
      </c>
      <c r="AJ57" s="105">
        <v>0</v>
      </c>
      <c r="AK57" s="105">
        <v>0</v>
      </c>
      <c r="AL57" s="105">
        <v>0</v>
      </c>
      <c r="AM57" s="105">
        <v>0</v>
      </c>
      <c r="AN57" s="105">
        <v>16000</v>
      </c>
      <c r="AO57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16000</v>
      </c>
      <c r="AP57" s="14">
        <f>Ohj.lask.[[#This Row],[Jaettava € 1]]+Ohj.lask.[[#This Row],[Harkinnanvarainen korotus 9, €]]</f>
        <v>3386964</v>
      </c>
      <c r="AQ57" s="105">
        <f>Ohj.lask.[[#This Row],[Jaettava € 2]]</f>
        <v>980469</v>
      </c>
      <c r="AR57" s="14">
        <f>Ohj.lask.[[#This Row],[Jaettava € 3]]+Ohj.lask.[[#This Row],[Jaettava € 4]]+Ohj.lask.[[#This Row],[Jaettava € 5]]+Ohj.lask.[[#This Row],[Jaettava € 6]]+Ohj.lask.[[#This Row],[Jaettava € 7]]</f>
        <v>435087</v>
      </c>
      <c r="AS57" s="37">
        <f>Ohj.lask.[[#This Row],[Jaettava € 8]]+Ohj.lask.[[#This Row],[Harkinnanvarainen korotus 9, €]]</f>
        <v>4802520</v>
      </c>
      <c r="AT57" s="37">
        <v>233047</v>
      </c>
      <c r="AU57" s="20">
        <f>Ohj.lask.[[#This Row],[Perus-, suoritus- ja vaikuttavuusrahoitus yhteensä, €]]+Ohj.lask.[[#This Row],[Alv-korvaus, €]]</f>
        <v>5035567</v>
      </c>
    </row>
    <row r="58" spans="1:47" ht="13" x14ac:dyDescent="0.3">
      <c r="A58" s="7" t="s">
        <v>282</v>
      </c>
      <c r="B58" s="11" t="s">
        <v>132</v>
      </c>
      <c r="C58" s="11" t="s">
        <v>180</v>
      </c>
      <c r="D58" s="11" t="s">
        <v>337</v>
      </c>
      <c r="E58" s="11" t="s">
        <v>388</v>
      </c>
      <c r="F58" s="109">
        <v>33</v>
      </c>
      <c r="G58" s="114">
        <f>Ohj.lask.[[#This Row],[Tavoitteelliset opiskelija-vuodet]]-Ohj.lask.[[#This Row],[Järjestämisluvan opisk.vuosien vähimmäismäärä]]</f>
        <v>0</v>
      </c>
      <c r="H58" s="36">
        <v>33</v>
      </c>
      <c r="I58" s="12">
        <f>IFERROR(VLOOKUP($A58,'2.1 Toteut. op.vuodet'!$A:$T,COLUMN('2.1 Toteut. op.vuodet'!S:S),FALSE),0)</f>
        <v>0.72540000000000115</v>
      </c>
      <c r="J58" s="78">
        <f t="shared" si="1"/>
        <v>23.9</v>
      </c>
      <c r="K58" s="13">
        <f>IFERROR(Ohj.lask.[[#This Row],[Painotetut opiskelija-vuodet]]/Ohj.lask.[[#Totals],[Painotetut opiskelija-vuodet]],0)</f>
        <v>1.1063626499375989E-4</v>
      </c>
      <c r="L58" s="14">
        <f>ROUND(IFERROR('1.1 Jakotaulu'!L$13*Ohj.lask.[[#This Row],[%-osuus 1]],0),0)</f>
        <v>155293</v>
      </c>
      <c r="M58" s="157">
        <f>IFERROR(ROUND(VLOOKUP($A58,'2.2 Tutk. ja osien pain. pist.'!$A:$Q,COLUMN('2.2 Tutk. ja osien pain. pist.'!O:O),FALSE),1),0)</f>
        <v>1679.2</v>
      </c>
      <c r="N58" s="13">
        <f>IFERROR(Ohj.lask.[[#This Row],[Painotetut pisteet 2]]/Ohj.lask.[[#Totals],[Painotetut pisteet 2]],0)</f>
        <v>1.081345447716619E-4</v>
      </c>
      <c r="O58" s="20">
        <f>ROUND(IFERROR('1.1 Jakotaulu'!K$14*Ohj.lask.[[#This Row],[%-osuus 2]],0),0)</f>
        <v>44290</v>
      </c>
      <c r="P58" s="158">
        <f>IFERROR(ROUND(VLOOKUP($A58,'2.3 Työll. ja jatko-opisk.'!$A:$Z,COLUMN('2.3 Työll. ja jatko-opisk.'!M:M),FALSE),1),0)</f>
        <v>53.9</v>
      </c>
      <c r="Q58" s="13">
        <f>IFERROR(Ohj.lask.[[#This Row],[Painotetut pisteet 3]]/Ohj.lask.[[#Totals],[Painotetut pisteet 3]],0)</f>
        <v>1.7306576531190529E-4</v>
      </c>
      <c r="R58" s="14">
        <f>ROUND(IFERROR('1.1 Jakotaulu'!L$16*Ohj.lask.[[#This Row],[%-osuus 3]],0),0)</f>
        <v>24810</v>
      </c>
      <c r="S58" s="157">
        <f>IFERROR(ROUND(VLOOKUP($A58,'2.4 Aloittaneet palaute'!$A:$J,COLUMN('2.4 Aloittaneet palaute'!I:I),FALSE),1),0)</f>
        <v>142</v>
      </c>
      <c r="T58" s="17">
        <f>IFERROR(Ohj.lask.[[#This Row],[Painotetut pisteet 4]]/Ohj.lask.[[#Totals],[Painotetut pisteet 4]],0)</f>
        <v>9.0534549131569654E-5</v>
      </c>
      <c r="U58" s="20">
        <f>ROUND(IFERROR('1.1 Jakotaulu'!M$18*Ohj.lask.[[#This Row],[%-osuus 4]],0),0)</f>
        <v>695</v>
      </c>
      <c r="V58" s="157">
        <f>IFERROR(ROUND(VLOOKUP($A58,'2.5 Päättäneet palaute'!$A:$Z,COLUMN('2.5 Päättäneet palaute'!Y:Y),FALSE),1),0)</f>
        <v>2661</v>
      </c>
      <c r="W58" s="17">
        <f>IFERROR(Ohj.lask.[[#This Row],[Painotetut pisteet 5]]/Ohj.lask.[[#Totals],[Painotetut pisteet 5]],0)</f>
        <v>2.7962974247866133E-4</v>
      </c>
      <c r="X58" s="20">
        <f>ROUND(IFERROR('1.1 Jakotaulu'!M$19*Ohj.lask.[[#This Row],[%-osuus 5]],0),0)</f>
        <v>6442</v>
      </c>
      <c r="Y58" s="157">
        <f>IFERROR(ROUND(VLOOKUP($A58,'2.6 Työpaikkaohjaajakysely'!A:I,COLUMN('2.6 Työpaikkaohjaajakysely'!H:H),FALSE),1),0)</f>
        <v>85327.8</v>
      </c>
      <c r="Z58" s="13">
        <f>IFERROR(Ohj.lask.[[#This Row],[Painotetut pisteet 6]]/Ohj.lask.[[#Totals],[Painotetut pisteet 6]],0)</f>
        <v>2.1355000256274118E-4</v>
      </c>
      <c r="AA58" s="20">
        <f>ROUND(IFERROR('1.1 Jakotaulu'!M$21*Ohj.lask.[[#This Row],[%-osuus 6]],0),0)</f>
        <v>4920</v>
      </c>
      <c r="AB58" s="157">
        <f>IFERROR(ROUND(VLOOKUP($A58,'2.7 Työpaikkakysely'!A:G,COLUMN('2.7 Työpaikkakysely'!F:F),FALSE),1),0)</f>
        <v>366317</v>
      </c>
      <c r="AC58" s="13">
        <f>IFERROR(Ohj.lask.[[#This Row],[Pisteet 7]]/Ohj.lask.[[#Totals],[Pisteet 7]],0)</f>
        <v>1.9162396563392925E-3</v>
      </c>
      <c r="AD58" s="20">
        <f>ROUND(IFERROR('1.1 Jakotaulu'!M$22*Ohj.lask.[[#This Row],[%-osuus 7]],0),0)</f>
        <v>14716</v>
      </c>
      <c r="AE58" s="16">
        <f>IFERROR(Ohj.lask.[[#This Row],[Jaettava € 8]]/Ohj.lask.[[#Totals],[Jaettava € 8]],"")</f>
        <v>1.2446227940509681E-4</v>
      </c>
      <c r="AF58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251166</v>
      </c>
      <c r="AG58" s="105">
        <v>0</v>
      </c>
      <c r="AH58" s="105">
        <v>0</v>
      </c>
      <c r="AI58" s="105">
        <v>0</v>
      </c>
      <c r="AJ58" s="105">
        <v>0</v>
      </c>
      <c r="AK58" s="105">
        <v>0</v>
      </c>
      <c r="AL58" s="105">
        <v>0</v>
      </c>
      <c r="AM58" s="105">
        <v>0</v>
      </c>
      <c r="AN58" s="105">
        <v>0</v>
      </c>
      <c r="AO58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0</v>
      </c>
      <c r="AP58" s="14">
        <f>Ohj.lask.[[#This Row],[Jaettava € 1]]+Ohj.lask.[[#This Row],[Harkinnanvarainen korotus 9, €]]</f>
        <v>155293</v>
      </c>
      <c r="AQ58" s="105">
        <f>Ohj.lask.[[#This Row],[Jaettava € 2]]</f>
        <v>44290</v>
      </c>
      <c r="AR58" s="14">
        <f>Ohj.lask.[[#This Row],[Jaettava € 3]]+Ohj.lask.[[#This Row],[Jaettava € 4]]+Ohj.lask.[[#This Row],[Jaettava € 5]]+Ohj.lask.[[#This Row],[Jaettava € 6]]+Ohj.lask.[[#This Row],[Jaettava € 7]]</f>
        <v>51583</v>
      </c>
      <c r="AS58" s="37">
        <f>Ohj.lask.[[#This Row],[Jaettava € 8]]+Ohj.lask.[[#This Row],[Harkinnanvarainen korotus 9, €]]</f>
        <v>251166</v>
      </c>
      <c r="AT58" s="37">
        <v>9445</v>
      </c>
      <c r="AU58" s="20">
        <f>Ohj.lask.[[#This Row],[Perus-, suoritus- ja vaikuttavuusrahoitus yhteensä, €]]+Ohj.lask.[[#This Row],[Alv-korvaus, €]]</f>
        <v>260611</v>
      </c>
    </row>
    <row r="59" spans="1:47" ht="13" x14ac:dyDescent="0.3">
      <c r="A59" s="7" t="s">
        <v>281</v>
      </c>
      <c r="B59" s="11" t="s">
        <v>59</v>
      </c>
      <c r="C59" s="11" t="s">
        <v>209</v>
      </c>
      <c r="D59" s="11" t="s">
        <v>337</v>
      </c>
      <c r="E59" s="11" t="s">
        <v>388</v>
      </c>
      <c r="F59" s="109">
        <v>97</v>
      </c>
      <c r="G59" s="114">
        <f>Ohj.lask.[[#This Row],[Tavoitteelliset opiskelija-vuodet]]-Ohj.lask.[[#This Row],[Järjestämisluvan opisk.vuosien vähimmäismäärä]]</f>
        <v>3</v>
      </c>
      <c r="H59" s="36">
        <v>100</v>
      </c>
      <c r="I59" s="12">
        <f>IFERROR(VLOOKUP($A59,'2.1 Toteut. op.vuodet'!$A:$T,COLUMN('2.1 Toteut. op.vuodet'!S:S),FALSE),0)</f>
        <v>1.1376079025245267</v>
      </c>
      <c r="J59" s="78">
        <f t="shared" si="1"/>
        <v>113.8</v>
      </c>
      <c r="K59" s="13">
        <f>IFERROR(Ohj.lask.[[#This Row],[Painotetut opiskelija-vuodet]]/Ohj.lask.[[#Totals],[Painotetut opiskelija-vuodet]],0)</f>
        <v>5.2679527013765166E-4</v>
      </c>
      <c r="L59" s="14">
        <f>ROUND(IFERROR('1.1 Jakotaulu'!L$13*Ohj.lask.[[#This Row],[%-osuus 1]],0),0)</f>
        <v>739429</v>
      </c>
      <c r="M59" s="157">
        <f>IFERROR(ROUND(VLOOKUP($A59,'2.2 Tutk. ja osien pain. pist.'!$A:$Q,COLUMN('2.2 Tutk. ja osien pain. pist.'!O:O),FALSE),1),0)</f>
        <v>11241.2</v>
      </c>
      <c r="N59" s="13">
        <f>IFERROR(Ohj.lask.[[#This Row],[Painotetut pisteet 2]]/Ohj.lask.[[#Totals],[Painotetut pisteet 2]],0)</f>
        <v>7.2389354733635406E-4</v>
      </c>
      <c r="O59" s="20">
        <f>ROUND(IFERROR('1.1 Jakotaulu'!K$14*Ohj.lask.[[#This Row],[%-osuus 2]],0),0)</f>
        <v>296494</v>
      </c>
      <c r="P59" s="158">
        <f>IFERROR(ROUND(VLOOKUP($A59,'2.3 Työll. ja jatko-opisk.'!$A:$Z,COLUMN('2.3 Työll. ja jatko-opisk.'!M:M),FALSE),1),0)</f>
        <v>230.1</v>
      </c>
      <c r="Q59" s="13">
        <f>IFERROR(Ohj.lask.[[#This Row],[Painotetut pisteet 3]]/Ohj.lask.[[#Totals],[Painotetut pisteet 3]],0)</f>
        <v>7.3882064189739164E-4</v>
      </c>
      <c r="R59" s="14">
        <f>ROUND(IFERROR('1.1 Jakotaulu'!L$16*Ohj.lask.[[#This Row],[%-osuus 3]],0),0)</f>
        <v>105913</v>
      </c>
      <c r="S59" s="157">
        <f>IFERROR(ROUND(VLOOKUP($A59,'2.4 Aloittaneet palaute'!$A:$J,COLUMN('2.4 Aloittaneet palaute'!I:I),FALSE),1),0)</f>
        <v>1143.7</v>
      </c>
      <c r="T59" s="17">
        <f>IFERROR(Ohj.lask.[[#This Row],[Painotetut pisteet 4]]/Ohj.lask.[[#Totals],[Painotetut pisteet 4]],0)</f>
        <v>7.2918566085757898E-4</v>
      </c>
      <c r="U59" s="20">
        <f>ROUND(IFERROR('1.1 Jakotaulu'!M$18*Ohj.lask.[[#This Row],[%-osuus 4]],0),0)</f>
        <v>5600</v>
      </c>
      <c r="V59" s="157">
        <f>IFERROR(ROUND(VLOOKUP($A59,'2.5 Päättäneet palaute'!$A:$Z,COLUMN('2.5 Päättäneet palaute'!Y:Y),FALSE),1),0)</f>
        <v>6104.9</v>
      </c>
      <c r="W59" s="17">
        <f>IFERROR(Ohj.lask.[[#This Row],[Painotetut pisteet 5]]/Ohj.lask.[[#Totals],[Painotetut pisteet 5]],0)</f>
        <v>6.4153010704922188E-4</v>
      </c>
      <c r="X59" s="20">
        <f>ROUND(IFERROR('1.1 Jakotaulu'!M$19*Ohj.lask.[[#This Row],[%-osuus 5]],0),0)</f>
        <v>14780</v>
      </c>
      <c r="Y59" s="157">
        <f>IFERROR(ROUND(VLOOKUP($A59,'2.6 Työpaikkaohjaajakysely'!A:I,COLUMN('2.6 Työpaikkaohjaajakysely'!H:H),FALSE),1),0)</f>
        <v>527067.4</v>
      </c>
      <c r="Z59" s="13">
        <f>IFERROR(Ohj.lask.[[#This Row],[Painotetut pisteet 6]]/Ohj.lask.[[#Totals],[Painotetut pisteet 6]],0)</f>
        <v>1.319092307791099E-3</v>
      </c>
      <c r="AA59" s="20">
        <f>ROUND(IFERROR('1.1 Jakotaulu'!M$21*Ohj.lask.[[#This Row],[%-osuus 6]],0),0)</f>
        <v>30391</v>
      </c>
      <c r="AB59" s="157">
        <f>IFERROR(ROUND(VLOOKUP($A59,'2.7 Työpaikkakysely'!A:G,COLUMN('2.7 Työpaikkakysely'!F:F),FALSE),1),0)</f>
        <v>327490</v>
      </c>
      <c r="AC59" s="13">
        <f>IFERROR(Ohj.lask.[[#This Row],[Pisteet 7]]/Ohj.lask.[[#Totals],[Pisteet 7]],0)</f>
        <v>1.7131318640809868E-3</v>
      </c>
      <c r="AD59" s="20">
        <f>ROUND(IFERROR('1.1 Jakotaulu'!M$22*Ohj.lask.[[#This Row],[%-osuus 7]],0),0)</f>
        <v>13156</v>
      </c>
      <c r="AE59" s="16">
        <f>IFERROR(Ohj.lask.[[#This Row],[Jaettava € 8]]/Ohj.lask.[[#Totals],[Jaettava € 8]],"")</f>
        <v>5.9750129954821811E-4</v>
      </c>
      <c r="AF59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1205763</v>
      </c>
      <c r="AG59" s="105">
        <v>0</v>
      </c>
      <c r="AH59" s="105">
        <v>0</v>
      </c>
      <c r="AI59" s="105">
        <v>0</v>
      </c>
      <c r="AJ59" s="105">
        <v>0</v>
      </c>
      <c r="AK59" s="105">
        <v>0</v>
      </c>
      <c r="AL59" s="105">
        <v>0</v>
      </c>
      <c r="AM59" s="105">
        <v>0</v>
      </c>
      <c r="AN59" s="105">
        <v>0</v>
      </c>
      <c r="AO59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0</v>
      </c>
      <c r="AP59" s="14">
        <f>Ohj.lask.[[#This Row],[Jaettava € 1]]+Ohj.lask.[[#This Row],[Harkinnanvarainen korotus 9, €]]</f>
        <v>739429</v>
      </c>
      <c r="AQ59" s="105">
        <f>Ohj.lask.[[#This Row],[Jaettava € 2]]</f>
        <v>296494</v>
      </c>
      <c r="AR59" s="14">
        <f>Ohj.lask.[[#This Row],[Jaettava € 3]]+Ohj.lask.[[#This Row],[Jaettava € 4]]+Ohj.lask.[[#This Row],[Jaettava € 5]]+Ohj.lask.[[#This Row],[Jaettava € 6]]+Ohj.lask.[[#This Row],[Jaettava € 7]]</f>
        <v>169840</v>
      </c>
      <c r="AS59" s="37">
        <f>Ohj.lask.[[#This Row],[Jaettava € 8]]+Ohj.lask.[[#This Row],[Harkinnanvarainen korotus 9, €]]</f>
        <v>1205763</v>
      </c>
      <c r="AT59" s="37">
        <v>118011</v>
      </c>
      <c r="AU59" s="20">
        <f>Ohj.lask.[[#This Row],[Perus-, suoritus- ja vaikuttavuusrahoitus yhteensä, €]]+Ohj.lask.[[#This Row],[Alv-korvaus, €]]</f>
        <v>1323774</v>
      </c>
    </row>
    <row r="60" spans="1:47" ht="13" x14ac:dyDescent="0.3">
      <c r="A60" s="7" t="s">
        <v>280</v>
      </c>
      <c r="B60" s="11" t="s">
        <v>60</v>
      </c>
      <c r="C60" s="11" t="s">
        <v>196</v>
      </c>
      <c r="D60" s="11" t="s">
        <v>336</v>
      </c>
      <c r="E60" s="11" t="s">
        <v>388</v>
      </c>
      <c r="F60" s="109">
        <v>2316</v>
      </c>
      <c r="G60" s="114">
        <f>Ohj.lask.[[#This Row],[Tavoitteelliset opiskelija-vuodet]]-Ohj.lask.[[#This Row],[Järjestämisluvan opisk.vuosien vähimmäismäärä]]</f>
        <v>120</v>
      </c>
      <c r="H60" s="36">
        <v>2436</v>
      </c>
      <c r="I60" s="12">
        <f>IFERROR(VLOOKUP($A60,'2.1 Toteut. op.vuodet'!$A:$T,COLUMN('2.1 Toteut. op.vuodet'!S:S),FALSE),0)</f>
        <v>1.1464637726025979</v>
      </c>
      <c r="J60" s="78">
        <f t="shared" si="1"/>
        <v>2792.8</v>
      </c>
      <c r="K60" s="13">
        <f>IFERROR(Ohj.lask.[[#This Row],[Painotetut opiskelija-vuodet]]/Ohj.lask.[[#Totals],[Painotetut opiskelija-vuodet]],0)</f>
        <v>1.2928241040777099E-2</v>
      </c>
      <c r="L60" s="14">
        <f>ROUND(IFERROR('1.1 Jakotaulu'!L$13*Ohj.lask.[[#This Row],[%-osuus 1]],0),0)</f>
        <v>18146545</v>
      </c>
      <c r="M60" s="157">
        <f>IFERROR(ROUND(VLOOKUP($A60,'2.2 Tutk. ja osien pain. pist.'!$A:$Q,COLUMN('2.2 Tutk. ja osien pain. pist.'!O:O),FALSE),1),0)</f>
        <v>184908.7</v>
      </c>
      <c r="N60" s="13">
        <f>IFERROR(Ohj.lask.[[#This Row],[Painotetut pisteet 2]]/Ohj.lask.[[#Totals],[Painotetut pisteet 2]],0)</f>
        <v>1.1907466709635422E-2</v>
      </c>
      <c r="O60" s="20">
        <f>ROUND(IFERROR('1.1 Jakotaulu'!K$14*Ohj.lask.[[#This Row],[%-osuus 2]],0),0)</f>
        <v>4877084</v>
      </c>
      <c r="P60" s="158">
        <f>IFERROR(ROUND(VLOOKUP($A60,'2.3 Työll. ja jatko-opisk.'!$A:$Z,COLUMN('2.3 Työll. ja jatko-opisk.'!M:M),FALSE),1),0)</f>
        <v>3790.7</v>
      </c>
      <c r="Q60" s="13">
        <f>IFERROR(Ohj.lask.[[#This Row],[Painotetut pisteet 3]]/Ohj.lask.[[#Totals],[Painotetut pisteet 3]],0)</f>
        <v>1.2171435928902401E-2</v>
      </c>
      <c r="R60" s="14">
        <f>ROUND(IFERROR('1.1 Jakotaulu'!L$16*Ohj.lask.[[#This Row],[%-osuus 3]],0),0)</f>
        <v>1744820</v>
      </c>
      <c r="S60" s="157">
        <f>IFERROR(ROUND(VLOOKUP($A60,'2.4 Aloittaneet palaute'!$A:$J,COLUMN('2.4 Aloittaneet palaute'!I:I),FALSE),1),0)</f>
        <v>18190.400000000001</v>
      </c>
      <c r="T60" s="17">
        <f>IFERROR(Ohj.lask.[[#This Row],[Painotetut pisteet 4]]/Ohj.lask.[[#Totals],[Painotetut pisteet 4]],0)</f>
        <v>1.1597603257203555E-2</v>
      </c>
      <c r="U60" s="20">
        <f>ROUND(IFERROR('1.1 Jakotaulu'!M$18*Ohj.lask.[[#This Row],[%-osuus 4]],0),0)</f>
        <v>89066</v>
      </c>
      <c r="V60" s="157">
        <f>IFERROR(ROUND(VLOOKUP($A60,'2.5 Päättäneet palaute'!$A:$Z,COLUMN('2.5 Päättäneet palaute'!Y:Y),FALSE),1),0)</f>
        <v>92793.600000000006</v>
      </c>
      <c r="W60" s="17">
        <f>IFERROR(Ohj.lask.[[#This Row],[Painotetut pisteet 5]]/Ohj.lask.[[#Totals],[Painotetut pisteet 5]],0)</f>
        <v>9.7511651528252186E-3</v>
      </c>
      <c r="X60" s="20">
        <f>ROUND(IFERROR('1.1 Jakotaulu'!M$19*Ohj.lask.[[#This Row],[%-osuus 5]],0),0)</f>
        <v>224657</v>
      </c>
      <c r="Y60" s="157">
        <f>IFERROR(ROUND(VLOOKUP($A60,'2.6 Työpaikkaohjaajakysely'!A:I,COLUMN('2.6 Työpaikkaohjaajakysely'!H:H),FALSE),1),0)</f>
        <v>4264165.7</v>
      </c>
      <c r="Z60" s="13">
        <f>IFERROR(Ohj.lask.[[#This Row],[Painotetut pisteet 6]]/Ohj.lask.[[#Totals],[Painotetut pisteet 6]],0)</f>
        <v>1.0671933369464034E-2</v>
      </c>
      <c r="AA60" s="20">
        <f>ROUND(IFERROR('1.1 Jakotaulu'!M$21*Ohj.lask.[[#This Row],[%-osuus 6]],0),0)</f>
        <v>245871</v>
      </c>
      <c r="AB60" s="157">
        <f>IFERROR(ROUND(VLOOKUP($A60,'2.7 Työpaikkakysely'!A:G,COLUMN('2.7 Työpaikkakysely'!F:F),FALSE),1),0)</f>
        <v>3323763</v>
      </c>
      <c r="AC60" s="13">
        <f>IFERROR(Ohj.lask.[[#This Row],[Pisteet 7]]/Ohj.lask.[[#Totals],[Pisteet 7]],0)</f>
        <v>1.7386925719727053E-2</v>
      </c>
      <c r="AD60" s="20">
        <f>ROUND(IFERROR('1.1 Jakotaulu'!M$22*Ohj.lask.[[#This Row],[%-osuus 7]],0),0)</f>
        <v>133526</v>
      </c>
      <c r="AE60" s="16">
        <f>IFERROR(Ohj.lask.[[#This Row],[Jaettava € 8]]/Ohj.lask.[[#Totals],[Jaettava € 8]],"")</f>
        <v>1.2617173164242578E-2</v>
      </c>
      <c r="AF60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25461569</v>
      </c>
      <c r="AG60" s="105">
        <v>0</v>
      </c>
      <c r="AH60" s="105">
        <v>0</v>
      </c>
      <c r="AI60" s="105">
        <v>0</v>
      </c>
      <c r="AJ60" s="105">
        <v>0</v>
      </c>
      <c r="AK60" s="105">
        <v>0</v>
      </c>
      <c r="AL60" s="105">
        <v>0</v>
      </c>
      <c r="AM60" s="105">
        <v>39000</v>
      </c>
      <c r="AN60" s="105">
        <v>7000</v>
      </c>
      <c r="AO60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46000</v>
      </c>
      <c r="AP60" s="14">
        <f>Ohj.lask.[[#This Row],[Jaettava € 1]]+Ohj.lask.[[#This Row],[Harkinnanvarainen korotus 9, €]]</f>
        <v>18192545</v>
      </c>
      <c r="AQ60" s="105">
        <f>Ohj.lask.[[#This Row],[Jaettava € 2]]</f>
        <v>4877084</v>
      </c>
      <c r="AR60" s="14">
        <f>Ohj.lask.[[#This Row],[Jaettava € 3]]+Ohj.lask.[[#This Row],[Jaettava € 4]]+Ohj.lask.[[#This Row],[Jaettava € 5]]+Ohj.lask.[[#This Row],[Jaettava € 6]]+Ohj.lask.[[#This Row],[Jaettava € 7]]</f>
        <v>2437940</v>
      </c>
      <c r="AS60" s="37">
        <f>Ohj.lask.[[#This Row],[Jaettava € 8]]+Ohj.lask.[[#This Row],[Harkinnanvarainen korotus 9, €]]</f>
        <v>25507569</v>
      </c>
      <c r="AT60" s="37">
        <v>0</v>
      </c>
      <c r="AU60" s="20">
        <f>Ohj.lask.[[#This Row],[Perus-, suoritus- ja vaikuttavuusrahoitus yhteensä, €]]+Ohj.lask.[[#This Row],[Alv-korvaus, €]]</f>
        <v>25507569</v>
      </c>
    </row>
    <row r="61" spans="1:47" ht="13" x14ac:dyDescent="0.3">
      <c r="A61" s="7" t="s">
        <v>279</v>
      </c>
      <c r="B61" s="11" t="s">
        <v>61</v>
      </c>
      <c r="C61" s="11" t="s">
        <v>192</v>
      </c>
      <c r="D61" s="11" t="s">
        <v>336</v>
      </c>
      <c r="E61" s="11" t="s">
        <v>388</v>
      </c>
      <c r="F61" s="109">
        <v>5467</v>
      </c>
      <c r="G61" s="114">
        <f>Ohj.lask.[[#This Row],[Tavoitteelliset opiskelija-vuodet]]-Ohj.lask.[[#This Row],[Järjestämisluvan opisk.vuosien vähimmäismäärä]]</f>
        <v>516</v>
      </c>
      <c r="H61" s="36">
        <v>5983</v>
      </c>
      <c r="I61" s="12">
        <f>IFERROR(VLOOKUP($A61,'2.1 Toteut. op.vuodet'!$A:$T,COLUMN('2.1 Toteut. op.vuodet'!S:S),FALSE),0)</f>
        <v>1.0586782504418384</v>
      </c>
      <c r="J61" s="78">
        <f t="shared" si="1"/>
        <v>6334.1</v>
      </c>
      <c r="K61" s="13">
        <f>IFERROR(Ohj.lask.[[#This Row],[Painotetut opiskelija-vuodet]]/Ohj.lask.[[#Totals],[Painotetut opiskelija-vuodet]],0)</f>
        <v>2.9321387702802282E-2</v>
      </c>
      <c r="L61" s="14">
        <f>ROUND(IFERROR('1.1 Jakotaulu'!L$13*Ohj.lask.[[#This Row],[%-osuus 1]],0),0)</f>
        <v>41156555</v>
      </c>
      <c r="M61" s="157">
        <f>IFERROR(ROUND(VLOOKUP($A61,'2.2 Tutk. ja osien pain. pist.'!$A:$Q,COLUMN('2.2 Tutk. ja osien pain. pist.'!O:O),FALSE),1),0)</f>
        <v>489279.9</v>
      </c>
      <c r="N61" s="13">
        <f>IFERROR(Ohj.lask.[[#This Row],[Painotetut pisteet 2]]/Ohj.lask.[[#Totals],[Painotetut pisteet 2]],0)</f>
        <v>3.1507896172239314E-2</v>
      </c>
      <c r="O61" s="20">
        <f>ROUND(IFERROR('1.1 Jakotaulu'!K$14*Ohj.lask.[[#This Row],[%-osuus 2]],0),0)</f>
        <v>12905067</v>
      </c>
      <c r="P61" s="158">
        <f>IFERROR(ROUND(VLOOKUP($A61,'2.3 Työll. ja jatko-opisk.'!$A:$Z,COLUMN('2.3 Työll. ja jatko-opisk.'!M:M),FALSE),1),0)</f>
        <v>10467.700000000001</v>
      </c>
      <c r="Q61" s="13">
        <f>IFERROR(Ohj.lask.[[#This Row],[Painotetut pisteet 3]]/Ohj.lask.[[#Totals],[Painotetut pisteet 3]],0)</f>
        <v>3.3610399101213939E-2</v>
      </c>
      <c r="R61" s="14">
        <f>ROUND(IFERROR('1.1 Jakotaulu'!L$16*Ohj.lask.[[#This Row],[%-osuus 3]],0),0)</f>
        <v>4818175</v>
      </c>
      <c r="S61" s="157">
        <f>IFERROR(ROUND(VLOOKUP($A61,'2.4 Aloittaneet palaute'!$A:$J,COLUMN('2.4 Aloittaneet palaute'!I:I),FALSE),1),0)</f>
        <v>48628.5</v>
      </c>
      <c r="T61" s="17">
        <f>IFERROR(Ohj.lask.[[#This Row],[Painotetut pisteet 4]]/Ohj.lask.[[#Totals],[Painotetut pisteet 4]],0)</f>
        <v>3.1003938890454472E-2</v>
      </c>
      <c r="U61" s="20">
        <f>ROUND(IFERROR('1.1 Jakotaulu'!M$18*Ohj.lask.[[#This Row],[%-osuus 4]],0),0)</f>
        <v>238100</v>
      </c>
      <c r="V61" s="157">
        <f>IFERROR(ROUND(VLOOKUP($A61,'2.5 Päättäneet palaute'!$A:$Z,COLUMN('2.5 Päättäneet palaute'!Y:Y),FALSE),1),0)</f>
        <v>329444.7</v>
      </c>
      <c r="W61" s="17">
        <f>IFERROR(Ohj.lask.[[#This Row],[Painotetut pisteet 5]]/Ohj.lask.[[#Totals],[Painotetut pisteet 5]],0)</f>
        <v>3.4619517708365216E-2</v>
      </c>
      <c r="X61" s="20">
        <f>ROUND(IFERROR('1.1 Jakotaulu'!M$19*Ohj.lask.[[#This Row],[%-osuus 5]],0),0)</f>
        <v>797599</v>
      </c>
      <c r="Y61" s="157">
        <f>IFERROR(ROUND(VLOOKUP($A61,'2.6 Työpaikkaohjaajakysely'!A:I,COLUMN('2.6 Työpaikkaohjaajakysely'!H:H),FALSE),1),0)</f>
        <v>20273431.100000001</v>
      </c>
      <c r="Z61" s="13">
        <f>IFERROR(Ohj.lask.[[#This Row],[Painotetut pisteet 6]]/Ohj.lask.[[#Totals],[Painotetut pisteet 6]],0)</f>
        <v>5.0738343931995868E-2</v>
      </c>
      <c r="AA61" s="20">
        <f>ROUND(IFERROR('1.1 Jakotaulu'!M$21*Ohj.lask.[[#This Row],[%-osuus 6]],0),0)</f>
        <v>1168960</v>
      </c>
      <c r="AB61" s="157">
        <f>IFERROR(ROUND(VLOOKUP($A61,'2.7 Työpaikkakysely'!A:G,COLUMN('2.7 Työpaikkakysely'!F:F),FALSE),1),0)</f>
        <v>7379434.5999999996</v>
      </c>
      <c r="AC61" s="13">
        <f>IFERROR(Ohj.lask.[[#This Row],[Pisteet 7]]/Ohj.lask.[[#Totals],[Pisteet 7]],0)</f>
        <v>3.860253611457367E-2</v>
      </c>
      <c r="AD61" s="20">
        <f>ROUND(IFERROR('1.1 Jakotaulu'!M$22*Ohj.lask.[[#This Row],[%-osuus 7]],0),0)</f>
        <v>296454</v>
      </c>
      <c r="AE61" s="16">
        <f>IFERROR(Ohj.lask.[[#This Row],[Jaettava € 8]]/Ohj.lask.[[#Totals],[Jaettava € 8]],"")</f>
        <v>3.0416569004399881E-2</v>
      </c>
      <c r="AF61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61380910</v>
      </c>
      <c r="AG61" s="105">
        <v>0</v>
      </c>
      <c r="AH61" s="105">
        <v>0</v>
      </c>
      <c r="AI61" s="105">
        <v>0</v>
      </c>
      <c r="AJ61" s="105">
        <v>0</v>
      </c>
      <c r="AK61" s="105">
        <v>0</v>
      </c>
      <c r="AL61" s="105">
        <v>0</v>
      </c>
      <c r="AM61" s="105">
        <v>0</v>
      </c>
      <c r="AN61" s="105">
        <v>32000</v>
      </c>
      <c r="AO61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32000</v>
      </c>
      <c r="AP61" s="14">
        <f>Ohj.lask.[[#This Row],[Jaettava € 1]]+Ohj.lask.[[#This Row],[Harkinnanvarainen korotus 9, €]]</f>
        <v>41188555</v>
      </c>
      <c r="AQ61" s="105">
        <f>Ohj.lask.[[#This Row],[Jaettava € 2]]</f>
        <v>12905067</v>
      </c>
      <c r="AR61" s="14">
        <f>Ohj.lask.[[#This Row],[Jaettava € 3]]+Ohj.lask.[[#This Row],[Jaettava € 4]]+Ohj.lask.[[#This Row],[Jaettava € 5]]+Ohj.lask.[[#This Row],[Jaettava € 6]]+Ohj.lask.[[#This Row],[Jaettava € 7]]</f>
        <v>7319288</v>
      </c>
      <c r="AS61" s="37">
        <f>Ohj.lask.[[#This Row],[Jaettava € 8]]+Ohj.lask.[[#This Row],[Harkinnanvarainen korotus 9, €]]</f>
        <v>61412910</v>
      </c>
      <c r="AT61" s="37">
        <v>0</v>
      </c>
      <c r="AU61" s="20">
        <f>Ohj.lask.[[#This Row],[Perus-, suoritus- ja vaikuttavuusrahoitus yhteensä, €]]+Ohj.lask.[[#This Row],[Alv-korvaus, €]]</f>
        <v>61412910</v>
      </c>
    </row>
    <row r="62" spans="1:47" ht="13" x14ac:dyDescent="0.3">
      <c r="A62" s="7" t="s">
        <v>239</v>
      </c>
      <c r="B62" s="11" t="s">
        <v>490</v>
      </c>
      <c r="C62" s="11" t="s">
        <v>187</v>
      </c>
      <c r="D62" s="11" t="s">
        <v>336</v>
      </c>
      <c r="E62" s="11" t="s">
        <v>388</v>
      </c>
      <c r="F62" s="109">
        <v>890</v>
      </c>
      <c r="G62" s="114">
        <f>Ohj.lask.[[#This Row],[Tavoitteelliset opiskelija-vuodet]]-Ohj.lask.[[#This Row],[Järjestämisluvan opisk.vuosien vähimmäismäärä]]</f>
        <v>181</v>
      </c>
      <c r="H62" s="36">
        <v>1071</v>
      </c>
      <c r="I62" s="12">
        <f>IFERROR(VLOOKUP($A62,'2.1 Toteut. op.vuodet'!$A:$T,COLUMN('2.1 Toteut. op.vuodet'!S:S),FALSE),0)</f>
        <v>1.2238861959267049</v>
      </c>
      <c r="J62" s="78">
        <f t="shared" si="1"/>
        <v>1310.8</v>
      </c>
      <c r="K62" s="13">
        <f>IFERROR(Ohj.lask.[[#This Row],[Painotetut opiskelija-vuodet]]/Ohj.lask.[[#Totals],[Painotetut opiskelija-vuodet]],0)</f>
        <v>6.0678667846786804E-3</v>
      </c>
      <c r="L62" s="14">
        <f>ROUND(IFERROR('1.1 Jakotaulu'!L$13*Ohj.lask.[[#This Row],[%-osuus 1]],0),0)</f>
        <v>8517076</v>
      </c>
      <c r="M62" s="157">
        <f>IFERROR(ROUND(VLOOKUP($A62,'2.2 Tutk. ja osien pain. pist.'!$A:$Q,COLUMN('2.2 Tutk. ja osien pain. pist.'!O:O),FALSE),1),0)</f>
        <v>90527.5</v>
      </c>
      <c r="N62" s="13">
        <f>IFERROR(Ohj.lask.[[#This Row],[Painotetut pisteet 2]]/Ohj.lask.[[#Totals],[Painotetut pisteet 2]],0)</f>
        <v>5.8296510253791223E-3</v>
      </c>
      <c r="O62" s="20">
        <f>ROUND(IFERROR('1.1 Jakotaulu'!K$14*Ohj.lask.[[#This Row],[%-osuus 2]],0),0)</f>
        <v>2387720</v>
      </c>
      <c r="P62" s="158">
        <f>IFERROR(ROUND(VLOOKUP($A62,'2.3 Työll. ja jatko-opisk.'!$A:$Z,COLUMN('2.3 Työll. ja jatko-opisk.'!M:M),FALSE),1),0)</f>
        <v>1695.5</v>
      </c>
      <c r="Q62" s="13">
        <f>IFERROR(Ohj.lask.[[#This Row],[Painotetut pisteet 3]]/Ohj.lask.[[#Totals],[Painotetut pisteet 3]],0)</f>
        <v>5.4440260683921229E-3</v>
      </c>
      <c r="R62" s="14">
        <f>ROUND(IFERROR('1.1 Jakotaulu'!L$16*Ohj.lask.[[#This Row],[%-osuus 3]],0),0)</f>
        <v>780421</v>
      </c>
      <c r="S62" s="157">
        <f>IFERROR(ROUND(VLOOKUP($A62,'2.4 Aloittaneet palaute'!$A:$J,COLUMN('2.4 Aloittaneet palaute'!I:I),FALSE),1),0)</f>
        <v>10076</v>
      </c>
      <c r="T62" s="17">
        <f>IFERROR(Ohj.lask.[[#This Row],[Painotetut pisteet 4]]/Ohj.lask.[[#Totals],[Painotetut pisteet 4]],0)</f>
        <v>6.4241275848570126E-3</v>
      </c>
      <c r="U62" s="20">
        <f>ROUND(IFERROR('1.1 Jakotaulu'!M$18*Ohj.lask.[[#This Row],[%-osuus 4]],0),0)</f>
        <v>49335</v>
      </c>
      <c r="V62" s="157">
        <f>IFERROR(ROUND(VLOOKUP($A62,'2.5 Päättäneet palaute'!$A:$Z,COLUMN('2.5 Päättäneet palaute'!Y:Y),FALSE),1),0)</f>
        <v>48057.599999999999</v>
      </c>
      <c r="W62" s="17">
        <f>IFERROR(Ohj.lask.[[#This Row],[Painotetut pisteet 5]]/Ohj.lask.[[#Totals],[Painotetut pisteet 5]],0)</f>
        <v>5.0501068440971493E-3</v>
      </c>
      <c r="X62" s="20">
        <f>ROUND(IFERROR('1.1 Jakotaulu'!M$19*Ohj.lask.[[#This Row],[%-osuus 5]],0),0)</f>
        <v>116349</v>
      </c>
      <c r="Y62" s="157">
        <f>IFERROR(ROUND(VLOOKUP($A62,'2.6 Työpaikkaohjaajakysely'!A:I,COLUMN('2.6 Työpaikkaohjaajakysely'!H:H),FALSE),1),0)</f>
        <v>1841438.1</v>
      </c>
      <c r="Z62" s="13">
        <f>IFERROR(Ohj.lask.[[#This Row],[Painotetut pisteet 6]]/Ohj.lask.[[#Totals],[Painotetut pisteet 6]],0)</f>
        <v>4.6085696686675301E-3</v>
      </c>
      <c r="AA62" s="20">
        <f>ROUND(IFERROR('1.1 Jakotaulu'!M$21*Ohj.lask.[[#This Row],[%-osuus 6]],0),0)</f>
        <v>106177</v>
      </c>
      <c r="AB62" s="157">
        <f>IFERROR(ROUND(VLOOKUP($A62,'2.7 Työpaikkakysely'!A:G,COLUMN('2.7 Työpaikkakysely'!F:F),FALSE),1),0)</f>
        <v>604788</v>
      </c>
      <c r="AC62" s="13">
        <f>IFERROR(Ohj.lask.[[#This Row],[Pisteet 7]]/Ohj.lask.[[#Totals],[Pisteet 7]],0)</f>
        <v>3.1637045217069587E-3</v>
      </c>
      <c r="AD62" s="20">
        <f>ROUND(IFERROR('1.1 Jakotaulu'!M$22*Ohj.lask.[[#This Row],[%-osuus 7]],0),0)</f>
        <v>24296</v>
      </c>
      <c r="AE62" s="16">
        <f>IFERROR(Ohj.lask.[[#This Row],[Jaettava € 8]]/Ohj.lask.[[#Totals],[Jaettava € 8]],"")</f>
        <v>5.9372252551896446E-3</v>
      </c>
      <c r="AF62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11981374</v>
      </c>
      <c r="AG62" s="105">
        <v>0</v>
      </c>
      <c r="AH62" s="105">
        <v>0</v>
      </c>
      <c r="AI62" s="105">
        <v>0</v>
      </c>
      <c r="AJ62" s="105">
        <v>0</v>
      </c>
      <c r="AK62" s="105">
        <v>0</v>
      </c>
      <c r="AL62" s="105">
        <v>0</v>
      </c>
      <c r="AM62" s="105">
        <v>10000</v>
      </c>
      <c r="AN62" s="105">
        <v>0</v>
      </c>
      <c r="AO62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10000</v>
      </c>
      <c r="AP62" s="14">
        <f>Ohj.lask.[[#This Row],[Jaettava € 1]]+Ohj.lask.[[#This Row],[Harkinnanvarainen korotus 9, €]]</f>
        <v>8527076</v>
      </c>
      <c r="AQ62" s="105">
        <f>Ohj.lask.[[#This Row],[Jaettava € 2]]</f>
        <v>2387720</v>
      </c>
      <c r="AR62" s="14">
        <f>Ohj.lask.[[#This Row],[Jaettava € 3]]+Ohj.lask.[[#This Row],[Jaettava € 4]]+Ohj.lask.[[#This Row],[Jaettava € 5]]+Ohj.lask.[[#This Row],[Jaettava € 6]]+Ohj.lask.[[#This Row],[Jaettava € 7]]</f>
        <v>1076578</v>
      </c>
      <c r="AS62" s="37">
        <f>Ohj.lask.[[#This Row],[Jaettava € 8]]+Ohj.lask.[[#This Row],[Harkinnanvarainen korotus 9, €]]</f>
        <v>11991374</v>
      </c>
      <c r="AT62" s="37">
        <v>0</v>
      </c>
      <c r="AU62" s="20">
        <f>Ohj.lask.[[#This Row],[Perus-, suoritus- ja vaikuttavuusrahoitus yhteensä, €]]+Ohj.lask.[[#This Row],[Alv-korvaus, €]]</f>
        <v>11991374</v>
      </c>
    </row>
    <row r="63" spans="1:47" ht="12.75" customHeight="1" x14ac:dyDescent="0.3">
      <c r="A63" s="7" t="s">
        <v>253</v>
      </c>
      <c r="B63" s="11" t="s">
        <v>458</v>
      </c>
      <c r="C63" s="11" t="s">
        <v>187</v>
      </c>
      <c r="D63" s="11" t="s">
        <v>336</v>
      </c>
      <c r="E63" s="11" t="s">
        <v>388</v>
      </c>
      <c r="F63" s="109">
        <v>6490</v>
      </c>
      <c r="G63" s="114">
        <f>Ohj.lask.[[#This Row],[Tavoitteelliset opiskelija-vuodet]]-Ohj.lask.[[#This Row],[Järjestämisluvan opisk.vuosien vähimmäismäärä]]</f>
        <v>222</v>
      </c>
      <c r="H63" s="36">
        <v>6712</v>
      </c>
      <c r="I63" s="12">
        <f>IFERROR(VLOOKUP($A63,'2.1 Toteut. op.vuodet'!$A:$T,COLUMN('2.1 Toteut. op.vuodet'!S:S),FALSE),0)</f>
        <v>1.1514576705582369</v>
      </c>
      <c r="J63" s="78">
        <f t="shared" si="1"/>
        <v>7728.6</v>
      </c>
      <c r="K63" s="13">
        <f>IFERROR(Ohj.lask.[[#This Row],[Painotetut opiskelija-vuodet]]/Ohj.lask.[[#Totals],[Painotetut opiskelija-vuodet]],0)</f>
        <v>3.5776712871580449E-2</v>
      </c>
      <c r="L63" s="14">
        <f>ROUND(IFERROR('1.1 Jakotaulu'!L$13*Ohj.lask.[[#This Row],[%-osuus 1]],0),0)</f>
        <v>50217482</v>
      </c>
      <c r="M63" s="157">
        <f>IFERROR(ROUND(VLOOKUP($A63,'2.2 Tutk. ja osien pain. pist.'!$A:$Q,COLUMN('2.2 Tutk. ja osien pain. pist.'!O:O),FALSE),1),0)</f>
        <v>613907.4</v>
      </c>
      <c r="N63" s="13">
        <f>IFERROR(Ohj.lask.[[#This Row],[Painotetut pisteet 2]]/Ohj.lask.[[#Totals],[Painotetut pisteet 2]],0)</f>
        <v>3.9533466669220196E-2</v>
      </c>
      <c r="O63" s="20">
        <f>ROUND(IFERROR('1.1 Jakotaulu'!K$14*Ohj.lask.[[#This Row],[%-osuus 2]],0),0)</f>
        <v>16192196</v>
      </c>
      <c r="P63" s="158">
        <f>IFERROR(ROUND(VLOOKUP($A63,'2.3 Työll. ja jatko-opisk.'!$A:$Z,COLUMN('2.3 Työll. ja jatko-opisk.'!M:M),FALSE),1),0)</f>
        <v>12510.6</v>
      </c>
      <c r="Q63" s="13">
        <f>IFERROR(Ohj.lask.[[#This Row],[Painotetut pisteet 3]]/Ohj.lask.[[#Totals],[Painotetut pisteet 3]],0)</f>
        <v>4.0169880584621939E-2</v>
      </c>
      <c r="R63" s="14">
        <f>ROUND(IFERROR('1.1 Jakotaulu'!L$16*Ohj.lask.[[#This Row],[%-osuus 3]],0),0)</f>
        <v>5758501</v>
      </c>
      <c r="S63" s="157">
        <f>IFERROR(ROUND(VLOOKUP($A63,'2.4 Aloittaneet palaute'!$A:$J,COLUMN('2.4 Aloittaneet palaute'!I:I),FALSE),1),0)</f>
        <v>59969.9</v>
      </c>
      <c r="T63" s="17">
        <f>IFERROR(Ohj.lask.[[#This Row],[Painotetut pisteet 4]]/Ohj.lask.[[#Totals],[Painotetut pisteet 4]],0)</f>
        <v>3.8234844070178305E-2</v>
      </c>
      <c r="U63" s="20">
        <f>ROUND(IFERROR('1.1 Jakotaulu'!M$18*Ohj.lask.[[#This Row],[%-osuus 4]],0),0)</f>
        <v>293631</v>
      </c>
      <c r="V63" s="157">
        <f>IFERROR(ROUND(VLOOKUP($A63,'2.5 Päättäneet palaute'!$A:$Z,COLUMN('2.5 Päättäneet palaute'!Y:Y),FALSE),1),0)</f>
        <v>355968.5</v>
      </c>
      <c r="W63" s="17">
        <f>IFERROR(Ohj.lask.[[#This Row],[Painotetut pisteet 5]]/Ohj.lask.[[#Totals],[Painotetut pisteet 5]],0)</f>
        <v>3.7406756852880627E-2</v>
      </c>
      <c r="X63" s="20">
        <f>ROUND(IFERROR('1.1 Jakotaulu'!M$19*Ohj.lask.[[#This Row],[%-osuus 5]],0),0)</f>
        <v>861814</v>
      </c>
      <c r="Y63" s="157">
        <f>IFERROR(ROUND(VLOOKUP($A63,'2.6 Työpaikkaohjaajakysely'!A:I,COLUMN('2.6 Työpaikkaohjaajakysely'!H:H),FALSE),1),0)</f>
        <v>17011343.800000001</v>
      </c>
      <c r="Z63" s="13">
        <f>IFERROR(Ohj.lask.[[#This Row],[Painotetut pisteet 6]]/Ohj.lask.[[#Totals],[Painotetut pisteet 6]],0)</f>
        <v>4.2574313554148493E-2</v>
      </c>
      <c r="AA63" s="20">
        <f>ROUND(IFERROR('1.1 Jakotaulu'!M$21*Ohj.lask.[[#This Row],[%-osuus 6]],0),0)</f>
        <v>980869</v>
      </c>
      <c r="AB63" s="157">
        <f>IFERROR(ROUND(VLOOKUP($A63,'2.7 Työpaikkakysely'!A:G,COLUMN('2.7 Työpaikkakysely'!F:F),FALSE),1),0)</f>
        <v>8189481.4000000004</v>
      </c>
      <c r="AC63" s="13">
        <f>IFERROR(Ohj.lask.[[#This Row],[Pisteet 7]]/Ohj.lask.[[#Totals],[Pisteet 7]],0)</f>
        <v>4.2839969271240556E-2</v>
      </c>
      <c r="AD63" s="20">
        <f>ROUND(IFERROR('1.1 Jakotaulu'!M$22*Ohj.lask.[[#This Row],[%-osuus 7]],0),0)</f>
        <v>328997</v>
      </c>
      <c r="AE63" s="16">
        <f>IFERROR(Ohj.lask.[[#This Row],[Jaettava € 8]]/Ohj.lask.[[#Totals],[Jaettava € 8]],"")</f>
        <v>3.6983725047807024E-2</v>
      </c>
      <c r="AF63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74633490</v>
      </c>
      <c r="AG63" s="105">
        <v>0</v>
      </c>
      <c r="AH63" s="105">
        <v>0</v>
      </c>
      <c r="AI63" s="105">
        <v>0</v>
      </c>
      <c r="AJ63" s="105">
        <v>0</v>
      </c>
      <c r="AK63" s="105">
        <v>0</v>
      </c>
      <c r="AL63" s="105">
        <v>0</v>
      </c>
      <c r="AM63" s="105">
        <v>120000</v>
      </c>
      <c r="AN63" s="105">
        <v>44000</v>
      </c>
      <c r="AO63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164000</v>
      </c>
      <c r="AP63" s="14">
        <f>Ohj.lask.[[#This Row],[Jaettava € 1]]+Ohj.lask.[[#This Row],[Harkinnanvarainen korotus 9, €]]</f>
        <v>50381482</v>
      </c>
      <c r="AQ63" s="105">
        <f>Ohj.lask.[[#This Row],[Jaettava € 2]]</f>
        <v>16192196</v>
      </c>
      <c r="AR63" s="14">
        <f>Ohj.lask.[[#This Row],[Jaettava € 3]]+Ohj.lask.[[#This Row],[Jaettava € 4]]+Ohj.lask.[[#This Row],[Jaettava € 5]]+Ohj.lask.[[#This Row],[Jaettava € 6]]+Ohj.lask.[[#This Row],[Jaettava € 7]]</f>
        <v>8223812</v>
      </c>
      <c r="AS63" s="37">
        <f>Ohj.lask.[[#This Row],[Jaettava € 8]]+Ohj.lask.[[#This Row],[Harkinnanvarainen korotus 9, €]]</f>
        <v>74797490</v>
      </c>
      <c r="AT63" s="37">
        <v>0</v>
      </c>
      <c r="AU63" s="20">
        <f>Ohj.lask.[[#This Row],[Perus-, suoritus- ja vaikuttavuusrahoitus yhteensä, €]]+Ohj.lask.[[#This Row],[Alv-korvaus, €]]</f>
        <v>74797490</v>
      </c>
    </row>
    <row r="64" spans="1:47" ht="15" customHeight="1" x14ac:dyDescent="0.3">
      <c r="A64" s="7" t="s">
        <v>278</v>
      </c>
      <c r="B64" s="11" t="s">
        <v>62</v>
      </c>
      <c r="C64" s="11" t="s">
        <v>265</v>
      </c>
      <c r="D64" s="11" t="s">
        <v>336</v>
      </c>
      <c r="E64" s="11" t="s">
        <v>388</v>
      </c>
      <c r="F64" s="109">
        <v>2108</v>
      </c>
      <c r="G64" s="114">
        <f>Ohj.lask.[[#This Row],[Tavoitteelliset opiskelija-vuodet]]-Ohj.lask.[[#This Row],[Järjestämisluvan opisk.vuosien vähimmäismäärä]]</f>
        <v>249</v>
      </c>
      <c r="H64" s="36">
        <v>2357</v>
      </c>
      <c r="I64" s="12">
        <f>IFERROR(VLOOKUP($A64,'2.1 Toteut. op.vuodet'!$A:$T,COLUMN('2.1 Toteut. op.vuodet'!S:S),FALSE),0)</f>
        <v>1.0795880218345872</v>
      </c>
      <c r="J64" s="78">
        <f t="shared" si="1"/>
        <v>2544.6</v>
      </c>
      <c r="K64" s="13">
        <f>IFERROR(Ohj.lask.[[#This Row],[Painotetut opiskelija-vuodet]]/Ohj.lask.[[#Totals],[Painotetut opiskelija-vuodet]],0)</f>
        <v>1.1779290372515541E-2</v>
      </c>
      <c r="L64" s="14">
        <f>ROUND(IFERROR('1.1 Jakotaulu'!L$13*Ohj.lask.[[#This Row],[%-osuus 1]],0),0)</f>
        <v>16533836</v>
      </c>
      <c r="M64" s="157">
        <f>IFERROR(ROUND(VLOOKUP($A64,'2.2 Tutk. ja osien pain. pist.'!$A:$Q,COLUMN('2.2 Tutk. ja osien pain. pist.'!O:O),FALSE),1),0)</f>
        <v>178198.5</v>
      </c>
      <c r="N64" s="13">
        <f>IFERROR(Ohj.lask.[[#This Row],[Painotetut pisteet 2]]/Ohj.lask.[[#Totals],[Painotetut pisteet 2]],0)</f>
        <v>1.1475353547220696E-2</v>
      </c>
      <c r="O64" s="20">
        <f>ROUND(IFERROR('1.1 Jakotaulu'!K$14*Ohj.lask.[[#This Row],[%-osuus 2]],0),0)</f>
        <v>4700098</v>
      </c>
      <c r="P64" s="158">
        <f>IFERROR(ROUND(VLOOKUP($A64,'2.3 Työll. ja jatko-opisk.'!$A:$Z,COLUMN('2.3 Työll. ja jatko-opisk.'!M:M),FALSE),1),0)</f>
        <v>3855.8</v>
      </c>
      <c r="Q64" s="13">
        <f>IFERROR(Ohj.lask.[[#This Row],[Painotetut pisteet 3]]/Ohj.lask.[[#Totals],[Painotetut pisteet 3]],0)</f>
        <v>1.2380463411681716E-2</v>
      </c>
      <c r="R64" s="14">
        <f>ROUND(IFERROR('1.1 Jakotaulu'!L$16*Ohj.lask.[[#This Row],[%-osuus 3]],0),0)</f>
        <v>1774785</v>
      </c>
      <c r="S64" s="157">
        <f>IFERROR(ROUND(VLOOKUP($A64,'2.4 Aloittaneet palaute'!$A:$J,COLUMN('2.4 Aloittaneet palaute'!I:I),FALSE),1),0)</f>
        <v>18723.8</v>
      </c>
      <c r="T64" s="17">
        <f>IFERROR(Ohj.lask.[[#This Row],[Painotetut pisteet 4]]/Ohj.lask.[[#Totals],[Painotetut pisteet 4]],0)</f>
        <v>1.1937681626969603E-2</v>
      </c>
      <c r="U64" s="20">
        <f>ROUND(IFERROR('1.1 Jakotaulu'!M$18*Ohj.lask.[[#This Row],[%-osuus 4]],0),0)</f>
        <v>91677</v>
      </c>
      <c r="V64" s="157">
        <f>IFERROR(ROUND(VLOOKUP($A64,'2.5 Päättäneet palaute'!$A:$Z,COLUMN('2.5 Päättäneet palaute'!Y:Y),FALSE),1),0)</f>
        <v>131727.79999999999</v>
      </c>
      <c r="W64" s="17">
        <f>IFERROR(Ohj.lask.[[#This Row],[Painotetut pisteet 5]]/Ohj.lask.[[#Totals],[Painotetut pisteet 5]],0)</f>
        <v>1.3842544453694325E-2</v>
      </c>
      <c r="X64" s="20">
        <f>ROUND(IFERROR('1.1 Jakotaulu'!M$19*Ohj.lask.[[#This Row],[%-osuus 5]],0),0)</f>
        <v>318918</v>
      </c>
      <c r="Y64" s="157">
        <f>IFERROR(ROUND(VLOOKUP($A64,'2.6 Työpaikkaohjaajakysely'!A:I,COLUMN('2.6 Työpaikkaohjaajakysely'!H:H),FALSE),1),0)</f>
        <v>6266413.7000000002</v>
      </c>
      <c r="Z64" s="13">
        <f>IFERROR(Ohj.lask.[[#This Row],[Painotetut pisteet 6]]/Ohj.lask.[[#Totals],[Painotetut pisteet 6]],0)</f>
        <v>1.5682962196308783E-2</v>
      </c>
      <c r="AA64" s="20">
        <f>ROUND(IFERROR('1.1 Jakotaulu'!M$21*Ohj.lask.[[#This Row],[%-osuus 6]],0),0)</f>
        <v>361320</v>
      </c>
      <c r="AB64" s="157">
        <f>IFERROR(ROUND(VLOOKUP($A64,'2.7 Työpaikkakysely'!A:G,COLUMN('2.7 Työpaikkakysely'!F:F),FALSE),1),0)</f>
        <v>3920158.1</v>
      </c>
      <c r="AC64" s="13">
        <f>IFERROR(Ohj.lask.[[#This Row],[Pisteet 7]]/Ohj.lask.[[#Totals],[Pisteet 7]],0)</f>
        <v>2.0506726169791992E-2</v>
      </c>
      <c r="AD64" s="20">
        <f>ROUND(IFERROR('1.1 Jakotaulu'!M$22*Ohj.lask.[[#This Row],[%-osuus 7]],0),0)</f>
        <v>157485</v>
      </c>
      <c r="AE64" s="16">
        <f>IFERROR(Ohj.lask.[[#This Row],[Jaettava € 8]]/Ohj.lask.[[#Totals],[Jaettava € 8]],"")</f>
        <v>1.1862245906732825E-2</v>
      </c>
      <c r="AF64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23938119</v>
      </c>
      <c r="AG64" s="105">
        <v>0</v>
      </c>
      <c r="AH64" s="105">
        <v>0</v>
      </c>
      <c r="AI64" s="105">
        <v>0</v>
      </c>
      <c r="AJ64" s="105">
        <v>0</v>
      </c>
      <c r="AK64" s="105">
        <v>0</v>
      </c>
      <c r="AL64" s="105">
        <v>0</v>
      </c>
      <c r="AM64" s="105">
        <v>45000</v>
      </c>
      <c r="AN64" s="105">
        <v>0</v>
      </c>
      <c r="AO64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45000</v>
      </c>
      <c r="AP64" s="14">
        <f>Ohj.lask.[[#This Row],[Jaettava € 1]]+Ohj.lask.[[#This Row],[Harkinnanvarainen korotus 9, €]]</f>
        <v>16578836</v>
      </c>
      <c r="AQ64" s="105">
        <f>Ohj.lask.[[#This Row],[Jaettava € 2]]</f>
        <v>4700098</v>
      </c>
      <c r="AR64" s="14">
        <f>Ohj.lask.[[#This Row],[Jaettava € 3]]+Ohj.lask.[[#This Row],[Jaettava € 4]]+Ohj.lask.[[#This Row],[Jaettava € 5]]+Ohj.lask.[[#This Row],[Jaettava € 6]]+Ohj.lask.[[#This Row],[Jaettava € 7]]</f>
        <v>2704185</v>
      </c>
      <c r="AS64" s="37">
        <f>Ohj.lask.[[#This Row],[Jaettava € 8]]+Ohj.lask.[[#This Row],[Harkinnanvarainen korotus 9, €]]</f>
        <v>23983119</v>
      </c>
      <c r="AT64" s="37">
        <v>0</v>
      </c>
      <c r="AU64" s="20">
        <f>Ohj.lask.[[#This Row],[Perus-, suoritus- ja vaikuttavuusrahoitus yhteensä, €]]+Ohj.lask.[[#This Row],[Alv-korvaus, €]]</f>
        <v>23983119</v>
      </c>
    </row>
    <row r="65" spans="1:47" ht="12.75" customHeight="1" x14ac:dyDescent="0.3">
      <c r="A65" s="7" t="s">
        <v>493</v>
      </c>
      <c r="B65" s="11" t="s">
        <v>494</v>
      </c>
      <c r="C65" s="11" t="s">
        <v>196</v>
      </c>
      <c r="D65" s="11" t="s">
        <v>337</v>
      </c>
      <c r="E65" s="11" t="s">
        <v>388</v>
      </c>
      <c r="F65" s="109">
        <v>2333</v>
      </c>
      <c r="G65" s="114">
        <f>Ohj.lask.[[#This Row],[Tavoitteelliset opiskelija-vuodet]]-Ohj.lask.[[#This Row],[Järjestämisluvan opisk.vuosien vähimmäismäärä]]</f>
        <v>372</v>
      </c>
      <c r="H65" s="36">
        <v>2705</v>
      </c>
      <c r="I65" s="12">
        <f>IFERROR(VLOOKUP($A65,'2.1 Toteut. op.vuodet'!$A:$T,COLUMN('2.1 Toteut. op.vuodet'!S:S),FALSE),0)</f>
        <v>1.0446867332210392</v>
      </c>
      <c r="J65" s="78">
        <f t="shared" si="1"/>
        <v>2825.9</v>
      </c>
      <c r="K65" s="13">
        <f>IFERROR(Ohj.lask.[[#This Row],[Painotetut opiskelija-vuodet]]/Ohj.lask.[[#Totals],[Painotetut opiskelija-vuodet]],0)</f>
        <v>1.3081465324094816E-2</v>
      </c>
      <c r="L65" s="14">
        <f>ROUND(IFERROR('1.1 Jakotaulu'!L$13*Ohj.lask.[[#This Row],[%-osuus 1]],0),0)</f>
        <v>18361616</v>
      </c>
      <c r="M65" s="157">
        <f>IFERROR(ROUND(VLOOKUP($A65,'2.2 Tutk. ja osien pain. pist.'!$A:$Q,COLUMN('2.2 Tutk. ja osien pain. pist.'!O:O),FALSE),1),0)</f>
        <v>203665.6</v>
      </c>
      <c r="N65" s="13">
        <f>IFERROR(Ohj.lask.[[#This Row],[Painotetut pisteet 2]]/Ohj.lask.[[#Totals],[Painotetut pisteet 2]],0)</f>
        <v>1.3115344772300728E-2</v>
      </c>
      <c r="O65" s="20">
        <f>ROUND(IFERROR('1.1 Jakotaulu'!K$14*Ohj.lask.[[#This Row],[%-osuus 2]],0),0)</f>
        <v>5371809</v>
      </c>
      <c r="P65" s="158">
        <f>IFERROR(ROUND(VLOOKUP($A65,'2.3 Työll. ja jatko-opisk.'!$A:$Z,COLUMN('2.3 Työll. ja jatko-opisk.'!M:M),FALSE),1),0)</f>
        <v>4207.5</v>
      </c>
      <c r="Q65" s="13">
        <f>IFERROR(Ohj.lask.[[#This Row],[Painotetut pisteet 3]]/Ohj.lask.[[#Totals],[Painotetut pisteet 3]],0)</f>
        <v>1.3509725557510975E-2</v>
      </c>
      <c r="R65" s="14">
        <f>ROUND(IFERROR('1.1 Jakotaulu'!L$16*Ohj.lask.[[#This Row],[%-osuus 3]],0),0)</f>
        <v>1936669</v>
      </c>
      <c r="S65" s="157">
        <f>IFERROR(ROUND(VLOOKUP($A65,'2.4 Aloittaneet palaute'!$A:$J,COLUMN('2.4 Aloittaneet palaute'!I:I),FALSE),1),0)</f>
        <v>21664.799999999999</v>
      </c>
      <c r="T65" s="17">
        <f>IFERROR(Ohj.lask.[[#This Row],[Painotetut pisteet 4]]/Ohj.lask.[[#Totals],[Painotetut pisteet 4]],0)</f>
        <v>1.3812766901588945E-2</v>
      </c>
      <c r="U65" s="20">
        <f>ROUND(IFERROR('1.1 Jakotaulu'!M$18*Ohj.lask.[[#This Row],[%-osuus 4]],0),0)</f>
        <v>106077</v>
      </c>
      <c r="V65" s="157">
        <f>IFERROR(ROUND(VLOOKUP($A65,'2.5 Päättäneet palaute'!$A:$Z,COLUMN('2.5 Päättäneet palaute'!Y:Y),FALSE),1),0)</f>
        <v>125862.1</v>
      </c>
      <c r="W65" s="17">
        <f>IFERROR(Ohj.lask.[[#This Row],[Painotetut pisteet 5]]/Ohj.lask.[[#Totals],[Painotetut pisteet 5]],0)</f>
        <v>1.3226150548975394E-2</v>
      </c>
      <c r="X65" s="20">
        <f>ROUND(IFERROR('1.1 Jakotaulu'!M$19*Ohj.lask.[[#This Row],[%-osuus 5]],0),0)</f>
        <v>304717</v>
      </c>
      <c r="Y65" s="157">
        <f>IFERROR(ROUND(VLOOKUP($A65,'2.6 Työpaikkaohjaajakysely'!A:I,COLUMN('2.6 Työpaikkaohjaajakysely'!H:H),FALSE),1),0)</f>
        <v>5603596.2000000002</v>
      </c>
      <c r="Z65" s="13">
        <f>IFERROR(Ohj.lask.[[#This Row],[Painotetut pisteet 6]]/Ohj.lask.[[#Totals],[Painotetut pisteet 6]],0)</f>
        <v>1.4024127926309677E-2</v>
      </c>
      <c r="AA65" s="20">
        <f>ROUND(IFERROR('1.1 Jakotaulu'!M$21*Ohj.lask.[[#This Row],[%-osuus 6]],0),0)</f>
        <v>323102</v>
      </c>
      <c r="AB65" s="157">
        <f>IFERROR(ROUND(VLOOKUP($A65,'2.7 Työpaikkakysely'!A:G,COLUMN('2.7 Työpaikkakysely'!F:F),FALSE),1),0)</f>
        <v>3732146.3</v>
      </c>
      <c r="AC65" s="13">
        <f>IFERROR(Ohj.lask.[[#This Row],[Pisteet 7]]/Ohj.lask.[[#Totals],[Pisteet 7]],0)</f>
        <v>1.9523218259922311E-2</v>
      </c>
      <c r="AD65" s="20">
        <f>ROUND(IFERROR('1.1 Jakotaulu'!M$22*Ohj.lask.[[#This Row],[%-osuus 7]],0),0)</f>
        <v>149932</v>
      </c>
      <c r="AE65" s="16">
        <f>IFERROR(Ohj.lask.[[#This Row],[Jaettava € 8]]/Ohj.lask.[[#Totals],[Jaettava € 8]],"")</f>
        <v>1.3158475507294567E-2</v>
      </c>
      <c r="AF65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26553922</v>
      </c>
      <c r="AG65" s="105">
        <v>0</v>
      </c>
      <c r="AH65" s="105">
        <v>0</v>
      </c>
      <c r="AI65" s="105">
        <v>0</v>
      </c>
      <c r="AJ65" s="105">
        <v>0</v>
      </c>
      <c r="AK65" s="105">
        <v>0</v>
      </c>
      <c r="AL65" s="105">
        <v>0</v>
      </c>
      <c r="AM65" s="105">
        <v>39000</v>
      </c>
      <c r="AN65" s="105">
        <v>0</v>
      </c>
      <c r="AO65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39000</v>
      </c>
      <c r="AP65" s="14">
        <f>Ohj.lask.[[#This Row],[Jaettava € 1]]+Ohj.lask.[[#This Row],[Harkinnanvarainen korotus 9, €]]</f>
        <v>18400616</v>
      </c>
      <c r="AQ65" s="105">
        <f>Ohj.lask.[[#This Row],[Jaettava € 2]]</f>
        <v>5371809</v>
      </c>
      <c r="AR65" s="14">
        <f>Ohj.lask.[[#This Row],[Jaettava € 3]]+Ohj.lask.[[#This Row],[Jaettava € 4]]+Ohj.lask.[[#This Row],[Jaettava € 5]]+Ohj.lask.[[#This Row],[Jaettava € 6]]+Ohj.lask.[[#This Row],[Jaettava € 7]]</f>
        <v>2820497</v>
      </c>
      <c r="AS65" s="37">
        <f>Ohj.lask.[[#This Row],[Jaettava € 8]]+Ohj.lask.[[#This Row],[Harkinnanvarainen korotus 9, €]]</f>
        <v>26592922</v>
      </c>
      <c r="AT65" s="37">
        <v>849871</v>
      </c>
      <c r="AU65" s="20">
        <f>Ohj.lask.[[#This Row],[Perus-, suoritus- ja vaikuttavuusrahoitus yhteensä, €]]+Ohj.lask.[[#This Row],[Alv-korvaus, €]]</f>
        <v>27442793</v>
      </c>
    </row>
    <row r="66" spans="1:47" ht="13" x14ac:dyDescent="0.3">
      <c r="A66" s="7" t="s">
        <v>274</v>
      </c>
      <c r="B66" s="11" t="s">
        <v>63</v>
      </c>
      <c r="C66" s="11" t="s">
        <v>187</v>
      </c>
      <c r="D66" s="11" t="s">
        <v>337</v>
      </c>
      <c r="E66" s="11" t="s">
        <v>388</v>
      </c>
      <c r="F66" s="109">
        <v>82</v>
      </c>
      <c r="G66" s="114">
        <f>Ohj.lask.[[#This Row],[Tavoitteelliset opiskelija-vuodet]]-Ohj.lask.[[#This Row],[Järjestämisluvan opisk.vuosien vähimmäismäärä]]</f>
        <v>0</v>
      </c>
      <c r="H66" s="36">
        <v>82</v>
      </c>
      <c r="I66" s="12">
        <f>IFERROR(VLOOKUP($A66,'2.1 Toteut. op.vuodet'!$A:$T,COLUMN('2.1 Toteut. op.vuodet'!S:S),FALSE),0)</f>
        <v>0.86596302424370808</v>
      </c>
      <c r="J66" s="78">
        <f t="shared" si="1"/>
        <v>71</v>
      </c>
      <c r="K66" s="13">
        <f>IFERROR(Ohj.lask.[[#This Row],[Painotetut opiskelija-vuodet]]/Ohj.lask.[[#Totals],[Painotetut opiskelija-vuodet]],0)</f>
        <v>3.2866840228271767E-4</v>
      </c>
      <c r="L66" s="14">
        <f>ROUND(IFERROR('1.1 Jakotaulu'!L$13*Ohj.lask.[[#This Row],[%-osuus 1]],0),0)</f>
        <v>461331</v>
      </c>
      <c r="M66" s="157">
        <f>IFERROR(ROUND(VLOOKUP($A66,'2.2 Tutk. ja osien pain. pist.'!$A:$Q,COLUMN('2.2 Tutk. ja osien pain. pist.'!O:O),FALSE),1),0)</f>
        <v>4729.7</v>
      </c>
      <c r="N66" s="13">
        <f>IFERROR(Ohj.lask.[[#This Row],[Painotetut pisteet 2]]/Ohj.lask.[[#Totals],[Painotetut pisteet 2]],0)</f>
        <v>3.0457596260512697E-4</v>
      </c>
      <c r="O66" s="20">
        <f>ROUND(IFERROR('1.1 Jakotaulu'!K$14*Ohj.lask.[[#This Row],[%-osuus 2]],0),0)</f>
        <v>124749</v>
      </c>
      <c r="P66" s="158">
        <f>IFERROR(ROUND(VLOOKUP($A66,'2.3 Työll. ja jatko-opisk.'!$A:$Z,COLUMN('2.3 Työll. ja jatko-opisk.'!M:M),FALSE),1),0)</f>
        <v>184.2</v>
      </c>
      <c r="Q66" s="13">
        <f>IFERROR(Ohj.lask.[[#This Row],[Painotetut pisteet 3]]/Ohj.lask.[[#Totals],[Painotetut pisteet 3]],0)</f>
        <v>5.9144181763363544E-4</v>
      </c>
      <c r="R66" s="14">
        <f>ROUND(IFERROR('1.1 Jakotaulu'!L$16*Ohj.lask.[[#This Row],[%-osuus 3]],0),0)</f>
        <v>84785</v>
      </c>
      <c r="S66" s="157">
        <f>IFERROR(ROUND(VLOOKUP($A66,'2.4 Aloittaneet palaute'!$A:$J,COLUMN('2.4 Aloittaneet palaute'!I:I),FALSE),1),0)</f>
        <v>1741.7</v>
      </c>
      <c r="T66" s="17">
        <f>IFERROR(Ohj.lask.[[#This Row],[Painotetut pisteet 4]]/Ohj.lask.[[#Totals],[Painotetut pisteet 4]],0)</f>
        <v>1.1104508748060202E-3</v>
      </c>
      <c r="U66" s="20">
        <f>ROUND(IFERROR('1.1 Jakotaulu'!M$18*Ohj.lask.[[#This Row],[%-osuus 4]],0),0)</f>
        <v>8528</v>
      </c>
      <c r="V66" s="157">
        <f>IFERROR(ROUND(VLOOKUP($A66,'2.5 Päättäneet palaute'!$A:$Z,COLUMN('2.5 Päättäneet palaute'!Y:Y),FALSE),1),0)</f>
        <v>8453</v>
      </c>
      <c r="W66" s="17">
        <f>IFERROR(Ohj.lask.[[#This Row],[Painotetut pisteet 5]]/Ohj.lask.[[#Totals],[Painotetut pisteet 5]],0)</f>
        <v>8.882789226501782E-4</v>
      </c>
      <c r="X66" s="20">
        <f>ROUND(IFERROR('1.1 Jakotaulu'!M$19*Ohj.lask.[[#This Row],[%-osuus 5]],0),0)</f>
        <v>20465</v>
      </c>
      <c r="Y66" s="157">
        <f>IFERROR(ROUND(VLOOKUP($A66,'2.6 Työpaikkaohjaajakysely'!A:I,COLUMN('2.6 Työpaikkaohjaajakysely'!H:H),FALSE),1),0)</f>
        <v>827748</v>
      </c>
      <c r="Z66" s="13">
        <f>IFERROR(Ohj.lask.[[#This Row],[Painotetut pisteet 6]]/Ohj.lask.[[#Totals],[Painotetut pisteet 6]],0)</f>
        <v>2.0716060594706989E-3</v>
      </c>
      <c r="AA66" s="20">
        <f>ROUND(IFERROR('1.1 Jakotaulu'!M$21*Ohj.lask.[[#This Row],[%-osuus 6]],0),0)</f>
        <v>47728</v>
      </c>
      <c r="AB66" s="157">
        <f>IFERROR(ROUND(VLOOKUP($A66,'2.7 Työpaikkakysely'!A:G,COLUMN('2.7 Työpaikkakysely'!F:F),FALSE),1),0)</f>
        <v>526558</v>
      </c>
      <c r="AC66" s="13">
        <f>IFERROR(Ohj.lask.[[#This Row],[Pisteet 7]]/Ohj.lask.[[#Totals],[Pisteet 7]],0)</f>
        <v>2.7544758254809498E-3</v>
      </c>
      <c r="AD66" s="20">
        <f>ROUND(IFERROR('1.1 Jakotaulu'!M$22*Ohj.lask.[[#This Row],[%-osuus 7]],0),0)</f>
        <v>21153</v>
      </c>
      <c r="AE66" s="16">
        <f>IFERROR(Ohj.lask.[[#This Row],[Jaettava € 8]]/Ohj.lask.[[#Totals],[Jaettava € 8]],"")</f>
        <v>3.8093933178692466E-4</v>
      </c>
      <c r="AF66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768739</v>
      </c>
      <c r="AG66" s="105">
        <v>0</v>
      </c>
      <c r="AH66" s="105">
        <v>0</v>
      </c>
      <c r="AI66" s="105">
        <v>0</v>
      </c>
      <c r="AJ66" s="105">
        <v>0</v>
      </c>
      <c r="AK66" s="105">
        <v>0</v>
      </c>
      <c r="AL66" s="105">
        <v>0</v>
      </c>
      <c r="AM66" s="105">
        <v>5000</v>
      </c>
      <c r="AN66" s="105">
        <v>0</v>
      </c>
      <c r="AO66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5000</v>
      </c>
      <c r="AP66" s="14">
        <f>Ohj.lask.[[#This Row],[Jaettava € 1]]+Ohj.lask.[[#This Row],[Harkinnanvarainen korotus 9, €]]</f>
        <v>466331</v>
      </c>
      <c r="AQ66" s="105">
        <f>Ohj.lask.[[#This Row],[Jaettava € 2]]</f>
        <v>124749</v>
      </c>
      <c r="AR66" s="14">
        <f>Ohj.lask.[[#This Row],[Jaettava € 3]]+Ohj.lask.[[#This Row],[Jaettava € 4]]+Ohj.lask.[[#This Row],[Jaettava € 5]]+Ohj.lask.[[#This Row],[Jaettava € 6]]+Ohj.lask.[[#This Row],[Jaettava € 7]]</f>
        <v>182659</v>
      </c>
      <c r="AS66" s="37">
        <f>Ohj.lask.[[#This Row],[Jaettava € 8]]+Ohj.lask.[[#This Row],[Harkinnanvarainen korotus 9, €]]</f>
        <v>773739</v>
      </c>
      <c r="AT66" s="37">
        <v>29231</v>
      </c>
      <c r="AU66" s="20">
        <f>Ohj.lask.[[#This Row],[Perus-, suoritus- ja vaikuttavuusrahoitus yhteensä, €]]+Ohj.lask.[[#This Row],[Alv-korvaus, €]]</f>
        <v>802970</v>
      </c>
    </row>
    <row r="67" spans="1:47" ht="13" x14ac:dyDescent="0.3">
      <c r="A67" s="7" t="s">
        <v>273</v>
      </c>
      <c r="B67" s="11" t="s">
        <v>64</v>
      </c>
      <c r="C67" s="11" t="s">
        <v>184</v>
      </c>
      <c r="D67" s="11" t="s">
        <v>337</v>
      </c>
      <c r="E67" s="11" t="s">
        <v>388</v>
      </c>
      <c r="F67" s="109">
        <v>48</v>
      </c>
      <c r="G67" s="114">
        <f>Ohj.lask.[[#This Row],[Tavoitteelliset opiskelija-vuodet]]-Ohj.lask.[[#This Row],[Järjestämisluvan opisk.vuosien vähimmäismäärä]]</f>
        <v>0</v>
      </c>
      <c r="H67" s="36">
        <v>48</v>
      </c>
      <c r="I67" s="12">
        <f>IFERROR(VLOOKUP($A67,'2.1 Toteut. op.vuodet'!$A:$T,COLUMN('2.1 Toteut. op.vuodet'!S:S),FALSE),0)</f>
        <v>1.4740988840312919</v>
      </c>
      <c r="J67" s="78">
        <f t="shared" si="1"/>
        <v>70.8</v>
      </c>
      <c r="K67" s="13">
        <f>IFERROR(Ohj.lask.[[#This Row],[Painotetut opiskelija-vuodet]]/Ohj.lask.[[#Totals],[Painotetut opiskelija-vuodet]],0)</f>
        <v>3.2774257579741426E-4</v>
      </c>
      <c r="L67" s="14">
        <f>ROUND(IFERROR('1.1 Jakotaulu'!L$13*Ohj.lask.[[#This Row],[%-osuus 1]],0),0)</f>
        <v>460031</v>
      </c>
      <c r="M67" s="157">
        <f>IFERROR(ROUND(VLOOKUP($A67,'2.2 Tutk. ja osien pain. pist.'!$A:$Q,COLUMN('2.2 Tutk. ja osien pain. pist.'!O:O),FALSE),1),0)</f>
        <v>8920.6</v>
      </c>
      <c r="N67" s="13">
        <f>IFERROR(Ohj.lask.[[#This Row],[Painotetut pisteet 2]]/Ohj.lask.[[#Totals],[Painotetut pisteet 2]],0)</f>
        <v>5.7445510962963737E-4</v>
      </c>
      <c r="O67" s="20">
        <f>ROUND(IFERROR('1.1 Jakotaulu'!K$14*Ohj.lask.[[#This Row],[%-osuus 2]],0),0)</f>
        <v>235286</v>
      </c>
      <c r="P67" s="158">
        <f>IFERROR(ROUND(VLOOKUP($A67,'2.3 Työll. ja jatko-opisk.'!$A:$Z,COLUMN('2.3 Työll. ja jatko-opisk.'!M:M),FALSE),1),0)</f>
        <v>97.8</v>
      </c>
      <c r="Q67" s="13">
        <f>IFERROR(Ohj.lask.[[#This Row],[Painotetut pisteet 3]]/Ohj.lask.[[#Totals],[Painotetut pisteet 3]],0)</f>
        <v>3.1402285431362409E-4</v>
      </c>
      <c r="R67" s="14">
        <f>ROUND(IFERROR('1.1 Jakotaulu'!L$16*Ohj.lask.[[#This Row],[%-osuus 3]],0),0)</f>
        <v>45016</v>
      </c>
      <c r="S67" s="157">
        <f>IFERROR(ROUND(VLOOKUP($A67,'2.4 Aloittaneet palaute'!$A:$J,COLUMN('2.4 Aloittaneet palaute'!I:I),FALSE),1),0)</f>
        <v>406.2</v>
      </c>
      <c r="T67" s="17">
        <f>IFERROR(Ohj.lask.[[#This Row],[Painotetut pisteet 4]]/Ohj.lask.[[#Totals],[Painotetut pisteet 4]],0)</f>
        <v>2.5897981589608165E-4</v>
      </c>
      <c r="U67" s="20">
        <f>ROUND(IFERROR('1.1 Jakotaulu'!M$18*Ohj.lask.[[#This Row],[%-osuus 4]],0),0)</f>
        <v>1989</v>
      </c>
      <c r="V67" s="157">
        <f>IFERROR(ROUND(VLOOKUP($A67,'2.5 Päättäneet palaute'!$A:$Z,COLUMN('2.5 Päättäneet palaute'!Y:Y),FALSE),1),0)</f>
        <v>2989.8</v>
      </c>
      <c r="W67" s="17">
        <f>IFERROR(Ohj.lask.[[#This Row],[Painotetut pisteet 5]]/Ohj.lask.[[#Totals],[Painotetut pisteet 5]],0)</f>
        <v>3.1418151223701677E-4</v>
      </c>
      <c r="X67" s="20">
        <f>ROUND(IFERROR('1.1 Jakotaulu'!M$19*Ohj.lask.[[#This Row],[%-osuus 5]],0),0)</f>
        <v>7238</v>
      </c>
      <c r="Y67" s="157">
        <f>IFERROR(ROUND(VLOOKUP($A67,'2.6 Työpaikkaohjaajakysely'!A:I,COLUMN('2.6 Työpaikkaohjaajakysely'!H:H),FALSE),1),0)</f>
        <v>0</v>
      </c>
      <c r="Z67" s="13">
        <f>IFERROR(Ohj.lask.[[#This Row],[Painotetut pisteet 6]]/Ohj.lask.[[#Totals],[Painotetut pisteet 6]],0)</f>
        <v>0</v>
      </c>
      <c r="AA67" s="20">
        <f>ROUND(IFERROR('1.1 Jakotaulu'!M$21*Ohj.lask.[[#This Row],[%-osuus 6]],0),0)</f>
        <v>0</v>
      </c>
      <c r="AB67" s="157">
        <f>IFERROR(ROUND(VLOOKUP($A67,'2.7 Työpaikkakysely'!A:G,COLUMN('2.7 Työpaikkakysely'!F:F),FALSE),1),0)</f>
        <v>304</v>
      </c>
      <c r="AC67" s="13">
        <f>IFERROR(Ohj.lask.[[#This Row],[Pisteet 7]]/Ohj.lask.[[#Totals],[Pisteet 7]],0)</f>
        <v>1.5902534021821125E-6</v>
      </c>
      <c r="AD67" s="20">
        <f>ROUND(IFERROR('1.1 Jakotaulu'!M$22*Ohj.lask.[[#This Row],[%-osuus 7]],0),0)</f>
        <v>12</v>
      </c>
      <c r="AE67" s="16">
        <f>IFERROR(Ohj.lask.[[#This Row],[Jaettava € 8]]/Ohj.lask.[[#Totals],[Jaettava € 8]],"")</f>
        <v>3.7144135630713242E-4</v>
      </c>
      <c r="AF67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749572</v>
      </c>
      <c r="AG67" s="105">
        <v>0</v>
      </c>
      <c r="AH67" s="105">
        <v>0</v>
      </c>
      <c r="AI67" s="105">
        <v>0</v>
      </c>
      <c r="AJ67" s="105">
        <v>0</v>
      </c>
      <c r="AK67" s="105">
        <v>0</v>
      </c>
      <c r="AL67" s="105">
        <v>0</v>
      </c>
      <c r="AM67" s="105">
        <v>0</v>
      </c>
      <c r="AN67" s="105">
        <v>0</v>
      </c>
      <c r="AO67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0</v>
      </c>
      <c r="AP67" s="14">
        <f>Ohj.lask.[[#This Row],[Jaettava € 1]]+Ohj.lask.[[#This Row],[Harkinnanvarainen korotus 9, €]]</f>
        <v>460031</v>
      </c>
      <c r="AQ67" s="105">
        <f>Ohj.lask.[[#This Row],[Jaettava € 2]]</f>
        <v>235286</v>
      </c>
      <c r="AR67" s="14">
        <f>Ohj.lask.[[#This Row],[Jaettava € 3]]+Ohj.lask.[[#This Row],[Jaettava € 4]]+Ohj.lask.[[#This Row],[Jaettava € 5]]+Ohj.lask.[[#This Row],[Jaettava € 6]]+Ohj.lask.[[#This Row],[Jaettava € 7]]</f>
        <v>54255</v>
      </c>
      <c r="AS67" s="37">
        <f>Ohj.lask.[[#This Row],[Jaettava € 8]]+Ohj.lask.[[#This Row],[Harkinnanvarainen korotus 9, €]]</f>
        <v>749572</v>
      </c>
      <c r="AT67" s="37">
        <v>15162</v>
      </c>
      <c r="AU67" s="20">
        <f>Ohj.lask.[[#This Row],[Perus-, suoritus- ja vaikuttavuusrahoitus yhteensä, €]]+Ohj.lask.[[#This Row],[Alv-korvaus, €]]</f>
        <v>764734</v>
      </c>
    </row>
    <row r="68" spans="1:47" ht="13" x14ac:dyDescent="0.3">
      <c r="A68" s="7" t="s">
        <v>272</v>
      </c>
      <c r="B68" s="11" t="s">
        <v>65</v>
      </c>
      <c r="C68" s="11" t="s">
        <v>184</v>
      </c>
      <c r="D68" s="11" t="s">
        <v>337</v>
      </c>
      <c r="E68" s="11" t="s">
        <v>388</v>
      </c>
      <c r="F68" s="109">
        <v>83</v>
      </c>
      <c r="G68" s="114">
        <f>Ohj.lask.[[#This Row],[Tavoitteelliset opiskelija-vuodet]]-Ohj.lask.[[#This Row],[Järjestämisluvan opisk.vuosien vähimmäismäärä]]</f>
        <v>12</v>
      </c>
      <c r="H68" s="36">
        <v>95</v>
      </c>
      <c r="I68" s="12">
        <f>IFERROR(VLOOKUP($A68,'2.1 Toteut. op.vuodet'!$A:$T,COLUMN('2.1 Toteut. op.vuodet'!S:S),FALSE),0)</f>
        <v>1.0347229026845677</v>
      </c>
      <c r="J68" s="78">
        <f t="shared" si="1"/>
        <v>98.3</v>
      </c>
      <c r="K68" s="13">
        <f>IFERROR(Ohj.lask.[[#This Row],[Painotetut opiskelija-vuodet]]/Ohj.lask.[[#Totals],[Painotetut opiskelija-vuodet]],0)</f>
        <v>4.5504371752663585E-4</v>
      </c>
      <c r="L68" s="14">
        <f>ROUND(IFERROR('1.1 Jakotaulu'!L$13*Ohj.lask.[[#This Row],[%-osuus 1]],0),0)</f>
        <v>638716</v>
      </c>
      <c r="M68" s="157">
        <f>IFERROR(ROUND(VLOOKUP($A68,'2.2 Tutk. ja osien pain. pist.'!$A:$Q,COLUMN('2.2 Tutk. ja osien pain. pist.'!O:O),FALSE),1),0)</f>
        <v>8789</v>
      </c>
      <c r="N68" s="13">
        <f>IFERROR(Ohj.lask.[[#This Row],[Painotetut pisteet 2]]/Ohj.lask.[[#Totals],[Painotetut pisteet 2]],0)</f>
        <v>5.6598053477735608E-4</v>
      </c>
      <c r="O68" s="20">
        <f>ROUND(IFERROR('1.1 Jakotaulu'!K$14*Ohj.lask.[[#This Row],[%-osuus 2]],0),0)</f>
        <v>231815</v>
      </c>
      <c r="P68" s="158">
        <f>IFERROR(ROUND(VLOOKUP($A68,'2.3 Työll. ja jatko-opisk.'!$A:$Z,COLUMN('2.3 Työll. ja jatko-opisk.'!M:M),FALSE),1),0)</f>
        <v>179.6</v>
      </c>
      <c r="Q68" s="13">
        <f>IFERROR(Ohj.lask.[[#This Row],[Painotetut pisteet 3]]/Ohj.lask.[[#Totals],[Painotetut pisteet 3]],0)</f>
        <v>5.7667182653094976E-4</v>
      </c>
      <c r="R68" s="14">
        <f>ROUND(IFERROR('1.1 Jakotaulu'!L$16*Ohj.lask.[[#This Row],[%-osuus 3]],0),0)</f>
        <v>82668</v>
      </c>
      <c r="S68" s="157">
        <f>IFERROR(ROUND(VLOOKUP($A68,'2.4 Aloittaneet palaute'!$A:$J,COLUMN('2.4 Aloittaneet palaute'!I:I),FALSE),1),0)</f>
        <v>1110.2</v>
      </c>
      <c r="T68" s="17">
        <f>IFERROR(Ohj.lask.[[#This Row],[Painotetut pisteet 4]]/Ohj.lask.[[#Totals],[Painotetut pisteet 4]],0)</f>
        <v>7.0782715806949744E-4</v>
      </c>
      <c r="U68" s="20">
        <f>ROUND(IFERROR('1.1 Jakotaulu'!M$18*Ohj.lask.[[#This Row],[%-osuus 4]],0),0)</f>
        <v>5436</v>
      </c>
      <c r="V68" s="157">
        <f>IFERROR(ROUND(VLOOKUP($A68,'2.5 Päättäneet palaute'!$A:$Z,COLUMN('2.5 Päättäneet palaute'!Y:Y),FALSE),1),0)</f>
        <v>6798.9</v>
      </c>
      <c r="W68" s="17">
        <f>IFERROR(Ohj.lask.[[#This Row],[Painotetut pisteet 5]]/Ohj.lask.[[#Totals],[Painotetut pisteet 5]],0)</f>
        <v>7.1445872083358527E-4</v>
      </c>
      <c r="X68" s="20">
        <f>ROUND(IFERROR('1.1 Jakotaulu'!M$19*Ohj.lask.[[#This Row],[%-osuus 5]],0),0)</f>
        <v>16460</v>
      </c>
      <c r="Y68" s="157">
        <f>IFERROR(ROUND(VLOOKUP($A68,'2.6 Työpaikkaohjaajakysely'!A:I,COLUMN('2.6 Työpaikkaohjaajakysely'!H:H),FALSE),1),0)</f>
        <v>256103</v>
      </c>
      <c r="Z68" s="13">
        <f>IFERROR(Ohj.lask.[[#This Row],[Painotetut pisteet 6]]/Ohj.lask.[[#Totals],[Painotetut pisteet 6]],0)</f>
        <v>6.4094933077292167E-4</v>
      </c>
      <c r="AA68" s="20">
        <f>ROUND(IFERROR('1.1 Jakotaulu'!M$21*Ohj.lask.[[#This Row],[%-osuus 6]],0),0)</f>
        <v>14767</v>
      </c>
      <c r="AB68" s="157">
        <f>IFERROR(ROUND(VLOOKUP($A68,'2.7 Työpaikkakysely'!A:G,COLUMN('2.7 Työpaikkakysely'!F:F),FALSE),1),0)</f>
        <v>175175</v>
      </c>
      <c r="AC68" s="13">
        <f>IFERROR(Ohj.lask.[[#This Row],[Pisteet 7]]/Ohj.lask.[[#Totals],[Pisteet 7]],0)</f>
        <v>9.1635736752385382E-4</v>
      </c>
      <c r="AD68" s="20">
        <f>ROUND(IFERROR('1.1 Jakotaulu'!M$22*Ohj.lask.[[#This Row],[%-osuus 7]],0),0)</f>
        <v>7037</v>
      </c>
      <c r="AE68" s="16">
        <f>IFERROR(Ohj.lask.[[#This Row],[Jaettava € 8]]/Ohj.lask.[[#Totals],[Jaettava € 8]],"")</f>
        <v>4.9400126560386994E-4</v>
      </c>
      <c r="AF68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996899</v>
      </c>
      <c r="AG68" s="105">
        <v>0</v>
      </c>
      <c r="AH68" s="105">
        <v>0</v>
      </c>
      <c r="AI68" s="105">
        <v>0</v>
      </c>
      <c r="AJ68" s="105">
        <v>0</v>
      </c>
      <c r="AK68" s="105">
        <v>0</v>
      </c>
      <c r="AL68" s="105">
        <v>0</v>
      </c>
      <c r="AM68" s="105">
        <v>0</v>
      </c>
      <c r="AN68" s="105">
        <v>0</v>
      </c>
      <c r="AO68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0</v>
      </c>
      <c r="AP68" s="14">
        <f>Ohj.lask.[[#This Row],[Jaettava € 1]]+Ohj.lask.[[#This Row],[Harkinnanvarainen korotus 9, €]]</f>
        <v>638716</v>
      </c>
      <c r="AQ68" s="105">
        <f>Ohj.lask.[[#This Row],[Jaettava € 2]]</f>
        <v>231815</v>
      </c>
      <c r="AR68" s="14">
        <f>Ohj.lask.[[#This Row],[Jaettava € 3]]+Ohj.lask.[[#This Row],[Jaettava € 4]]+Ohj.lask.[[#This Row],[Jaettava € 5]]+Ohj.lask.[[#This Row],[Jaettava € 6]]+Ohj.lask.[[#This Row],[Jaettava € 7]]</f>
        <v>126368</v>
      </c>
      <c r="AS68" s="37">
        <f>Ohj.lask.[[#This Row],[Jaettava € 8]]+Ohj.lask.[[#This Row],[Harkinnanvarainen korotus 9, €]]</f>
        <v>996899</v>
      </c>
      <c r="AT68" s="37">
        <v>68230</v>
      </c>
      <c r="AU68" s="20">
        <f>Ohj.lask.[[#This Row],[Perus-, suoritus- ja vaikuttavuusrahoitus yhteensä, €]]+Ohj.lask.[[#This Row],[Alv-korvaus, €]]</f>
        <v>1065129</v>
      </c>
    </row>
    <row r="69" spans="1:47" ht="13" x14ac:dyDescent="0.3">
      <c r="A69" s="7" t="s">
        <v>271</v>
      </c>
      <c r="B69" s="11" t="s">
        <v>66</v>
      </c>
      <c r="C69" s="11" t="s">
        <v>209</v>
      </c>
      <c r="D69" s="11" t="s">
        <v>337</v>
      </c>
      <c r="E69" s="11" t="s">
        <v>388</v>
      </c>
      <c r="F69" s="109">
        <v>139</v>
      </c>
      <c r="G69" s="114">
        <f>Ohj.lask.[[#This Row],[Tavoitteelliset opiskelija-vuodet]]-Ohj.lask.[[#This Row],[Järjestämisluvan opisk.vuosien vähimmäismäärä]]</f>
        <v>31</v>
      </c>
      <c r="H69" s="36">
        <v>170</v>
      </c>
      <c r="I69" s="12">
        <f>IFERROR(VLOOKUP($A69,'2.1 Toteut. op.vuodet'!$A:$T,COLUMN('2.1 Toteut. op.vuodet'!S:S),FALSE),0)</f>
        <v>1.3445300945117562</v>
      </c>
      <c r="J69" s="78">
        <f t="shared" si="1"/>
        <v>228.6</v>
      </c>
      <c r="K69" s="13">
        <f>IFERROR(Ohj.lask.[[#This Row],[Painotetut opiskelija-vuodet]]/Ohj.lask.[[#Totals],[Painotetut opiskelija-vuodet]],0)</f>
        <v>1.0582196727018205E-3</v>
      </c>
      <c r="L69" s="14">
        <f>ROUND(IFERROR('1.1 Jakotaulu'!L$13*Ohj.lask.[[#This Row],[%-osuus 1]],0),0)</f>
        <v>1485355</v>
      </c>
      <c r="M69" s="157">
        <f>IFERROR(ROUND(VLOOKUP($A69,'2.2 Tutk. ja osien pain. pist.'!$A:$Q,COLUMN('2.2 Tutk. ja osien pain. pist.'!O:O),FALSE),1),0)</f>
        <v>20223.3</v>
      </c>
      <c r="N69" s="13">
        <f>IFERROR(Ohj.lask.[[#This Row],[Painotetut pisteet 2]]/Ohj.lask.[[#Totals],[Painotetut pisteet 2]],0)</f>
        <v>1.3023090395907276E-3</v>
      </c>
      <c r="O69" s="20">
        <f>ROUND(IFERROR('1.1 Jakotaulu'!K$14*Ohj.lask.[[#This Row],[%-osuus 2]],0),0)</f>
        <v>533402</v>
      </c>
      <c r="P69" s="158">
        <f>IFERROR(ROUND(VLOOKUP($A69,'2.3 Työll. ja jatko-opisk.'!$A:$Z,COLUMN('2.3 Työll. ja jatko-opisk.'!M:M),FALSE),1),0)</f>
        <v>285</v>
      </c>
      <c r="Q69" s="13">
        <f>IFERROR(Ohj.lask.[[#This Row],[Painotetut pisteet 3]]/Ohj.lask.[[#Totals],[Painotetut pisteet 3]],0)</f>
        <v>9.1509727484031557E-4</v>
      </c>
      <c r="R69" s="14">
        <f>ROUND(IFERROR('1.1 Jakotaulu'!L$16*Ohj.lask.[[#This Row],[%-osuus 3]],0),0)</f>
        <v>131183</v>
      </c>
      <c r="S69" s="157">
        <f>IFERROR(ROUND(VLOOKUP($A69,'2.4 Aloittaneet palaute'!$A:$J,COLUMN('2.4 Aloittaneet palaute'!I:I),FALSE),1),0)</f>
        <v>1801.1</v>
      </c>
      <c r="T69" s="17">
        <f>IFERROR(Ohj.lask.[[#This Row],[Painotetut pisteet 4]]/Ohj.lask.[[#Totals],[Painotetut pisteet 4]],0)</f>
        <v>1.148322369301902E-3</v>
      </c>
      <c r="U69" s="20">
        <f>ROUND(IFERROR('1.1 Jakotaulu'!M$18*Ohj.lask.[[#This Row],[%-osuus 4]],0),0)</f>
        <v>8819</v>
      </c>
      <c r="V69" s="157">
        <f>IFERROR(ROUND(VLOOKUP($A69,'2.5 Päättäneet palaute'!$A:$Z,COLUMN('2.5 Päättäneet palaute'!Y:Y),FALSE),1),0)</f>
        <v>13195.4</v>
      </c>
      <c r="W69" s="17">
        <f>IFERROR(Ohj.lask.[[#This Row],[Painotetut pisteet 5]]/Ohj.lask.[[#Totals],[Painotetut pisteet 5]],0)</f>
        <v>1.3866314558071881E-3</v>
      </c>
      <c r="X69" s="20">
        <f>ROUND(IFERROR('1.1 Jakotaulu'!M$19*Ohj.lask.[[#This Row],[%-osuus 5]],0),0)</f>
        <v>31947</v>
      </c>
      <c r="Y69" s="157">
        <f>IFERROR(ROUND(VLOOKUP($A69,'2.6 Työpaikkaohjaajakysely'!A:I,COLUMN('2.6 Työpaikkaohjaajakysely'!H:H),FALSE),1),0)</f>
        <v>273230.7</v>
      </c>
      <c r="Z69" s="13">
        <f>IFERROR(Ohj.lask.[[#This Row],[Painotetut pisteet 6]]/Ohj.lask.[[#Totals],[Painotetut pisteet 6]],0)</f>
        <v>6.8381484914904137E-4</v>
      </c>
      <c r="AA69" s="20">
        <f>ROUND(IFERROR('1.1 Jakotaulu'!M$21*Ohj.lask.[[#This Row],[%-osuus 6]],0),0)</f>
        <v>15754</v>
      </c>
      <c r="AB69" s="157">
        <f>IFERROR(ROUND(VLOOKUP($A69,'2.7 Työpaikkakysely'!A:G,COLUMN('2.7 Työpaikkakysely'!F:F),FALSE),1),0)</f>
        <v>112356</v>
      </c>
      <c r="AC69" s="13">
        <f>IFERROR(Ohj.lask.[[#This Row],[Pisteet 7]]/Ohj.lask.[[#Totals],[Pisteet 7]],0)</f>
        <v>5.8774510281438632E-4</v>
      </c>
      <c r="AD69" s="20">
        <f>ROUND(IFERROR('1.1 Jakotaulu'!M$22*Ohj.lask.[[#This Row],[%-osuus 7]],0),0)</f>
        <v>4514</v>
      </c>
      <c r="AE69" s="16">
        <f>IFERROR(Ohj.lask.[[#This Row],[Jaettava € 8]]/Ohj.lask.[[#Totals],[Jaettava € 8]],"")</f>
        <v>1.0956214764156157E-3</v>
      </c>
      <c r="AF69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2210974</v>
      </c>
      <c r="AG69" s="105">
        <v>0</v>
      </c>
      <c r="AH69" s="105">
        <v>0</v>
      </c>
      <c r="AI69" s="105">
        <v>0</v>
      </c>
      <c r="AJ69" s="105">
        <v>0</v>
      </c>
      <c r="AK69" s="105">
        <v>0</v>
      </c>
      <c r="AL69" s="105">
        <v>0</v>
      </c>
      <c r="AM69" s="105">
        <v>0</v>
      </c>
      <c r="AN69" s="105">
        <v>0</v>
      </c>
      <c r="AO69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0</v>
      </c>
      <c r="AP69" s="14">
        <f>Ohj.lask.[[#This Row],[Jaettava € 1]]+Ohj.lask.[[#This Row],[Harkinnanvarainen korotus 9, €]]</f>
        <v>1485355</v>
      </c>
      <c r="AQ69" s="105">
        <f>Ohj.lask.[[#This Row],[Jaettava € 2]]</f>
        <v>533402</v>
      </c>
      <c r="AR69" s="14">
        <f>Ohj.lask.[[#This Row],[Jaettava € 3]]+Ohj.lask.[[#This Row],[Jaettava € 4]]+Ohj.lask.[[#This Row],[Jaettava € 5]]+Ohj.lask.[[#This Row],[Jaettava € 6]]+Ohj.lask.[[#This Row],[Jaettava € 7]]</f>
        <v>192217</v>
      </c>
      <c r="AS69" s="37">
        <f>Ohj.lask.[[#This Row],[Jaettava € 8]]+Ohj.lask.[[#This Row],[Harkinnanvarainen korotus 9, €]]</f>
        <v>2210974</v>
      </c>
      <c r="AT69" s="37">
        <v>90294</v>
      </c>
      <c r="AU69" s="20">
        <f>Ohj.lask.[[#This Row],[Perus-, suoritus- ja vaikuttavuusrahoitus yhteensä, €]]+Ohj.lask.[[#This Row],[Alv-korvaus, €]]</f>
        <v>2301268</v>
      </c>
    </row>
    <row r="70" spans="1:47" ht="13" x14ac:dyDescent="0.3">
      <c r="A70" s="7" t="s">
        <v>269</v>
      </c>
      <c r="B70" s="11" t="s">
        <v>148</v>
      </c>
      <c r="C70" s="11" t="s">
        <v>186</v>
      </c>
      <c r="D70" s="11" t="s">
        <v>336</v>
      </c>
      <c r="E70" s="11" t="s">
        <v>389</v>
      </c>
      <c r="F70" s="109">
        <v>29</v>
      </c>
      <c r="G70" s="114">
        <f>Ohj.lask.[[#This Row],[Tavoitteelliset opiskelija-vuodet]]-Ohj.lask.[[#This Row],[Järjestämisluvan opisk.vuosien vähimmäismäärä]]</f>
        <v>0</v>
      </c>
      <c r="H70" s="36">
        <v>29</v>
      </c>
      <c r="I70" s="12">
        <f>IFERROR(VLOOKUP($A70,'2.1 Toteut. op.vuodet'!$A:$T,COLUMN('2.1 Toteut. op.vuodet'!S:S),FALSE),0)</f>
        <v>0.99509999999999732</v>
      </c>
      <c r="J70" s="78">
        <f t="shared" ref="J70:J101" si="2">IFERROR(ROUND(H70*I70,1),0)</f>
        <v>28.9</v>
      </c>
      <c r="K70" s="13">
        <f>IFERROR(Ohj.lask.[[#This Row],[Painotetut opiskelija-vuodet]]/Ohj.lask.[[#Totals],[Painotetut opiskelija-vuodet]],0)</f>
        <v>1.3378192712634564E-4</v>
      </c>
      <c r="L70" s="14">
        <f>ROUND(IFERROR('1.1 Jakotaulu'!L$13*Ohj.lask.[[#This Row],[%-osuus 1]],0),0)</f>
        <v>187781</v>
      </c>
      <c r="M70" s="157">
        <f>IFERROR(ROUND(VLOOKUP($A70,'2.2 Tutk. ja osien pain. pist.'!$A:$Q,COLUMN('2.2 Tutk. ja osien pain. pist.'!O:O),FALSE),1),0)</f>
        <v>1870.9</v>
      </c>
      <c r="N70" s="13">
        <f>IFERROR(Ohj.lask.[[#This Row],[Painotetut pisteet 2]]/Ohj.lask.[[#Totals],[Painotetut pisteet 2]],0)</f>
        <v>1.2047934719705946E-4</v>
      </c>
      <c r="O70" s="20">
        <f>ROUND(IFERROR('1.1 Jakotaulu'!K$14*Ohj.lask.[[#This Row],[%-osuus 2]],0),0)</f>
        <v>49346</v>
      </c>
      <c r="P70" s="158">
        <f>IFERROR(ROUND(VLOOKUP($A70,'2.3 Työll. ja jatko-opisk.'!$A:$Z,COLUMN('2.3 Työll. ja jatko-opisk.'!M:M),FALSE),1),0)</f>
        <v>37.1</v>
      </c>
      <c r="Q70" s="13">
        <f>IFERROR(Ohj.lask.[[#This Row],[Painotetut pisteet 3]]/Ohj.lask.[[#Totals],[Painotetut pisteet 3]],0)</f>
        <v>1.1912318911079196E-4</v>
      </c>
      <c r="R70" s="14">
        <f>ROUND(IFERROR('1.1 Jakotaulu'!L$16*Ohj.lask.[[#This Row],[%-osuus 3]],0),0)</f>
        <v>17077</v>
      </c>
      <c r="S70" s="157">
        <f>IFERROR(ROUND(VLOOKUP($A70,'2.4 Aloittaneet palaute'!$A:$J,COLUMN('2.4 Aloittaneet palaute'!I:I),FALSE),1),0)</f>
        <v>317</v>
      </c>
      <c r="T70" s="17">
        <f>IFERROR(Ohj.lask.[[#This Row],[Painotetut pisteet 4]]/Ohj.lask.[[#Totals],[Painotetut pisteet 4]],0)</f>
        <v>2.0210881742751817E-4</v>
      </c>
      <c r="U70" s="20">
        <f>ROUND(IFERROR('1.1 Jakotaulu'!M$18*Ohj.lask.[[#This Row],[%-osuus 4]],0),0)</f>
        <v>1552</v>
      </c>
      <c r="V70" s="157">
        <f>IFERROR(ROUND(VLOOKUP($A70,'2.5 Päättäneet palaute'!$A:$Z,COLUMN('2.5 Päättäneet palaute'!Y:Y),FALSE),1),0)</f>
        <v>5218.3</v>
      </c>
      <c r="W70" s="17">
        <f>IFERROR(Ohj.lask.[[#This Row],[Painotetut pisteet 5]]/Ohj.lask.[[#Totals],[Painotetut pisteet 5]],0)</f>
        <v>5.4836222667282921E-4</v>
      </c>
      <c r="X70" s="20">
        <f>ROUND(IFERROR('1.1 Jakotaulu'!M$19*Ohj.lask.[[#This Row],[%-osuus 5]],0),0)</f>
        <v>12634</v>
      </c>
      <c r="Y70" s="157">
        <f>IFERROR(ROUND(VLOOKUP($A70,'2.6 Työpaikkaohjaajakysely'!A:I,COLUMN('2.6 Työpaikkaohjaajakysely'!H:H),FALSE),1),0)</f>
        <v>5080.7</v>
      </c>
      <c r="Z70" s="13">
        <f>IFERROR(Ohj.lask.[[#This Row],[Painotetut pisteet 6]]/Ohj.lask.[[#Totals],[Painotetut pisteet 6]],0)</f>
        <v>1.271547488650263E-5</v>
      </c>
      <c r="AA70" s="20">
        <f>ROUND(IFERROR('1.1 Jakotaulu'!M$21*Ohj.lask.[[#This Row],[%-osuus 6]],0),0)</f>
        <v>293</v>
      </c>
      <c r="AB70" s="157">
        <f>IFERROR(ROUND(VLOOKUP($A70,'2.7 Työpaikkakysely'!A:G,COLUMN('2.7 Työpaikkakysely'!F:F),FALSE),1),0)</f>
        <v>1986</v>
      </c>
      <c r="AC70" s="13">
        <f>IFERROR(Ohj.lask.[[#This Row],[Pisteet 7]]/Ohj.lask.[[#Totals],[Pisteet 7]],0)</f>
        <v>1.0388958081360774E-5</v>
      </c>
      <c r="AD70" s="20">
        <f>ROUND(IFERROR('1.1 Jakotaulu'!M$22*Ohj.lask.[[#This Row],[%-osuus 7]],0),0)</f>
        <v>80</v>
      </c>
      <c r="AE70" s="16">
        <f>IFERROR(Ohj.lask.[[#This Row],[Jaettava € 8]]/Ohj.lask.[[#Totals],[Jaettava € 8]],"")</f>
        <v>1.3318226033679731E-4</v>
      </c>
      <c r="AF70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268763</v>
      </c>
      <c r="AG70" s="105">
        <v>0</v>
      </c>
      <c r="AH70" s="105">
        <v>0</v>
      </c>
      <c r="AI70" s="105">
        <v>0</v>
      </c>
      <c r="AJ70" s="105">
        <v>0</v>
      </c>
      <c r="AK70" s="105">
        <v>0</v>
      </c>
      <c r="AL70" s="105">
        <v>0</v>
      </c>
      <c r="AM70" s="105">
        <v>0</v>
      </c>
      <c r="AN70" s="105">
        <v>0</v>
      </c>
      <c r="AO70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0</v>
      </c>
      <c r="AP70" s="14">
        <f>Ohj.lask.[[#This Row],[Jaettava € 1]]+Ohj.lask.[[#This Row],[Harkinnanvarainen korotus 9, €]]</f>
        <v>187781</v>
      </c>
      <c r="AQ70" s="105">
        <f>Ohj.lask.[[#This Row],[Jaettava € 2]]</f>
        <v>49346</v>
      </c>
      <c r="AR70" s="14">
        <f>Ohj.lask.[[#This Row],[Jaettava € 3]]+Ohj.lask.[[#This Row],[Jaettava € 4]]+Ohj.lask.[[#This Row],[Jaettava € 5]]+Ohj.lask.[[#This Row],[Jaettava € 6]]+Ohj.lask.[[#This Row],[Jaettava € 7]]</f>
        <v>31636</v>
      </c>
      <c r="AS70" s="37">
        <f>Ohj.lask.[[#This Row],[Jaettava € 8]]+Ohj.lask.[[#This Row],[Harkinnanvarainen korotus 9, €]]</f>
        <v>268763</v>
      </c>
      <c r="AT70" s="37">
        <v>0</v>
      </c>
      <c r="AU70" s="20">
        <f>Ohj.lask.[[#This Row],[Perus-, suoritus- ja vaikuttavuusrahoitus yhteensä, €]]+Ohj.lask.[[#This Row],[Alv-korvaus, €]]</f>
        <v>268763</v>
      </c>
    </row>
    <row r="71" spans="1:47" ht="13" x14ac:dyDescent="0.3">
      <c r="A71" s="7" t="s">
        <v>309</v>
      </c>
      <c r="B71" s="11" t="s">
        <v>67</v>
      </c>
      <c r="C71" s="11" t="s">
        <v>180</v>
      </c>
      <c r="D71" s="11" t="s">
        <v>337</v>
      </c>
      <c r="E71" s="11" t="s">
        <v>388</v>
      </c>
      <c r="F71" s="109">
        <v>37</v>
      </c>
      <c r="G71" s="114">
        <f>Ohj.lask.[[#This Row],[Tavoitteelliset opiskelija-vuodet]]-Ohj.lask.[[#This Row],[Järjestämisluvan opisk.vuosien vähimmäismäärä]]</f>
        <v>3</v>
      </c>
      <c r="H71" s="36">
        <v>40</v>
      </c>
      <c r="I71" s="12">
        <f>IFERROR(VLOOKUP($A71,'2.1 Toteut. op.vuodet'!$A:$T,COLUMN('2.1 Toteut. op.vuodet'!S:S),FALSE),0)</f>
        <v>0.74986588921283004</v>
      </c>
      <c r="J71" s="78">
        <f t="shared" si="2"/>
        <v>30</v>
      </c>
      <c r="K71" s="13">
        <f>IFERROR(Ohj.lask.[[#This Row],[Painotetut opiskelija-vuodet]]/Ohj.lask.[[#Totals],[Painotetut opiskelija-vuodet]],0)</f>
        <v>1.3887397279551452E-4</v>
      </c>
      <c r="L71" s="14">
        <f>ROUND(IFERROR('1.1 Jakotaulu'!L$13*Ohj.lask.[[#This Row],[%-osuus 1]],0),0)</f>
        <v>194929</v>
      </c>
      <c r="M71" s="157">
        <f>IFERROR(ROUND(VLOOKUP($A71,'2.2 Tutk. ja osien pain. pist.'!$A:$Q,COLUMN('2.2 Tutk. ja osien pain. pist.'!O:O),FALSE),1),0)</f>
        <v>2837.8</v>
      </c>
      <c r="N71" s="13">
        <f>IFERROR(Ohj.lask.[[#This Row],[Painotetut pisteet 2]]/Ohj.lask.[[#Totals],[Painotetut pisteet 2]],0)</f>
        <v>1.8274428963376737E-4</v>
      </c>
      <c r="O71" s="20">
        <f>ROUND(IFERROR('1.1 Jakotaulu'!K$14*Ohj.lask.[[#This Row],[%-osuus 2]],0),0)</f>
        <v>74849</v>
      </c>
      <c r="P71" s="158">
        <f>IFERROR(ROUND(VLOOKUP($A71,'2.3 Työll. ja jatko-opisk.'!$A:$Z,COLUMN('2.3 Työll. ja jatko-opisk.'!M:M),FALSE),1),0)</f>
        <v>113.4</v>
      </c>
      <c r="Q71" s="13">
        <f>IFERROR(Ohj.lask.[[#This Row],[Painotetut pisteet 3]]/Ohj.lask.[[#Totals],[Painotetut pisteet 3]],0)</f>
        <v>3.6411238935751507E-4</v>
      </c>
      <c r="R71" s="14">
        <f>ROUND(IFERROR('1.1 Jakotaulu'!L$16*Ohj.lask.[[#This Row],[%-osuus 3]],0),0)</f>
        <v>52197</v>
      </c>
      <c r="S71" s="157">
        <f>IFERROR(ROUND(VLOOKUP($A71,'2.4 Aloittaneet palaute'!$A:$J,COLUMN('2.4 Aloittaneet palaute'!I:I),FALSE),1),0)</f>
        <v>808.8</v>
      </c>
      <c r="T71" s="17">
        <f>IFERROR(Ohj.lask.[[#This Row],[Painotetut pisteet 4]]/Ohj.lask.[[#Totals],[Painotetut pisteet 4]],0)</f>
        <v>5.1566438970150369E-4</v>
      </c>
      <c r="U71" s="20">
        <f>ROUND(IFERROR('1.1 Jakotaulu'!M$18*Ohj.lask.[[#This Row],[%-osuus 4]],0),0)</f>
        <v>3960</v>
      </c>
      <c r="V71" s="157">
        <f>IFERROR(ROUND(VLOOKUP($A71,'2.5 Päättäneet palaute'!$A:$Z,COLUMN('2.5 Päättäneet palaute'!Y:Y),FALSE),1),0)</f>
        <v>3539.1</v>
      </c>
      <c r="W71" s="17">
        <f>IFERROR(Ohj.lask.[[#This Row],[Painotetut pisteet 5]]/Ohj.lask.[[#Totals],[Painotetut pisteet 5]],0)</f>
        <v>3.7190440496288245E-4</v>
      </c>
      <c r="X71" s="20">
        <f>ROUND(IFERROR('1.1 Jakotaulu'!M$19*Ohj.lask.[[#This Row],[%-osuus 5]],0),0)</f>
        <v>8568</v>
      </c>
      <c r="Y71" s="157">
        <f>IFERROR(ROUND(VLOOKUP($A71,'2.6 Työpaikkaohjaajakysely'!A:I,COLUMN('2.6 Työpaikkaohjaajakysely'!H:H),FALSE),1),0)</f>
        <v>0</v>
      </c>
      <c r="Z71" s="13">
        <f>IFERROR(Ohj.lask.[[#This Row],[Painotetut pisteet 6]]/Ohj.lask.[[#Totals],[Painotetut pisteet 6]],0)</f>
        <v>0</v>
      </c>
      <c r="AA71" s="20">
        <f>ROUND(IFERROR('1.1 Jakotaulu'!M$21*Ohj.lask.[[#This Row],[%-osuus 6]],0),0)</f>
        <v>0</v>
      </c>
      <c r="AB71" s="157">
        <f>IFERROR(ROUND(VLOOKUP($A71,'2.7 Työpaikkakysely'!A:G,COLUMN('2.7 Työpaikkakysely'!F:F),FALSE),1),0)</f>
        <v>0</v>
      </c>
      <c r="AC71" s="13">
        <f>IFERROR(Ohj.lask.[[#This Row],[Pisteet 7]]/Ohj.lask.[[#Totals],[Pisteet 7]],0)</f>
        <v>0</v>
      </c>
      <c r="AD71" s="20">
        <f>ROUND(IFERROR('1.1 Jakotaulu'!M$22*Ohj.lask.[[#This Row],[%-osuus 7]],0),0)</f>
        <v>0</v>
      </c>
      <c r="AE71" s="16">
        <f>IFERROR(Ohj.lask.[[#This Row],[Jaettava € 8]]/Ohj.lask.[[#Totals],[Jaettava € 8]],"")</f>
        <v>1.6575892377090488E-4</v>
      </c>
      <c r="AF71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334503</v>
      </c>
      <c r="AG71" s="105">
        <v>0</v>
      </c>
      <c r="AH71" s="105">
        <v>0</v>
      </c>
      <c r="AI71" s="105">
        <v>0</v>
      </c>
      <c r="AJ71" s="105">
        <v>0</v>
      </c>
      <c r="AK71" s="105">
        <v>0</v>
      </c>
      <c r="AL71" s="105">
        <v>0</v>
      </c>
      <c r="AM71" s="105">
        <v>0</v>
      </c>
      <c r="AN71" s="105">
        <v>0</v>
      </c>
      <c r="AO71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0</v>
      </c>
      <c r="AP71" s="14">
        <f>Ohj.lask.[[#This Row],[Jaettava € 1]]+Ohj.lask.[[#This Row],[Harkinnanvarainen korotus 9, €]]</f>
        <v>194929</v>
      </c>
      <c r="AQ71" s="105">
        <f>Ohj.lask.[[#This Row],[Jaettava € 2]]</f>
        <v>74849</v>
      </c>
      <c r="AR71" s="14">
        <f>Ohj.lask.[[#This Row],[Jaettava € 3]]+Ohj.lask.[[#This Row],[Jaettava € 4]]+Ohj.lask.[[#This Row],[Jaettava € 5]]+Ohj.lask.[[#This Row],[Jaettava € 6]]+Ohj.lask.[[#This Row],[Jaettava € 7]]</f>
        <v>64725</v>
      </c>
      <c r="AS71" s="37">
        <f>Ohj.lask.[[#This Row],[Jaettava € 8]]+Ohj.lask.[[#This Row],[Harkinnanvarainen korotus 9, €]]</f>
        <v>334503</v>
      </c>
      <c r="AT71" s="37">
        <v>15364</v>
      </c>
      <c r="AU71" s="20">
        <f>Ohj.lask.[[#This Row],[Perus-, suoritus- ja vaikuttavuusrahoitus yhteensä, €]]+Ohj.lask.[[#This Row],[Alv-korvaus, €]]</f>
        <v>349867</v>
      </c>
    </row>
    <row r="72" spans="1:47" ht="13" x14ac:dyDescent="0.3">
      <c r="A72" s="7" t="s">
        <v>268</v>
      </c>
      <c r="B72" s="11" t="s">
        <v>68</v>
      </c>
      <c r="C72" s="11" t="s">
        <v>192</v>
      </c>
      <c r="D72" s="11" t="s">
        <v>337</v>
      </c>
      <c r="E72" s="11" t="s">
        <v>388</v>
      </c>
      <c r="F72" s="109">
        <v>24</v>
      </c>
      <c r="G72" s="114">
        <f>Ohj.lask.[[#This Row],[Tavoitteelliset opiskelija-vuodet]]-Ohj.lask.[[#This Row],[Järjestämisluvan opisk.vuosien vähimmäismäärä]]</f>
        <v>0</v>
      </c>
      <c r="H72" s="36">
        <v>24</v>
      </c>
      <c r="I72" s="12">
        <f>IFERROR(VLOOKUP($A72,'2.1 Toteut. op.vuodet'!$A:$T,COLUMN('2.1 Toteut. op.vuodet'!S:S),FALSE),0)</f>
        <v>0.72632749836707999</v>
      </c>
      <c r="J72" s="78">
        <f t="shared" si="2"/>
        <v>17.399999999999999</v>
      </c>
      <c r="K72" s="13">
        <f>IFERROR(Ohj.lask.[[#This Row],[Painotetut opiskelija-vuodet]]/Ohj.lask.[[#Totals],[Painotetut opiskelija-vuodet]],0)</f>
        <v>8.0546904221398411E-5</v>
      </c>
      <c r="L72" s="14">
        <f>ROUND(IFERROR('1.1 Jakotaulu'!L$13*Ohj.lask.[[#This Row],[%-osuus 1]],0),0)</f>
        <v>113059</v>
      </c>
      <c r="M72" s="157">
        <f>IFERROR(ROUND(VLOOKUP($A72,'2.2 Tutk. ja osien pain. pist.'!$A:$Q,COLUMN('2.2 Tutk. ja osien pain. pist.'!O:O),FALSE),1),0)</f>
        <v>1639.6</v>
      </c>
      <c r="N72" s="13">
        <f>IFERROR(Ohj.lask.[[#This Row],[Painotetut pisteet 2]]/Ohj.lask.[[#Totals],[Painotetut pisteet 2]],0)</f>
        <v>1.0558444474012436E-4</v>
      </c>
      <c r="O72" s="20">
        <f>ROUND(IFERROR('1.1 Jakotaulu'!K$14*Ohj.lask.[[#This Row],[%-osuus 2]],0),0)</f>
        <v>43245</v>
      </c>
      <c r="P72" s="158">
        <f>IFERROR(ROUND(VLOOKUP($A72,'2.3 Työll. ja jatko-opisk.'!$A:$Z,COLUMN('2.3 Työll. ja jatko-opisk.'!M:M),FALSE),1),0)</f>
        <v>50.2</v>
      </c>
      <c r="Q72" s="13">
        <f>IFERROR(Ohj.lask.[[#This Row],[Painotetut pisteet 3]]/Ohj.lask.[[#Totals],[Painotetut pisteet 3]],0)</f>
        <v>1.611855550771363E-4</v>
      </c>
      <c r="R72" s="14">
        <f>ROUND(IFERROR('1.1 Jakotaulu'!L$16*Ohj.lask.[[#This Row],[%-osuus 3]],0),0)</f>
        <v>23107</v>
      </c>
      <c r="S72" s="157">
        <f>IFERROR(ROUND(VLOOKUP($A72,'2.4 Aloittaneet palaute'!$A:$J,COLUMN('2.4 Aloittaneet palaute'!I:I),FALSE),1),0)</f>
        <v>363.6</v>
      </c>
      <c r="T72" s="17">
        <f>IFERROR(Ohj.lask.[[#This Row],[Painotetut pisteet 4]]/Ohj.lask.[[#Totals],[Painotetut pisteet 4]],0)</f>
        <v>2.3181945115661077E-4</v>
      </c>
      <c r="U72" s="20">
        <f>ROUND(IFERROR('1.1 Jakotaulu'!M$18*Ohj.lask.[[#This Row],[%-osuus 4]],0),0)</f>
        <v>1780</v>
      </c>
      <c r="V72" s="157">
        <f>IFERROR(ROUND(VLOOKUP($A72,'2.5 Päättäneet palaute'!$A:$Z,COLUMN('2.5 Päättäneet palaute'!Y:Y),FALSE),1),0)</f>
        <v>2442</v>
      </c>
      <c r="W72" s="17">
        <f>IFERROR(Ohj.lask.[[#This Row],[Painotetut pisteet 5]]/Ohj.lask.[[#Totals],[Painotetut pisteet 5]],0)</f>
        <v>2.5661624619800489E-4</v>
      </c>
      <c r="X72" s="20">
        <f>ROUND(IFERROR('1.1 Jakotaulu'!M$19*Ohj.lask.[[#This Row],[%-osuus 5]],0),0)</f>
        <v>5912</v>
      </c>
      <c r="Y72" s="157">
        <f>IFERROR(ROUND(VLOOKUP($A72,'2.6 Työpaikkaohjaajakysely'!A:I,COLUMN('2.6 Työpaikkaohjaajakysely'!H:H),FALSE),1),0)</f>
        <v>110328.8</v>
      </c>
      <c r="Z72" s="13">
        <f>IFERROR(Ohj.lask.[[#This Row],[Painotetut pisteet 6]]/Ohj.lask.[[#Totals],[Painotetut pisteet 6]],0)</f>
        <v>2.7612003969098187E-4</v>
      </c>
      <c r="AA72" s="20">
        <f>ROUND(IFERROR('1.1 Jakotaulu'!M$21*Ohj.lask.[[#This Row],[%-osuus 6]],0),0)</f>
        <v>6362</v>
      </c>
      <c r="AB72" s="157">
        <f>IFERROR(ROUND(VLOOKUP($A72,'2.7 Työpaikkakysely'!A:G,COLUMN('2.7 Työpaikkakysely'!F:F),FALSE),1),0)</f>
        <v>77214.8</v>
      </c>
      <c r="AC72" s="13">
        <f>IFERROR(Ohj.lask.[[#This Row],[Pisteet 7]]/Ohj.lask.[[#Totals],[Pisteet 7]],0)</f>
        <v>4.0391808683819534E-4</v>
      </c>
      <c r="AD72" s="20">
        <f>ROUND(IFERROR('1.1 Jakotaulu'!M$22*Ohj.lask.[[#This Row],[%-osuus 7]],0),0)</f>
        <v>3102</v>
      </c>
      <c r="AE72" s="16">
        <f>IFERROR(Ohj.lask.[[#This Row],[Jaettava € 8]]/Ohj.lask.[[#Totals],[Jaettava € 8]],"")</f>
        <v>9.7406404034868031E-5</v>
      </c>
      <c r="AF72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196567</v>
      </c>
      <c r="AG72" s="105">
        <v>0</v>
      </c>
      <c r="AH72" s="105">
        <v>0</v>
      </c>
      <c r="AI72" s="105">
        <v>0</v>
      </c>
      <c r="AJ72" s="105">
        <v>0</v>
      </c>
      <c r="AK72" s="105">
        <v>0</v>
      </c>
      <c r="AL72" s="105">
        <v>0</v>
      </c>
      <c r="AM72" s="105">
        <v>0</v>
      </c>
      <c r="AN72" s="105">
        <v>0</v>
      </c>
      <c r="AO72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0</v>
      </c>
      <c r="AP72" s="14">
        <f>Ohj.lask.[[#This Row],[Jaettava € 1]]+Ohj.lask.[[#This Row],[Harkinnanvarainen korotus 9, €]]</f>
        <v>113059</v>
      </c>
      <c r="AQ72" s="105">
        <f>Ohj.lask.[[#This Row],[Jaettava € 2]]</f>
        <v>43245</v>
      </c>
      <c r="AR72" s="14">
        <f>Ohj.lask.[[#This Row],[Jaettava € 3]]+Ohj.lask.[[#This Row],[Jaettava € 4]]+Ohj.lask.[[#This Row],[Jaettava € 5]]+Ohj.lask.[[#This Row],[Jaettava € 6]]+Ohj.lask.[[#This Row],[Jaettava € 7]]</f>
        <v>40263</v>
      </c>
      <c r="AS72" s="37">
        <f>Ohj.lask.[[#This Row],[Jaettava € 8]]+Ohj.lask.[[#This Row],[Harkinnanvarainen korotus 9, €]]</f>
        <v>196567</v>
      </c>
      <c r="AT72" s="37">
        <v>8451</v>
      </c>
      <c r="AU72" s="20">
        <f>Ohj.lask.[[#This Row],[Perus-, suoritus- ja vaikuttavuusrahoitus yhteensä, €]]+Ohj.lask.[[#This Row],[Alv-korvaus, €]]</f>
        <v>205018</v>
      </c>
    </row>
    <row r="73" spans="1:47" ht="13" x14ac:dyDescent="0.3">
      <c r="A73" s="7" t="s">
        <v>267</v>
      </c>
      <c r="B73" s="11" t="s">
        <v>69</v>
      </c>
      <c r="C73" s="11" t="s">
        <v>192</v>
      </c>
      <c r="D73" s="11" t="s">
        <v>337</v>
      </c>
      <c r="E73" s="11" t="s">
        <v>388</v>
      </c>
      <c r="F73" s="109">
        <v>41</v>
      </c>
      <c r="G73" s="114">
        <f>Ohj.lask.[[#This Row],[Tavoitteelliset opiskelija-vuodet]]-Ohj.lask.[[#This Row],[Järjestämisluvan opisk.vuosien vähimmäismäärä]]</f>
        <v>5</v>
      </c>
      <c r="H73" s="36">
        <v>46</v>
      </c>
      <c r="I73" s="12">
        <f>IFERROR(VLOOKUP($A73,'2.1 Toteut. op.vuodet'!$A:$T,COLUMN('2.1 Toteut. op.vuodet'!S:S),FALSE),0)</f>
        <v>1.424929885825005</v>
      </c>
      <c r="J73" s="78">
        <f t="shared" si="2"/>
        <v>65.5</v>
      </c>
      <c r="K73" s="13">
        <f>IFERROR(Ohj.lask.[[#This Row],[Painotetut opiskelija-vuodet]]/Ohj.lask.[[#Totals],[Painotetut opiskelija-vuodet]],0)</f>
        <v>3.0320817393687333E-4</v>
      </c>
      <c r="L73" s="14">
        <f>ROUND(IFERROR('1.1 Jakotaulu'!L$13*Ohj.lask.[[#This Row],[%-osuus 1]],0),0)</f>
        <v>425594</v>
      </c>
      <c r="M73" s="157">
        <f>IFERROR(ROUND(VLOOKUP($A73,'2.2 Tutk. ja osien pain. pist.'!$A:$Q,COLUMN('2.2 Tutk. ja osien pain. pist.'!O:O),FALSE),1),0)</f>
        <v>5108.2</v>
      </c>
      <c r="N73" s="13">
        <f>IFERROR(Ohj.lask.[[#This Row],[Painotetut pisteet 2]]/Ohj.lask.[[#Totals],[Painotetut pisteet 2]],0)</f>
        <v>3.2895002477525205E-4</v>
      </c>
      <c r="O73" s="20">
        <f>ROUND(IFERROR('1.1 Jakotaulu'!K$14*Ohj.lask.[[#This Row],[%-osuus 2]],0),0)</f>
        <v>134732</v>
      </c>
      <c r="P73" s="158">
        <f>IFERROR(ROUND(VLOOKUP($A73,'2.3 Työll. ja jatko-opisk.'!$A:$Z,COLUMN('2.3 Työll. ja jatko-opisk.'!M:M),FALSE),1),0)</f>
        <v>67.099999999999994</v>
      </c>
      <c r="Q73" s="13">
        <f>IFERROR(Ohj.lask.[[#This Row],[Painotetut pisteet 3]]/Ohj.lask.[[#Totals],[Painotetut pisteet 3]],0)</f>
        <v>2.1544921804135146E-4</v>
      </c>
      <c r="R73" s="14">
        <f>ROUND(IFERROR('1.1 Jakotaulu'!L$16*Ohj.lask.[[#This Row],[%-osuus 3]],0),0)</f>
        <v>30885</v>
      </c>
      <c r="S73" s="157">
        <f>IFERROR(ROUND(VLOOKUP($A73,'2.4 Aloittaneet palaute'!$A:$J,COLUMN('2.4 Aloittaneet palaute'!I:I),FALSE),1),0)</f>
        <v>422.1</v>
      </c>
      <c r="T73" s="17">
        <f>IFERROR(Ohj.lask.[[#This Row],[Painotetut pisteet 4]]/Ohj.lask.[[#Totals],[Painotetut pisteet 4]],0)</f>
        <v>2.6911713512982782E-4</v>
      </c>
      <c r="U73" s="20">
        <f>ROUND(IFERROR('1.1 Jakotaulu'!M$18*Ohj.lask.[[#This Row],[%-osuus 4]],0),0)</f>
        <v>2067</v>
      </c>
      <c r="V73" s="157">
        <f>IFERROR(ROUND(VLOOKUP($A73,'2.5 Päättäneet palaute'!$A:$Z,COLUMN('2.5 Päättäneet palaute'!Y:Y),FALSE),1),0)</f>
        <v>1584.9</v>
      </c>
      <c r="W73" s="17">
        <f>IFERROR(Ohj.lask.[[#This Row],[Painotetut pisteet 5]]/Ohj.lask.[[#Totals],[Painotetut pisteet 5]],0)</f>
        <v>1.6654835732973707E-4</v>
      </c>
      <c r="X73" s="20">
        <f>ROUND(IFERROR('1.1 Jakotaulu'!M$19*Ohj.lask.[[#This Row],[%-osuus 5]],0),0)</f>
        <v>3837</v>
      </c>
      <c r="Y73" s="157">
        <f>IFERROR(ROUND(VLOOKUP($A73,'2.6 Työpaikkaohjaajakysely'!A:I,COLUMN('2.6 Työpaikkaohjaajakysely'!H:H),FALSE),1),0)</f>
        <v>12518.1</v>
      </c>
      <c r="Z73" s="13">
        <f>IFERROR(Ohj.lask.[[#This Row],[Painotetut pisteet 6]]/Ohj.lask.[[#Totals],[Painotetut pisteet 6]],0)</f>
        <v>3.1329066108356837E-5</v>
      </c>
      <c r="AA73" s="20">
        <f>ROUND(IFERROR('1.1 Jakotaulu'!M$21*Ohj.lask.[[#This Row],[%-osuus 6]],0),0)</f>
        <v>722</v>
      </c>
      <c r="AB73" s="157">
        <f>IFERROR(ROUND(VLOOKUP($A73,'2.7 Työpaikkakysely'!A:G,COLUMN('2.7 Työpaikkakysely'!F:F),FALSE),1),0)</f>
        <v>16128</v>
      </c>
      <c r="AC73" s="13">
        <f>IFERROR(Ohj.lask.[[#This Row],[Pisteet 7]]/Ohj.lask.[[#Totals],[Pisteet 7]],0)</f>
        <v>8.4367127863135228E-5</v>
      </c>
      <c r="AD73" s="20">
        <f>ROUND(IFERROR('1.1 Jakotaulu'!M$22*Ohj.lask.[[#This Row],[%-osuus 7]],0),0)</f>
        <v>648</v>
      </c>
      <c r="AE73" s="16">
        <f>IFERROR(Ohj.lask.[[#This Row],[Jaettava € 8]]/Ohj.lask.[[#Totals],[Jaettava € 8]],"")</f>
        <v>2.9657201727048787E-4</v>
      </c>
      <c r="AF73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598485</v>
      </c>
      <c r="AG73" s="105">
        <v>0</v>
      </c>
      <c r="AH73" s="105">
        <v>0</v>
      </c>
      <c r="AI73" s="105">
        <v>0</v>
      </c>
      <c r="AJ73" s="105">
        <v>0</v>
      </c>
      <c r="AK73" s="105">
        <v>0</v>
      </c>
      <c r="AL73" s="105">
        <v>0</v>
      </c>
      <c r="AM73" s="105">
        <v>0</v>
      </c>
      <c r="AN73" s="105">
        <v>0</v>
      </c>
      <c r="AO73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0</v>
      </c>
      <c r="AP73" s="14">
        <f>Ohj.lask.[[#This Row],[Jaettava € 1]]+Ohj.lask.[[#This Row],[Harkinnanvarainen korotus 9, €]]</f>
        <v>425594</v>
      </c>
      <c r="AQ73" s="105">
        <f>Ohj.lask.[[#This Row],[Jaettava € 2]]</f>
        <v>134732</v>
      </c>
      <c r="AR73" s="14">
        <f>Ohj.lask.[[#This Row],[Jaettava € 3]]+Ohj.lask.[[#This Row],[Jaettava € 4]]+Ohj.lask.[[#This Row],[Jaettava € 5]]+Ohj.lask.[[#This Row],[Jaettava € 6]]+Ohj.lask.[[#This Row],[Jaettava € 7]]</f>
        <v>38159</v>
      </c>
      <c r="AS73" s="37">
        <f>Ohj.lask.[[#This Row],[Jaettava € 8]]+Ohj.lask.[[#This Row],[Harkinnanvarainen korotus 9, €]]</f>
        <v>598485</v>
      </c>
      <c r="AT73" s="37">
        <v>16544</v>
      </c>
      <c r="AU73" s="20">
        <f>Ohj.lask.[[#This Row],[Perus-, suoritus- ja vaikuttavuusrahoitus yhteensä, €]]+Ohj.lask.[[#This Row],[Alv-korvaus, €]]</f>
        <v>615029</v>
      </c>
    </row>
    <row r="74" spans="1:47" ht="13" x14ac:dyDescent="0.3">
      <c r="A74" s="7" t="s">
        <v>306</v>
      </c>
      <c r="B74" s="11" t="s">
        <v>489</v>
      </c>
      <c r="C74" s="11" t="s">
        <v>180</v>
      </c>
      <c r="D74" s="11" t="s">
        <v>337</v>
      </c>
      <c r="E74" s="11" t="s">
        <v>388</v>
      </c>
      <c r="F74" s="109">
        <v>893</v>
      </c>
      <c r="G74" s="114">
        <f>Ohj.lask.[[#This Row],[Tavoitteelliset opiskelija-vuodet]]-Ohj.lask.[[#This Row],[Järjestämisluvan opisk.vuosien vähimmäismäärä]]</f>
        <v>95</v>
      </c>
      <c r="H74" s="36">
        <v>988</v>
      </c>
      <c r="I74" s="12">
        <f>IFERROR(VLOOKUP($A74,'2.1 Toteut. op.vuodet'!$A:$T,COLUMN('2.1 Toteut. op.vuodet'!S:S),FALSE),0)</f>
        <v>4.9254507039944091</v>
      </c>
      <c r="J74" s="78">
        <f t="shared" si="2"/>
        <v>4866.3</v>
      </c>
      <c r="K74" s="13">
        <f>IFERROR(Ohj.lask.[[#This Row],[Painotetut opiskelija-vuodet]]/Ohj.lask.[[#Totals],[Painotetut opiskelija-vuodet]],0)</f>
        <v>2.252674712716041E-2</v>
      </c>
      <c r="L74" s="14">
        <f>ROUND(IFERROR('1.1 Jakotaulu'!L$13*Ohj.lask.[[#This Row],[%-osuus 1]],0),0)</f>
        <v>31619353</v>
      </c>
      <c r="M74" s="157">
        <f>IFERROR(ROUND(VLOOKUP($A74,'2.2 Tutk. ja osien pain. pist.'!$A:$Q,COLUMN('2.2 Tutk. ja osien pain. pist.'!O:O),FALSE),1),0)</f>
        <v>192996.3</v>
      </c>
      <c r="N74" s="13">
        <f>IFERROR(Ohj.lask.[[#This Row],[Painotetut pisteet 2]]/Ohj.lask.[[#Totals],[Painotetut pisteet 2]],0)</f>
        <v>1.2428279563551149E-2</v>
      </c>
      <c r="O74" s="20">
        <f>ROUND(IFERROR('1.1 Jakotaulu'!K$14*Ohj.lask.[[#This Row],[%-osuus 2]],0),0)</f>
        <v>5090400</v>
      </c>
      <c r="P74" s="158">
        <f>IFERROR(ROUND(VLOOKUP($A74,'2.3 Työll. ja jatko-opisk.'!$A:$Z,COLUMN('2.3 Työll. ja jatko-opisk.'!M:M),FALSE),1),0)</f>
        <v>758.4</v>
      </c>
      <c r="Q74" s="13">
        <f>IFERROR(Ohj.lask.[[#This Row],[Painotetut pisteet 3]]/Ohj.lask.[[#Totals],[Painotetut pisteet 3]],0)</f>
        <v>2.4351220113645448E-3</v>
      </c>
      <c r="R74" s="14">
        <f>ROUND(IFERROR('1.1 Jakotaulu'!L$16*Ohj.lask.[[#This Row],[%-osuus 3]],0),0)</f>
        <v>349084</v>
      </c>
      <c r="S74" s="157">
        <f>IFERROR(ROUND(VLOOKUP($A74,'2.4 Aloittaneet palaute'!$A:$J,COLUMN('2.4 Aloittaneet palaute'!I:I),FALSE),1),0)</f>
        <v>6010.7</v>
      </c>
      <c r="T74" s="17">
        <f>IFERROR(Ohj.lask.[[#This Row],[Painotetut pisteet 4]]/Ohj.lask.[[#Totals],[Painotetut pisteet 4]],0)</f>
        <v>3.8322254539797586E-3</v>
      </c>
      <c r="U74" s="20">
        <f>ROUND(IFERROR('1.1 Jakotaulu'!M$18*Ohj.lask.[[#This Row],[%-osuus 4]],0),0)</f>
        <v>29430</v>
      </c>
      <c r="V74" s="157">
        <f>IFERROR(ROUND(VLOOKUP($A74,'2.5 Päättäneet palaute'!$A:$Z,COLUMN('2.5 Päättäneet palaute'!Y:Y),FALSE),1),0)</f>
        <v>35483.9</v>
      </c>
      <c r="W74" s="17">
        <f>IFERROR(Ohj.lask.[[#This Row],[Painotetut pisteet 5]]/Ohj.lask.[[#Totals],[Painotetut pisteet 5]],0)</f>
        <v>3.7288063957679712E-3</v>
      </c>
      <c r="X74" s="20">
        <f>ROUND(IFERROR('1.1 Jakotaulu'!M$19*Ohj.lask.[[#This Row],[%-osuus 5]],0),0)</f>
        <v>85908</v>
      </c>
      <c r="Y74" s="157">
        <f>IFERROR(ROUND(VLOOKUP($A74,'2.6 Työpaikkaohjaajakysely'!A:I,COLUMN('2.6 Työpaikkaohjaajakysely'!H:H),FALSE),1),0)</f>
        <v>882599.2</v>
      </c>
      <c r="Z74" s="13">
        <f>IFERROR(Ohj.lask.[[#This Row],[Painotetut pisteet 6]]/Ohj.lask.[[#Totals],[Painotetut pisteet 6]],0)</f>
        <v>2.2088822332448897E-3</v>
      </c>
      <c r="AA74" s="20">
        <f>ROUND(IFERROR('1.1 Jakotaulu'!M$21*Ohj.lask.[[#This Row],[%-osuus 6]],0),0)</f>
        <v>50890</v>
      </c>
      <c r="AB74" s="157">
        <f>IFERROR(ROUND(VLOOKUP($A74,'2.7 Työpaikkakysely'!A:G,COLUMN('2.7 Työpaikkakysely'!F:F),FALSE),1),0)</f>
        <v>311730</v>
      </c>
      <c r="AC74" s="13">
        <f>IFERROR(Ohj.lask.[[#This Row],[Pisteet 7]]/Ohj.lask.[[#Totals],[Pisteet 7]],0)</f>
        <v>1.6306897798099669E-3</v>
      </c>
      <c r="AD74" s="20">
        <f>ROUND(IFERROR('1.1 Jakotaulu'!M$22*Ohj.lask.[[#This Row],[%-osuus 7]],0),0)</f>
        <v>12523</v>
      </c>
      <c r="AE74" s="16">
        <f>IFERROR(Ohj.lask.[[#This Row],[Jaettava € 8]]/Ohj.lask.[[#Totals],[Jaettava € 8]],"")</f>
        <v>1.8452637228079757E-2</v>
      </c>
      <c r="AF74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37237588</v>
      </c>
      <c r="AG74" s="105">
        <v>0</v>
      </c>
      <c r="AH74" s="105">
        <v>0</v>
      </c>
      <c r="AI74" s="105">
        <v>0</v>
      </c>
      <c r="AJ74" s="105">
        <v>0</v>
      </c>
      <c r="AK74" s="105">
        <v>0</v>
      </c>
      <c r="AL74" s="105">
        <v>0</v>
      </c>
      <c r="AM74" s="105">
        <v>13000</v>
      </c>
      <c r="AN74" s="105">
        <v>0</v>
      </c>
      <c r="AO74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13000</v>
      </c>
      <c r="AP74" s="14">
        <f>Ohj.lask.[[#This Row],[Jaettava € 1]]+Ohj.lask.[[#This Row],[Harkinnanvarainen korotus 9, €]]</f>
        <v>31632353</v>
      </c>
      <c r="AQ74" s="105">
        <f>Ohj.lask.[[#This Row],[Jaettava € 2]]</f>
        <v>5090400</v>
      </c>
      <c r="AR74" s="14">
        <f>Ohj.lask.[[#This Row],[Jaettava € 3]]+Ohj.lask.[[#This Row],[Jaettava € 4]]+Ohj.lask.[[#This Row],[Jaettava € 5]]+Ohj.lask.[[#This Row],[Jaettava € 6]]+Ohj.lask.[[#This Row],[Jaettava € 7]]</f>
        <v>527835</v>
      </c>
      <c r="AS74" s="37">
        <f>Ohj.lask.[[#This Row],[Jaettava € 8]]+Ohj.lask.[[#This Row],[Harkinnanvarainen korotus 9, €]]</f>
        <v>37250588</v>
      </c>
      <c r="AT74" s="37">
        <v>1021595</v>
      </c>
      <c r="AU74" s="20">
        <f>Ohj.lask.[[#This Row],[Perus-, suoritus- ja vaikuttavuusrahoitus yhteensä, €]]+Ohj.lask.[[#This Row],[Alv-korvaus, €]]</f>
        <v>38272183</v>
      </c>
    </row>
    <row r="75" spans="1:47" ht="13" x14ac:dyDescent="0.3">
      <c r="A75" s="7" t="s">
        <v>266</v>
      </c>
      <c r="B75" s="11" t="s">
        <v>70</v>
      </c>
      <c r="C75" s="11" t="s">
        <v>265</v>
      </c>
      <c r="D75" s="11" t="s">
        <v>336</v>
      </c>
      <c r="E75" s="11" t="s">
        <v>388</v>
      </c>
      <c r="F75" s="109">
        <v>1130</v>
      </c>
      <c r="G75" s="114">
        <f>Ohj.lask.[[#This Row],[Tavoitteelliset opiskelija-vuodet]]-Ohj.lask.[[#This Row],[Järjestämisluvan opisk.vuosien vähimmäismäärä]]</f>
        <v>160</v>
      </c>
      <c r="H75" s="36">
        <v>1290</v>
      </c>
      <c r="I75" s="12">
        <f>IFERROR(VLOOKUP($A75,'2.1 Toteut. op.vuodet'!$A:$T,COLUMN('2.1 Toteut. op.vuodet'!S:S),FALSE),0)</f>
        <v>1.0477563669841328</v>
      </c>
      <c r="J75" s="78">
        <f t="shared" si="2"/>
        <v>1351.6</v>
      </c>
      <c r="K75" s="13">
        <f>IFERROR(Ohj.lask.[[#This Row],[Painotetut opiskelija-vuodet]]/Ohj.lask.[[#Totals],[Painotetut opiskelija-vuodet]],0)</f>
        <v>6.2567353876805797E-3</v>
      </c>
      <c r="L75" s="14">
        <f>ROUND(IFERROR('1.1 Jakotaulu'!L$13*Ohj.lask.[[#This Row],[%-osuus 1]],0),0)</f>
        <v>8782179</v>
      </c>
      <c r="M75" s="157">
        <f>IFERROR(ROUND(VLOOKUP($A75,'2.2 Tutk. ja osien pain. pist.'!$A:$Q,COLUMN('2.2 Tutk. ja osien pain. pist.'!O:O),FALSE),1),0)</f>
        <v>98362.3</v>
      </c>
      <c r="N75" s="13">
        <f>IFERROR(Ohj.lask.[[#This Row],[Painotetut pisteet 2]]/Ohj.lask.[[#Totals],[Painotetut pisteet 2]],0)</f>
        <v>6.3341844528308948E-3</v>
      </c>
      <c r="O75" s="20">
        <f>ROUND(IFERROR('1.1 Jakotaulu'!K$14*Ohj.lask.[[#This Row],[%-osuus 2]],0),0)</f>
        <v>2594368</v>
      </c>
      <c r="P75" s="158">
        <f>IFERROR(ROUND(VLOOKUP($A75,'2.3 Työll. ja jatko-opisk.'!$A:$Z,COLUMN('2.3 Työll. ja jatko-opisk.'!M:M),FALSE),1),0)</f>
        <v>2193.8000000000002</v>
      </c>
      <c r="Q75" s="13">
        <f>IFERROR(Ohj.lask.[[#This Row],[Painotetut pisteet 3]]/Ohj.lask.[[#Totals],[Painotetut pisteet 3]],0)</f>
        <v>7.0440014089287175E-3</v>
      </c>
      <c r="R75" s="14">
        <f>ROUND(IFERROR('1.1 Jakotaulu'!L$16*Ohj.lask.[[#This Row],[%-osuus 3]],0),0)</f>
        <v>1009784</v>
      </c>
      <c r="S75" s="157">
        <f>IFERROR(ROUND(VLOOKUP($A75,'2.4 Aloittaneet palaute'!$A:$J,COLUMN('2.4 Aloittaneet palaute'!I:I),FALSE),1),0)</f>
        <v>9730.2000000000007</v>
      </c>
      <c r="T75" s="17">
        <f>IFERROR(Ohj.lask.[[#This Row],[Painotetut pisteet 4]]/Ohj.lask.[[#Totals],[Painotetut pisteet 4]],0)</f>
        <v>6.2036568307042191E-3</v>
      </c>
      <c r="U75" s="20">
        <f>ROUND(IFERROR('1.1 Jakotaulu'!M$18*Ohj.lask.[[#This Row],[%-osuus 4]],0),0)</f>
        <v>47642</v>
      </c>
      <c r="V75" s="157">
        <f>IFERROR(ROUND(VLOOKUP($A75,'2.5 Päättäneet palaute'!$A:$Z,COLUMN('2.5 Päättäneet palaute'!Y:Y),FALSE),1),0)</f>
        <v>70272.899999999994</v>
      </c>
      <c r="W75" s="17">
        <f>IFERROR(Ohj.lask.[[#This Row],[Painotetut pisteet 5]]/Ohj.lask.[[#Totals],[Painotetut pisteet 5]],0)</f>
        <v>7.3845896017394651E-3</v>
      </c>
      <c r="X75" s="20">
        <f>ROUND(IFERROR('1.1 Jakotaulu'!M$19*Ohj.lask.[[#This Row],[%-osuus 5]],0),0)</f>
        <v>170133</v>
      </c>
      <c r="Y75" s="157">
        <f>IFERROR(ROUND(VLOOKUP($A75,'2.6 Työpaikkaohjaajakysely'!A:I,COLUMN('2.6 Työpaikkaohjaajakysely'!H:H),FALSE),1),0)</f>
        <v>4713038.5999999996</v>
      </c>
      <c r="Z75" s="13">
        <f>IFERROR(Ohj.lask.[[#This Row],[Painotetut pisteet 6]]/Ohj.lask.[[#Totals],[Painotetut pisteet 6]],0)</f>
        <v>1.1795328194425475E-2</v>
      </c>
      <c r="AA75" s="20">
        <f>ROUND(IFERROR('1.1 Jakotaulu'!M$21*Ohj.lask.[[#This Row],[%-osuus 6]],0),0)</f>
        <v>271752</v>
      </c>
      <c r="AB75" s="157">
        <f>IFERROR(ROUND(VLOOKUP($A75,'2.7 Työpaikkakysely'!A:G,COLUMN('2.7 Työpaikkakysely'!F:F),FALSE),1),0)</f>
        <v>2057582.4</v>
      </c>
      <c r="AC75" s="13">
        <f>IFERROR(Ohj.lask.[[#This Row],[Pisteet 7]]/Ohj.lask.[[#Totals],[Pisteet 7]],0)</f>
        <v>1.0763412539046171E-2</v>
      </c>
      <c r="AD75" s="20">
        <f>ROUND(IFERROR('1.1 Jakotaulu'!M$22*Ohj.lask.[[#This Row],[%-osuus 7]],0),0)</f>
        <v>82659</v>
      </c>
      <c r="AE75" s="16">
        <f>IFERROR(Ohj.lask.[[#This Row],[Jaettava € 8]]/Ohj.lask.[[#Totals],[Jaettava € 8]],"")</f>
        <v>6.4214366734737056E-3</v>
      </c>
      <c r="AF75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12958517</v>
      </c>
      <c r="AG75" s="105">
        <v>0</v>
      </c>
      <c r="AH75" s="105">
        <v>220000</v>
      </c>
      <c r="AI75" s="105">
        <v>0</v>
      </c>
      <c r="AJ75" s="105">
        <v>0</v>
      </c>
      <c r="AK75" s="105">
        <v>0</v>
      </c>
      <c r="AL75" s="105">
        <v>0</v>
      </c>
      <c r="AM75" s="105">
        <v>24000</v>
      </c>
      <c r="AN75" s="105">
        <v>0</v>
      </c>
      <c r="AO75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244000</v>
      </c>
      <c r="AP75" s="14">
        <f>Ohj.lask.[[#This Row],[Jaettava € 1]]+Ohj.lask.[[#This Row],[Harkinnanvarainen korotus 9, €]]</f>
        <v>9026179</v>
      </c>
      <c r="AQ75" s="105">
        <f>Ohj.lask.[[#This Row],[Jaettava € 2]]</f>
        <v>2594368</v>
      </c>
      <c r="AR75" s="14">
        <f>Ohj.lask.[[#This Row],[Jaettava € 3]]+Ohj.lask.[[#This Row],[Jaettava € 4]]+Ohj.lask.[[#This Row],[Jaettava € 5]]+Ohj.lask.[[#This Row],[Jaettava € 6]]+Ohj.lask.[[#This Row],[Jaettava € 7]]</f>
        <v>1581970</v>
      </c>
      <c r="AS75" s="37">
        <f>Ohj.lask.[[#This Row],[Jaettava € 8]]+Ohj.lask.[[#This Row],[Harkinnanvarainen korotus 9, €]]</f>
        <v>13202517</v>
      </c>
      <c r="AT75" s="37">
        <v>0</v>
      </c>
      <c r="AU75" s="20">
        <f>Ohj.lask.[[#This Row],[Perus-, suoritus- ja vaikuttavuusrahoitus yhteensä, €]]+Ohj.lask.[[#This Row],[Alv-korvaus, €]]</f>
        <v>13202517</v>
      </c>
    </row>
    <row r="76" spans="1:47" ht="13" x14ac:dyDescent="0.3">
      <c r="A76" s="7" t="s">
        <v>264</v>
      </c>
      <c r="B76" s="11" t="s">
        <v>71</v>
      </c>
      <c r="C76" s="11" t="s">
        <v>194</v>
      </c>
      <c r="D76" s="11" t="s">
        <v>336</v>
      </c>
      <c r="E76" s="11" t="s">
        <v>388</v>
      </c>
      <c r="F76" s="109">
        <v>1604</v>
      </c>
      <c r="G76" s="114">
        <f>Ohj.lask.[[#This Row],[Tavoitteelliset opiskelija-vuodet]]-Ohj.lask.[[#This Row],[Järjestämisluvan opisk.vuosien vähimmäismäärä]]</f>
        <v>275</v>
      </c>
      <c r="H76" s="36">
        <v>1879</v>
      </c>
      <c r="I76" s="12">
        <f>IFERROR(VLOOKUP($A76,'2.1 Toteut. op.vuodet'!$A:$T,COLUMN('2.1 Toteut. op.vuodet'!S:S),FALSE),0)</f>
        <v>1.0649767927431086</v>
      </c>
      <c r="J76" s="78">
        <f t="shared" si="2"/>
        <v>2001.1</v>
      </c>
      <c r="K76" s="13">
        <f>IFERROR(Ohj.lask.[[#This Row],[Painotetut opiskelija-vuodet]]/Ohj.lask.[[#Totals],[Painotetut opiskelija-vuodet]],0)</f>
        <v>9.2633568987034696E-3</v>
      </c>
      <c r="L76" s="14">
        <f>ROUND(IFERROR('1.1 Jakotaulu'!L$13*Ohj.lask.[[#This Row],[%-osuus 1]],0),0)</f>
        <v>13002381</v>
      </c>
      <c r="M76" s="157">
        <f>IFERROR(ROUND(VLOOKUP($A76,'2.2 Tutk. ja osien pain. pist.'!$A:$Q,COLUMN('2.2 Tutk. ja osien pain. pist.'!O:O),FALSE),1),0)</f>
        <v>171931.3</v>
      </c>
      <c r="N76" s="13">
        <f>IFERROR(Ohj.lask.[[#This Row],[Painotetut pisteet 2]]/Ohj.lask.[[#Totals],[Painotetut pisteet 2]],0)</f>
        <v>1.1071768018997161E-2</v>
      </c>
      <c r="O76" s="20">
        <f>ROUND(IFERROR('1.1 Jakotaulu'!K$14*Ohj.lask.[[#This Row],[%-osuus 2]],0),0)</f>
        <v>4534797</v>
      </c>
      <c r="P76" s="158">
        <f>IFERROR(ROUND(VLOOKUP($A76,'2.3 Työll. ja jatko-opisk.'!$A:$Z,COLUMN('2.3 Työll. ja jatko-opisk.'!M:M),FALSE),1),0)</f>
        <v>3328.1</v>
      </c>
      <c r="Q76" s="13">
        <f>IFERROR(Ohj.lask.[[#This Row],[Painotetut pisteet 3]]/Ohj.lask.[[#Totals],[Painotetut pisteet 3]],0)</f>
        <v>1.0686088562793173E-2</v>
      </c>
      <c r="R76" s="14">
        <f>ROUND(IFERROR('1.1 Jakotaulu'!L$16*Ohj.lask.[[#This Row],[%-osuus 3]],0),0)</f>
        <v>1531890</v>
      </c>
      <c r="S76" s="157">
        <f>IFERROR(ROUND(VLOOKUP($A76,'2.4 Aloittaneet palaute'!$A:$J,COLUMN('2.4 Aloittaneet palaute'!I:I),FALSE),1),0)</f>
        <v>14764.7</v>
      </c>
      <c r="T76" s="17">
        <f>IFERROR(Ohj.lask.[[#This Row],[Painotetut pisteet 4]]/Ohj.lask.[[#Totals],[Painotetut pisteet 4]],0)</f>
        <v>9.4134891377668072E-3</v>
      </c>
      <c r="U76" s="20">
        <f>ROUND(IFERROR('1.1 Jakotaulu'!M$18*Ohj.lask.[[#This Row],[%-osuus 4]],0),0)</f>
        <v>72292</v>
      </c>
      <c r="V76" s="157">
        <f>IFERROR(ROUND(VLOOKUP($A76,'2.5 Päättäneet palaute'!$A:$Z,COLUMN('2.5 Päättäneet palaute'!Y:Y),FALSE),1),0)</f>
        <v>143854.6</v>
      </c>
      <c r="W76" s="17">
        <f>IFERROR(Ohj.lask.[[#This Row],[Painotetut pisteet 5]]/Ohj.lask.[[#Totals],[Painotetut pisteet 5]],0)</f>
        <v>1.511688265778686E-2</v>
      </c>
      <c r="X76" s="20">
        <f>ROUND(IFERROR('1.1 Jakotaulu'!M$19*Ohj.lask.[[#This Row],[%-osuus 5]],0),0)</f>
        <v>348278</v>
      </c>
      <c r="Y76" s="157">
        <f>IFERROR(ROUND(VLOOKUP($A76,'2.6 Työpaikkaohjaajakysely'!A:I,COLUMN('2.6 Työpaikkaohjaajakysely'!H:H),FALSE),1),0)</f>
        <v>4269449.0999999996</v>
      </c>
      <c r="Z76" s="13">
        <f>IFERROR(Ohj.lask.[[#This Row],[Painotetut pisteet 6]]/Ohj.lask.[[#Totals],[Painotetut pisteet 6]],0)</f>
        <v>1.0685156141919666E-2</v>
      </c>
      <c r="AA76" s="20">
        <f>ROUND(IFERROR('1.1 Jakotaulu'!M$21*Ohj.lask.[[#This Row],[%-osuus 6]],0),0)</f>
        <v>246175</v>
      </c>
      <c r="AB76" s="157">
        <f>IFERROR(ROUND(VLOOKUP($A76,'2.7 Työpaikkakysely'!A:G,COLUMN('2.7 Työpaikkakysely'!F:F),FALSE),1),0)</f>
        <v>1896015</v>
      </c>
      <c r="AC76" s="13">
        <f>IFERROR(Ohj.lask.[[#This Row],[Pisteet 7]]/Ohj.lask.[[#Totals],[Pisteet 7]],0)</f>
        <v>9.9182378432181514E-3</v>
      </c>
      <c r="AD76" s="20">
        <f>ROUND(IFERROR('1.1 Jakotaulu'!M$22*Ohj.lask.[[#This Row],[%-osuus 7]],0),0)</f>
        <v>76169</v>
      </c>
      <c r="AE76" s="16">
        <f>IFERROR(Ohj.lask.[[#This Row],[Jaettava € 8]]/Ohj.lask.[[#Totals],[Jaettava € 8]],"")</f>
        <v>9.8175885241344307E-3</v>
      </c>
      <c r="AF76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19811982</v>
      </c>
      <c r="AG76" s="105">
        <v>0</v>
      </c>
      <c r="AH76" s="105">
        <v>0</v>
      </c>
      <c r="AI76" s="105">
        <v>0</v>
      </c>
      <c r="AJ76" s="105">
        <v>0</v>
      </c>
      <c r="AK76" s="105">
        <v>0</v>
      </c>
      <c r="AL76" s="105">
        <v>0</v>
      </c>
      <c r="AM76" s="105">
        <v>0</v>
      </c>
      <c r="AN76" s="105">
        <v>0</v>
      </c>
      <c r="AO76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0</v>
      </c>
      <c r="AP76" s="14">
        <f>Ohj.lask.[[#This Row],[Jaettava € 1]]+Ohj.lask.[[#This Row],[Harkinnanvarainen korotus 9, €]]</f>
        <v>13002381</v>
      </c>
      <c r="AQ76" s="105">
        <f>Ohj.lask.[[#This Row],[Jaettava € 2]]</f>
        <v>4534797</v>
      </c>
      <c r="AR76" s="14">
        <f>Ohj.lask.[[#This Row],[Jaettava € 3]]+Ohj.lask.[[#This Row],[Jaettava € 4]]+Ohj.lask.[[#This Row],[Jaettava € 5]]+Ohj.lask.[[#This Row],[Jaettava € 6]]+Ohj.lask.[[#This Row],[Jaettava € 7]]</f>
        <v>2274804</v>
      </c>
      <c r="AS76" s="37">
        <f>Ohj.lask.[[#This Row],[Jaettava € 8]]+Ohj.lask.[[#This Row],[Harkinnanvarainen korotus 9, €]]</f>
        <v>19811982</v>
      </c>
      <c r="AT76" s="37">
        <v>0</v>
      </c>
      <c r="AU76" s="20">
        <f>Ohj.lask.[[#This Row],[Perus-, suoritus- ja vaikuttavuusrahoitus yhteensä, €]]+Ohj.lask.[[#This Row],[Alv-korvaus, €]]</f>
        <v>19811982</v>
      </c>
    </row>
    <row r="77" spans="1:47" ht="13" x14ac:dyDescent="0.3">
      <c r="A77" s="7" t="s">
        <v>263</v>
      </c>
      <c r="B77" s="11" t="s">
        <v>72</v>
      </c>
      <c r="C77" s="11" t="s">
        <v>180</v>
      </c>
      <c r="D77" s="11" t="s">
        <v>336</v>
      </c>
      <c r="E77" s="11" t="s">
        <v>388</v>
      </c>
      <c r="F77" s="109">
        <v>2470</v>
      </c>
      <c r="G77" s="114">
        <f>Ohj.lask.[[#This Row],[Tavoitteelliset opiskelija-vuodet]]-Ohj.lask.[[#This Row],[Järjestämisluvan opisk.vuosien vähimmäismäärä]]</f>
        <v>334</v>
      </c>
      <c r="H77" s="36">
        <v>2804</v>
      </c>
      <c r="I77" s="12">
        <f>IFERROR(VLOOKUP($A77,'2.1 Toteut. op.vuodet'!$A:$T,COLUMN('2.1 Toteut. op.vuodet'!S:S),FALSE),0)</f>
        <v>1.0983897313518305</v>
      </c>
      <c r="J77" s="78">
        <f t="shared" si="2"/>
        <v>3079.9</v>
      </c>
      <c r="K77" s="13">
        <f>IFERROR(Ohj.lask.[[#This Row],[Painotetut opiskelija-vuodet]]/Ohj.lask.[[#Totals],[Painotetut opiskelija-vuodet]],0)</f>
        <v>1.4257264960430172E-2</v>
      </c>
      <c r="L77" s="14">
        <f>ROUND(IFERROR('1.1 Jakotaulu'!L$13*Ohj.lask.[[#This Row],[%-osuus 1]],0),0)</f>
        <v>20012010</v>
      </c>
      <c r="M77" s="157">
        <f>IFERROR(ROUND(VLOOKUP($A77,'2.2 Tutk. ja osien pain. pist.'!$A:$Q,COLUMN('2.2 Tutk. ja osien pain. pist.'!O:O),FALSE),1),0)</f>
        <v>223848</v>
      </c>
      <c r="N77" s="13">
        <f>IFERROR(Ohj.lask.[[#This Row],[Painotetut pisteet 2]]/Ohj.lask.[[#Totals],[Painotetut pisteet 2]],0)</f>
        <v>1.4415019996454843E-2</v>
      </c>
      <c r="O77" s="20">
        <f>ROUND(IFERROR('1.1 Jakotaulu'!K$14*Ohj.lask.[[#This Row],[%-osuus 2]],0),0)</f>
        <v>5904133</v>
      </c>
      <c r="P77" s="158">
        <f>IFERROR(ROUND(VLOOKUP($A77,'2.3 Työll. ja jatko-opisk.'!$A:$Z,COLUMN('2.3 Työll. ja jatko-opisk.'!M:M),FALSE),1),0)</f>
        <v>5187.8</v>
      </c>
      <c r="Q77" s="13">
        <f>IFERROR(Ohj.lask.[[#This Row],[Painotetut pisteet 3]]/Ohj.lask.[[#Totals],[Painotetut pisteet 3]],0)</f>
        <v>1.665733909619856E-2</v>
      </c>
      <c r="R77" s="14">
        <f>ROUND(IFERROR('1.1 Jakotaulu'!L$16*Ohj.lask.[[#This Row],[%-osuus 3]],0),0)</f>
        <v>2387891</v>
      </c>
      <c r="S77" s="157">
        <f>IFERROR(ROUND(VLOOKUP($A77,'2.4 Aloittaneet palaute'!$A:$J,COLUMN('2.4 Aloittaneet palaute'!I:I),FALSE),1),0)</f>
        <v>19080.7</v>
      </c>
      <c r="T77" s="17">
        <f>IFERROR(Ohj.lask.[[#This Row],[Painotetut pisteet 4]]/Ohj.lask.[[#Totals],[Painotetut pisteet 4]],0)</f>
        <v>1.2165229377568599E-2</v>
      </c>
      <c r="U77" s="20">
        <f>ROUND(IFERROR('1.1 Jakotaulu'!M$18*Ohj.lask.[[#This Row],[%-osuus 4]],0),0)</f>
        <v>93425</v>
      </c>
      <c r="V77" s="157">
        <f>IFERROR(ROUND(VLOOKUP($A77,'2.5 Päättäneet palaute'!$A:$Z,COLUMN('2.5 Päättäneet palaute'!Y:Y),FALSE),1),0)</f>
        <v>114750</v>
      </c>
      <c r="W77" s="17">
        <f>IFERROR(Ohj.lask.[[#This Row],[Painotetut pisteet 5]]/Ohj.lask.[[#Totals],[Painotetut pisteet 5]],0)</f>
        <v>1.2058441544316567E-2</v>
      </c>
      <c r="X77" s="20">
        <f>ROUND(IFERROR('1.1 Jakotaulu'!M$19*Ohj.lask.[[#This Row],[%-osuus 5]],0),0)</f>
        <v>277814</v>
      </c>
      <c r="Y77" s="157">
        <f>IFERROR(ROUND(VLOOKUP($A77,'2.6 Työpaikkaohjaajakysely'!A:I,COLUMN('2.6 Työpaikkaohjaajakysely'!H:H),FALSE),1),0)</f>
        <v>3915939.1</v>
      </c>
      <c r="Z77" s="13">
        <f>IFERROR(Ohj.lask.[[#This Row],[Painotetut pisteet 6]]/Ohj.lask.[[#Totals],[Painotetut pisteet 6]],0)</f>
        <v>9.8004261781100468E-3</v>
      </c>
      <c r="AA77" s="20">
        <f>ROUND(IFERROR('1.1 Jakotaulu'!M$21*Ohj.lask.[[#This Row],[%-osuus 6]],0),0)</f>
        <v>225792</v>
      </c>
      <c r="AB77" s="157">
        <f>IFERROR(ROUND(VLOOKUP($A77,'2.7 Työpaikkakysely'!A:G,COLUMN('2.7 Työpaikkakysely'!F:F),FALSE),1),0)</f>
        <v>1205251.8999999999</v>
      </c>
      <c r="AC77" s="13">
        <f>IFERROR(Ohj.lask.[[#This Row],[Pisteet 7]]/Ohj.lask.[[#Totals],[Pisteet 7]],0)</f>
        <v>6.3047892580968918E-3</v>
      </c>
      <c r="AD77" s="20">
        <f>ROUND(IFERROR('1.1 Jakotaulu'!M$22*Ohj.lask.[[#This Row],[%-osuus 7]],0),0)</f>
        <v>48419</v>
      </c>
      <c r="AE77" s="16">
        <f>IFERROR(Ohj.lask.[[#This Row],[Jaettava € 8]]/Ohj.lask.[[#Totals],[Jaettava € 8]],"")</f>
        <v>1.4345567338896904E-2</v>
      </c>
      <c r="AF77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28949484</v>
      </c>
      <c r="AG77" s="105">
        <v>0</v>
      </c>
      <c r="AH77" s="105">
        <v>0</v>
      </c>
      <c r="AI77" s="105">
        <v>0</v>
      </c>
      <c r="AJ77" s="105">
        <v>0</v>
      </c>
      <c r="AK77" s="105">
        <v>0</v>
      </c>
      <c r="AL77" s="105">
        <v>0</v>
      </c>
      <c r="AM77" s="105">
        <v>30000</v>
      </c>
      <c r="AN77" s="105">
        <v>0</v>
      </c>
      <c r="AO77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30000</v>
      </c>
      <c r="AP77" s="14">
        <f>Ohj.lask.[[#This Row],[Jaettava € 1]]+Ohj.lask.[[#This Row],[Harkinnanvarainen korotus 9, €]]</f>
        <v>20042010</v>
      </c>
      <c r="AQ77" s="105">
        <f>Ohj.lask.[[#This Row],[Jaettava € 2]]</f>
        <v>5904133</v>
      </c>
      <c r="AR77" s="14">
        <f>Ohj.lask.[[#This Row],[Jaettava € 3]]+Ohj.lask.[[#This Row],[Jaettava € 4]]+Ohj.lask.[[#This Row],[Jaettava € 5]]+Ohj.lask.[[#This Row],[Jaettava € 6]]+Ohj.lask.[[#This Row],[Jaettava € 7]]</f>
        <v>3033341</v>
      </c>
      <c r="AS77" s="37">
        <f>Ohj.lask.[[#This Row],[Jaettava € 8]]+Ohj.lask.[[#This Row],[Harkinnanvarainen korotus 9, €]]</f>
        <v>28979484</v>
      </c>
      <c r="AT77" s="37">
        <v>0</v>
      </c>
      <c r="AU77" s="20">
        <f>Ohj.lask.[[#This Row],[Perus-, suoritus- ja vaikuttavuusrahoitus yhteensä, €]]+Ohj.lask.[[#This Row],[Alv-korvaus, €]]</f>
        <v>28979484</v>
      </c>
    </row>
    <row r="78" spans="1:47" ht="13" x14ac:dyDescent="0.3">
      <c r="A78" s="7" t="s">
        <v>262</v>
      </c>
      <c r="B78" s="11" t="s">
        <v>73</v>
      </c>
      <c r="C78" s="11" t="s">
        <v>224</v>
      </c>
      <c r="D78" s="11" t="s">
        <v>337</v>
      </c>
      <c r="E78" s="11" t="s">
        <v>388</v>
      </c>
      <c r="F78" s="109">
        <v>4267</v>
      </c>
      <c r="G78" s="114">
        <f>Ohj.lask.[[#This Row],[Tavoitteelliset opiskelija-vuodet]]-Ohj.lask.[[#This Row],[Järjestämisluvan opisk.vuosien vähimmäismäärä]]</f>
        <v>488</v>
      </c>
      <c r="H78" s="36">
        <v>4755</v>
      </c>
      <c r="I78" s="12">
        <f>IFERROR(VLOOKUP($A78,'2.1 Toteut. op.vuodet'!$A:$T,COLUMN('2.1 Toteut. op.vuodet'!S:S),FALSE),0)</f>
        <v>1.059429032041536</v>
      </c>
      <c r="J78" s="78">
        <f t="shared" si="2"/>
        <v>5037.6000000000004</v>
      </c>
      <c r="K78" s="13">
        <f>IFERROR(Ohj.lask.[[#This Row],[Painotetut opiskelija-vuodet]]/Ohj.lask.[[#Totals],[Painotetut opiskelija-vuodet]],0)</f>
        <v>2.33197175118228E-2</v>
      </c>
      <c r="L78" s="14">
        <f>ROUND(IFERROR('1.1 Jakotaulu'!L$13*Ohj.lask.[[#This Row],[%-osuus 1]],0),0)</f>
        <v>32732395</v>
      </c>
      <c r="M78" s="157">
        <f>IFERROR(ROUND(VLOOKUP($A78,'2.2 Tutk. ja osien pain. pist.'!$A:$Q,COLUMN('2.2 Tutk. ja osien pain. pist.'!O:O),FALSE),1),0)</f>
        <v>393928.3</v>
      </c>
      <c r="N78" s="13">
        <f>IFERROR(Ohj.lask.[[#This Row],[Painotetut pisteet 2]]/Ohj.lask.[[#Totals],[Painotetut pisteet 2]],0)</f>
        <v>2.5367590157917258E-2</v>
      </c>
      <c r="O78" s="20">
        <f>ROUND(IFERROR('1.1 Jakotaulu'!K$14*Ohj.lask.[[#This Row],[%-osuus 2]],0),0)</f>
        <v>10390108</v>
      </c>
      <c r="P78" s="158">
        <f>IFERROR(ROUND(VLOOKUP($A78,'2.3 Työll. ja jatko-opisk.'!$A:$Z,COLUMN('2.3 Työll. ja jatko-opisk.'!M:M),FALSE),1),0)</f>
        <v>7855.7</v>
      </c>
      <c r="Q78" s="13">
        <f>IFERROR(Ohj.lask.[[#This Row],[Painotetut pisteet 3]]/Ohj.lask.[[#Totals],[Painotetut pisteet 3]],0)</f>
        <v>2.5223612848993215E-2</v>
      </c>
      <c r="R78" s="14">
        <f>ROUND(IFERROR('1.1 Jakotaulu'!L$16*Ohj.lask.[[#This Row],[%-osuus 3]],0),0)</f>
        <v>3615898</v>
      </c>
      <c r="S78" s="157">
        <f>IFERROR(ROUND(VLOOKUP($A78,'2.4 Aloittaneet palaute'!$A:$J,COLUMN('2.4 Aloittaneet palaute'!I:I),FALSE),1),0)</f>
        <v>40920</v>
      </c>
      <c r="T78" s="17">
        <f>IFERROR(Ohj.lask.[[#This Row],[Painotetut pisteet 4]]/Ohj.lask.[[#Totals],[Painotetut pisteet 4]],0)</f>
        <v>2.6089251763829788E-2</v>
      </c>
      <c r="U78" s="20">
        <f>ROUND(IFERROR('1.1 Jakotaulu'!M$18*Ohj.lask.[[#This Row],[%-osuus 4]],0),0)</f>
        <v>200357</v>
      </c>
      <c r="V78" s="157">
        <f>IFERROR(ROUND(VLOOKUP($A78,'2.5 Päättäneet palaute'!$A:$Z,COLUMN('2.5 Päättäneet palaute'!Y:Y),FALSE),1),0)</f>
        <v>239163</v>
      </c>
      <c r="W78" s="17">
        <f>IFERROR(Ohj.lask.[[#This Row],[Painotetut pisteet 5]]/Ohj.lask.[[#Totals],[Painotetut pisteet 5]],0)</f>
        <v>2.5132314205345389E-2</v>
      </c>
      <c r="X78" s="20">
        <f>ROUND(IFERROR('1.1 Jakotaulu'!M$19*Ohj.lask.[[#This Row],[%-osuus 5]],0),0)</f>
        <v>579023</v>
      </c>
      <c r="Y78" s="157">
        <f>IFERROR(ROUND(VLOOKUP($A78,'2.6 Työpaikkaohjaajakysely'!A:I,COLUMN('2.6 Työpaikkaohjaajakysely'!H:H),FALSE),1),0)</f>
        <v>126669.5</v>
      </c>
      <c r="Z78" s="13">
        <f>IFERROR(Ohj.lask.[[#This Row],[Painotetut pisteet 6]]/Ohj.lask.[[#Totals],[Painotetut pisteet 6]],0)</f>
        <v>3.170159320833438E-4</v>
      </c>
      <c r="AA78" s="20">
        <f>ROUND(IFERROR('1.1 Jakotaulu'!M$21*Ohj.lask.[[#This Row],[%-osuus 6]],0),0)</f>
        <v>7304</v>
      </c>
      <c r="AB78" s="157">
        <f>IFERROR(ROUND(VLOOKUP($A78,'2.7 Työpaikkakysely'!A:G,COLUMN('2.7 Työpaikkakysely'!F:F),FALSE),1),0)</f>
        <v>96084</v>
      </c>
      <c r="AC78" s="13">
        <f>IFERROR(Ohj.lask.[[#This Row],[Pisteet 7]]/Ohj.lask.[[#Totals],[Pisteet 7]],0)</f>
        <v>5.0262469702390161E-4</v>
      </c>
      <c r="AD78" s="20">
        <f>ROUND(IFERROR('1.1 Jakotaulu'!M$22*Ohj.lask.[[#This Row],[%-osuus 7]],0),0)</f>
        <v>3860</v>
      </c>
      <c r="AE78" s="16">
        <f>IFERROR(Ohj.lask.[[#This Row],[Jaettava € 8]]/Ohj.lask.[[#Totals],[Jaettava € 8]],"")</f>
        <v>2.3552394959586404E-2</v>
      </c>
      <c r="AF78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47528945</v>
      </c>
      <c r="AG78" s="105">
        <v>0</v>
      </c>
      <c r="AH78" s="105">
        <v>0</v>
      </c>
      <c r="AI78" s="105">
        <v>0</v>
      </c>
      <c r="AJ78" s="105">
        <v>0</v>
      </c>
      <c r="AK78" s="105">
        <v>0</v>
      </c>
      <c r="AL78" s="105">
        <v>0</v>
      </c>
      <c r="AM78" s="105">
        <v>23000</v>
      </c>
      <c r="AN78" s="105">
        <v>0</v>
      </c>
      <c r="AO78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23000</v>
      </c>
      <c r="AP78" s="14">
        <f>Ohj.lask.[[#This Row],[Jaettava € 1]]+Ohj.lask.[[#This Row],[Harkinnanvarainen korotus 9, €]]</f>
        <v>32755395</v>
      </c>
      <c r="AQ78" s="105">
        <f>Ohj.lask.[[#This Row],[Jaettava € 2]]</f>
        <v>10390108</v>
      </c>
      <c r="AR78" s="14">
        <f>Ohj.lask.[[#This Row],[Jaettava € 3]]+Ohj.lask.[[#This Row],[Jaettava € 4]]+Ohj.lask.[[#This Row],[Jaettava € 5]]+Ohj.lask.[[#This Row],[Jaettava € 6]]+Ohj.lask.[[#This Row],[Jaettava € 7]]</f>
        <v>4406442</v>
      </c>
      <c r="AS78" s="37">
        <f>Ohj.lask.[[#This Row],[Jaettava € 8]]+Ohj.lask.[[#This Row],[Harkinnanvarainen korotus 9, €]]</f>
        <v>47551945</v>
      </c>
      <c r="AT78" s="37">
        <v>3354701</v>
      </c>
      <c r="AU78" s="20">
        <f>Ohj.lask.[[#This Row],[Perus-, suoritus- ja vaikuttavuusrahoitus yhteensä, €]]+Ohj.lask.[[#This Row],[Alv-korvaus, €]]</f>
        <v>50906646</v>
      </c>
    </row>
    <row r="79" spans="1:47" ht="13" x14ac:dyDescent="0.3">
      <c r="A79" s="7" t="s">
        <v>260</v>
      </c>
      <c r="B79" s="11" t="s">
        <v>74</v>
      </c>
      <c r="C79" s="99" t="s">
        <v>180</v>
      </c>
      <c r="D79" s="99" t="s">
        <v>337</v>
      </c>
      <c r="E79" s="99" t="s">
        <v>388</v>
      </c>
      <c r="F79" s="108">
        <v>199</v>
      </c>
      <c r="G79" s="114">
        <f>Ohj.lask.[[#This Row],[Tavoitteelliset opiskelija-vuodet]]-Ohj.lask.[[#This Row],[Järjestämisluvan opisk.vuosien vähimmäismäärä]]</f>
        <v>29</v>
      </c>
      <c r="H79" s="36">
        <v>228</v>
      </c>
      <c r="I79" s="12">
        <f>IFERROR(VLOOKUP($A79,'2.1 Toteut. op.vuodet'!$A:$T,COLUMN('2.1 Toteut. op.vuodet'!S:S),FALSE),0)</f>
        <v>1.0724912653432999</v>
      </c>
      <c r="J79" s="78">
        <f t="shared" si="2"/>
        <v>244.5</v>
      </c>
      <c r="K79" s="13">
        <f>IFERROR(Ohj.lask.[[#This Row],[Painotetut opiskelija-vuodet]]/Ohj.lask.[[#Totals],[Painotetut opiskelija-vuodet]],0)</f>
        <v>1.1318228782834434E-3</v>
      </c>
      <c r="L79" s="14">
        <f>ROUND(IFERROR('1.1 Jakotaulu'!L$13*Ohj.lask.[[#This Row],[%-osuus 1]],0),0)</f>
        <v>1588667</v>
      </c>
      <c r="M79" s="157">
        <f>IFERROR(ROUND(VLOOKUP($A79,'2.2 Tutk. ja osien pain. pist.'!$A:$Q,COLUMN('2.2 Tutk. ja osien pain. pist.'!O:O),FALSE),1),0)</f>
        <v>28494.5</v>
      </c>
      <c r="N79" s="13">
        <f>IFERROR(Ohj.lask.[[#This Row],[Painotetut pisteet 2]]/Ohj.lask.[[#Totals],[Painotetut pisteet 2]],0)</f>
        <v>1.8349450845617675E-3</v>
      </c>
      <c r="O79" s="20">
        <f>ROUND(IFERROR('1.1 Jakotaulu'!K$14*Ohj.lask.[[#This Row],[%-osuus 2]],0),0)</f>
        <v>751560</v>
      </c>
      <c r="P79" s="158">
        <f>IFERROR(ROUND(VLOOKUP($A79,'2.3 Työll. ja jatko-opisk.'!$A:$Z,COLUMN('2.3 Työll. ja jatko-opisk.'!M:M),FALSE),1),0)</f>
        <v>302.89999999999998</v>
      </c>
      <c r="Q79" s="17">
        <f>IFERROR(Ohj.lask.[[#This Row],[Painotetut pisteet 3]]/Ohj.lask.[[#Totals],[Painotetut pisteet 3]],0)</f>
        <v>9.7257180543554929E-4</v>
      </c>
      <c r="R79" s="14">
        <f>ROUND(IFERROR('1.1 Jakotaulu'!L$16*Ohj.lask.[[#This Row],[%-osuus 3]],0),0)</f>
        <v>139422</v>
      </c>
      <c r="S79" s="157">
        <f>IFERROR(ROUND(VLOOKUP($A79,'2.4 Aloittaneet palaute'!$A:$J,COLUMN('2.4 Aloittaneet palaute'!I:I),FALSE),1),0)</f>
        <v>1881.9</v>
      </c>
      <c r="T79" s="17">
        <f>IFERROR(Ohj.lask.[[#This Row],[Painotetut pisteet 4]]/Ohj.lask.[[#Totals],[Painotetut pisteet 4]],0)</f>
        <v>1.1998378028922601E-3</v>
      </c>
      <c r="U79" s="20">
        <f>ROUND(IFERROR('1.1 Jakotaulu'!M$18*Ohj.lask.[[#This Row],[%-osuus 4]],0),0)</f>
        <v>9214</v>
      </c>
      <c r="V79" s="157">
        <f>IFERROR(ROUND(VLOOKUP($A79,'2.5 Päättäneet palaute'!$A:$Z,COLUMN('2.5 Päättäneet palaute'!Y:Y),FALSE),1),0)</f>
        <v>15057.5</v>
      </c>
      <c r="W79" s="17">
        <f>IFERROR(Ohj.lask.[[#This Row],[Painotetut pisteet 5]]/Ohj.lask.[[#Totals],[Painotetut pisteet 5]],0)</f>
        <v>1.5823092248675094E-3</v>
      </c>
      <c r="X79" s="20">
        <f>ROUND(IFERROR('1.1 Jakotaulu'!M$19*Ohj.lask.[[#This Row],[%-osuus 5]],0),0)</f>
        <v>36455</v>
      </c>
      <c r="Y79" s="157">
        <f>IFERROR(ROUND(VLOOKUP($A79,'2.6 Työpaikkaohjaajakysely'!A:I,COLUMN('2.6 Työpaikkaohjaajakysely'!H:H),FALSE),1),0)</f>
        <v>204419</v>
      </c>
      <c r="Z79" s="13">
        <f>IFERROR(Ohj.lask.[[#This Row],[Painotetut pisteet 6]]/Ohj.lask.[[#Totals],[Painotetut pisteet 6]],0)</f>
        <v>5.1159971280020098E-4</v>
      </c>
      <c r="AA79" s="20">
        <f>ROUND(IFERROR('1.1 Jakotaulu'!M$21*Ohj.lask.[[#This Row],[%-osuus 6]],0),0)</f>
        <v>11787</v>
      </c>
      <c r="AB79" s="157">
        <f>IFERROR(ROUND(VLOOKUP($A79,'2.7 Työpaikkakysely'!A:G,COLUMN('2.7 Työpaikkakysely'!F:F),FALSE),1),0)</f>
        <v>43322</v>
      </c>
      <c r="AC79" s="13">
        <f>IFERROR(Ohj.lask.[[#This Row],[Pisteet 7]]/Ohj.lask.[[#Totals],[Pisteet 7]],0)</f>
        <v>2.2662157200438644E-4</v>
      </c>
      <c r="AD79" s="20">
        <f>ROUND(IFERROR('1.1 Jakotaulu'!M$22*Ohj.lask.[[#This Row],[%-osuus 7]],0),0)</f>
        <v>1740</v>
      </c>
      <c r="AE79" s="16">
        <f>IFERROR(Ohj.lask.[[#This Row],[Jaettava € 8]]/Ohj.lask.[[#Totals],[Jaettava € 8]],"")</f>
        <v>1.2580939926432439E-3</v>
      </c>
      <c r="AF79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2538845</v>
      </c>
      <c r="AG79" s="105">
        <v>0</v>
      </c>
      <c r="AH79" s="105">
        <v>0</v>
      </c>
      <c r="AI79" s="105">
        <v>0</v>
      </c>
      <c r="AJ79" s="105">
        <v>0</v>
      </c>
      <c r="AK79" s="105">
        <v>0</v>
      </c>
      <c r="AL79" s="105">
        <v>0</v>
      </c>
      <c r="AM79" s="105">
        <v>4000</v>
      </c>
      <c r="AN79" s="105">
        <v>0</v>
      </c>
      <c r="AO79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4000</v>
      </c>
      <c r="AP79" s="14">
        <f>Ohj.lask.[[#This Row],[Jaettava € 1]]+Ohj.lask.[[#This Row],[Harkinnanvarainen korotus 9, €]]</f>
        <v>1592667</v>
      </c>
      <c r="AQ79" s="105">
        <f>Ohj.lask.[[#This Row],[Jaettava € 2]]</f>
        <v>751560</v>
      </c>
      <c r="AR79" s="14">
        <f>Ohj.lask.[[#This Row],[Jaettava € 3]]+Ohj.lask.[[#This Row],[Jaettava € 4]]+Ohj.lask.[[#This Row],[Jaettava € 5]]+Ohj.lask.[[#This Row],[Jaettava € 6]]+Ohj.lask.[[#This Row],[Jaettava € 7]]</f>
        <v>198618</v>
      </c>
      <c r="AS79" s="37">
        <f>Ohj.lask.[[#This Row],[Jaettava € 8]]+Ohj.lask.[[#This Row],[Harkinnanvarainen korotus 9, €]]</f>
        <v>2542845</v>
      </c>
      <c r="AT79" s="37">
        <v>150634</v>
      </c>
      <c r="AU79" s="20">
        <f>Ohj.lask.[[#This Row],[Perus-, suoritus- ja vaikuttavuusrahoitus yhteensä, €]]+Ohj.lask.[[#This Row],[Alv-korvaus, €]]</f>
        <v>2693479</v>
      </c>
    </row>
    <row r="80" spans="1:47" ht="13" x14ac:dyDescent="0.3">
      <c r="A80" s="7" t="s">
        <v>256</v>
      </c>
      <c r="B80" s="11" t="s">
        <v>75</v>
      </c>
      <c r="C80" s="11" t="s">
        <v>180</v>
      </c>
      <c r="D80" s="11" t="s">
        <v>337</v>
      </c>
      <c r="E80" s="11" t="s">
        <v>388</v>
      </c>
      <c r="F80" s="109">
        <v>73</v>
      </c>
      <c r="G80" s="114">
        <f>Ohj.lask.[[#This Row],[Tavoitteelliset opiskelija-vuodet]]-Ohj.lask.[[#This Row],[Järjestämisluvan opisk.vuosien vähimmäismäärä]]</f>
        <v>9</v>
      </c>
      <c r="H80" s="36">
        <v>82</v>
      </c>
      <c r="I80" s="12">
        <f>IFERROR(VLOOKUP($A80,'2.1 Toteut. op.vuodet'!$A:$T,COLUMN('2.1 Toteut. op.vuodet'!S:S),FALSE),0)</f>
        <v>0.72540000000000537</v>
      </c>
      <c r="J80" s="78">
        <f t="shared" si="2"/>
        <v>59.5</v>
      </c>
      <c r="K80" s="13">
        <f>IFERROR(Ohj.lask.[[#This Row],[Painotetut opiskelija-vuodet]]/Ohj.lask.[[#Totals],[Painotetut opiskelija-vuodet]],0)</f>
        <v>2.7543337937777047E-4</v>
      </c>
      <c r="L80" s="14">
        <f>ROUND(IFERROR('1.1 Jakotaulu'!L$13*Ohj.lask.[[#This Row],[%-osuus 1]],0),0)</f>
        <v>386608</v>
      </c>
      <c r="M80" s="157">
        <f>IFERROR(ROUND(VLOOKUP($A80,'2.2 Tutk. ja osien pain. pist.'!$A:$Q,COLUMN('2.2 Tutk. ja osien pain. pist.'!O:O),FALSE),1),0)</f>
        <v>6129.6</v>
      </c>
      <c r="N80" s="13">
        <f>IFERROR(Ohj.lask.[[#This Row],[Painotetut pisteet 2]]/Ohj.lask.[[#Totals],[Painotetut pisteet 2]],0)</f>
        <v>3.9472457457859623E-4</v>
      </c>
      <c r="O80" s="20">
        <f>ROUND(IFERROR('1.1 Jakotaulu'!K$14*Ohj.lask.[[#This Row],[%-osuus 2]],0),0)</f>
        <v>161672</v>
      </c>
      <c r="P80" s="158">
        <f>IFERROR(ROUND(VLOOKUP($A80,'2.3 Työll. ja jatko-opisk.'!$A:$Z,COLUMN('2.3 Työll. ja jatko-opisk.'!M:M),FALSE),1),0)</f>
        <v>169.5</v>
      </c>
      <c r="Q80" s="13">
        <f>IFERROR(Ohj.lask.[[#This Row],[Painotetut pisteet 3]]/Ohj.lask.[[#Totals],[Painotetut pisteet 3]],0)</f>
        <v>5.4424206345766134E-4</v>
      </c>
      <c r="R80" s="14">
        <f>ROUND(IFERROR('1.1 Jakotaulu'!L$16*Ohj.lask.[[#This Row],[%-osuus 3]],0),0)</f>
        <v>78019</v>
      </c>
      <c r="S80" s="157">
        <f>IFERROR(ROUND(VLOOKUP($A80,'2.4 Aloittaneet palaute'!$A:$J,COLUMN('2.4 Aloittaneet palaute'!I:I),FALSE),1),0)</f>
        <v>2079</v>
      </c>
      <c r="T80" s="17">
        <f>IFERROR(Ohj.lask.[[#This Row],[Painotetut pisteet 4]]/Ohj.lask.[[#Totals],[Painotetut pisteet 4]],0)</f>
        <v>1.3255023073558683E-3</v>
      </c>
      <c r="U80" s="20">
        <f>ROUND(IFERROR('1.1 Jakotaulu'!M$18*Ohj.lask.[[#This Row],[%-osuus 4]],0),0)</f>
        <v>10179</v>
      </c>
      <c r="V80" s="157">
        <f>IFERROR(ROUND(VLOOKUP($A80,'2.5 Päättäneet palaute'!$A:$Z,COLUMN('2.5 Päättäneet palaute'!Y:Y),FALSE),1),0)</f>
        <v>21015.1</v>
      </c>
      <c r="W80" s="17">
        <f>IFERROR(Ohj.lask.[[#This Row],[Painotetut pisteet 5]]/Ohj.lask.[[#Totals],[Painotetut pisteet 5]],0)</f>
        <v>2.208360391267687E-3</v>
      </c>
      <c r="X80" s="20">
        <f>ROUND(IFERROR('1.1 Jakotaulu'!M$19*Ohj.lask.[[#This Row],[%-osuus 5]],0),0)</f>
        <v>50878</v>
      </c>
      <c r="Y80" s="157">
        <f>IFERROR(ROUND(VLOOKUP($A80,'2.6 Työpaikkaohjaajakysely'!A:I,COLUMN('2.6 Työpaikkaohjaajakysely'!H:H),FALSE),1),0)</f>
        <v>693518.7</v>
      </c>
      <c r="Z80" s="13">
        <f>IFERROR(Ohj.lask.[[#This Row],[Painotetut pisteet 6]]/Ohj.lask.[[#Totals],[Painotetut pisteet 6]],0)</f>
        <v>1.7356702055169467E-3</v>
      </c>
      <c r="AA80" s="20">
        <f>ROUND(IFERROR('1.1 Jakotaulu'!M$21*Ohj.lask.[[#This Row],[%-osuus 6]],0),0)</f>
        <v>39988</v>
      </c>
      <c r="AB80" s="157">
        <f>IFERROR(ROUND(VLOOKUP($A80,'2.7 Työpaikkakysely'!A:G,COLUMN('2.7 Työpaikkakysely'!F:F),FALSE),1),0)</f>
        <v>446296</v>
      </c>
      <c r="AC80" s="13">
        <f>IFERROR(Ohj.lask.[[#This Row],[Pisteet 7]]/Ohj.lask.[[#Totals],[Pisteet 7]],0)</f>
        <v>2.334617540724566E-3</v>
      </c>
      <c r="AD80" s="20">
        <f>ROUND(IFERROR('1.1 Jakotaulu'!M$22*Ohj.lask.[[#This Row],[%-osuus 7]],0),0)</f>
        <v>17929</v>
      </c>
      <c r="AE80" s="16">
        <f>IFERROR(Ohj.lask.[[#This Row],[Jaettava € 8]]/Ohj.lask.[[#Totals],[Jaettava € 8]],"")</f>
        <v>3.6931103875156157E-4</v>
      </c>
      <c r="AF80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745273</v>
      </c>
      <c r="AG80" s="105">
        <v>0</v>
      </c>
      <c r="AH80" s="105">
        <v>0</v>
      </c>
      <c r="AI80" s="105">
        <v>0</v>
      </c>
      <c r="AJ80" s="105">
        <v>0</v>
      </c>
      <c r="AK80" s="105">
        <v>0</v>
      </c>
      <c r="AL80" s="105">
        <v>0</v>
      </c>
      <c r="AM80" s="105">
        <v>5000</v>
      </c>
      <c r="AN80" s="105">
        <v>0</v>
      </c>
      <c r="AO80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5000</v>
      </c>
      <c r="AP80" s="14">
        <f>Ohj.lask.[[#This Row],[Jaettava € 1]]+Ohj.lask.[[#This Row],[Harkinnanvarainen korotus 9, €]]</f>
        <v>391608</v>
      </c>
      <c r="AQ80" s="105">
        <f>Ohj.lask.[[#This Row],[Jaettava € 2]]</f>
        <v>161672</v>
      </c>
      <c r="AR80" s="14">
        <f>Ohj.lask.[[#This Row],[Jaettava € 3]]+Ohj.lask.[[#This Row],[Jaettava € 4]]+Ohj.lask.[[#This Row],[Jaettava € 5]]+Ohj.lask.[[#This Row],[Jaettava € 6]]+Ohj.lask.[[#This Row],[Jaettava € 7]]</f>
        <v>196993</v>
      </c>
      <c r="AS80" s="37">
        <f>Ohj.lask.[[#This Row],[Jaettava € 8]]+Ohj.lask.[[#This Row],[Harkinnanvarainen korotus 9, €]]</f>
        <v>750273</v>
      </c>
      <c r="AT80" s="37">
        <v>197998</v>
      </c>
      <c r="AU80" s="20">
        <f>Ohj.lask.[[#This Row],[Perus-, suoritus- ja vaikuttavuusrahoitus yhteensä, €]]+Ohj.lask.[[#This Row],[Alv-korvaus, €]]</f>
        <v>948271</v>
      </c>
    </row>
    <row r="81" spans="1:47" ht="13" x14ac:dyDescent="0.3">
      <c r="A81" s="7" t="s">
        <v>258</v>
      </c>
      <c r="B81" s="11" t="s">
        <v>76</v>
      </c>
      <c r="C81" s="99" t="s">
        <v>187</v>
      </c>
      <c r="D81" s="99" t="s">
        <v>337</v>
      </c>
      <c r="E81" s="99" t="s">
        <v>388</v>
      </c>
      <c r="F81" s="108">
        <v>153</v>
      </c>
      <c r="G81" s="114">
        <f>Ohj.lask.[[#This Row],[Tavoitteelliset opiskelija-vuodet]]-Ohj.lask.[[#This Row],[Järjestämisluvan opisk.vuosien vähimmäismäärä]]</f>
        <v>25</v>
      </c>
      <c r="H81" s="36">
        <v>178</v>
      </c>
      <c r="I81" s="12">
        <f>IFERROR(VLOOKUP($A81,'2.1 Toteut. op.vuodet'!$A:$T,COLUMN('2.1 Toteut. op.vuodet'!S:S),FALSE),0)</f>
        <v>0.97970067672431083</v>
      </c>
      <c r="J81" s="78">
        <f t="shared" si="2"/>
        <v>174.4</v>
      </c>
      <c r="K81" s="13">
        <f>IFERROR(Ohj.lask.[[#This Row],[Painotetut opiskelija-vuodet]]/Ohj.lask.[[#Totals],[Painotetut opiskelija-vuodet]],0)</f>
        <v>8.0732069518459103E-4</v>
      </c>
      <c r="L81" s="14">
        <f>ROUND(IFERROR('1.1 Jakotaulu'!L$13*Ohj.lask.[[#This Row],[%-osuus 1]],0),0)</f>
        <v>1133184</v>
      </c>
      <c r="M81" s="157">
        <f>IFERROR(ROUND(VLOOKUP($A81,'2.2 Tutk. ja osien pain. pist.'!$A:$Q,COLUMN('2.2 Tutk. ja osien pain. pist.'!O:O),FALSE),1),0)</f>
        <v>17976.5</v>
      </c>
      <c r="N81" s="13">
        <f>IFERROR(Ohj.lask.[[#This Row],[Painotetut pisteet 2]]/Ohj.lask.[[#Totals],[Painotetut pisteet 2]],0)</f>
        <v>1.1576230610336946E-3</v>
      </c>
      <c r="O81" s="20">
        <f>ROUND(IFERROR('1.1 Jakotaulu'!K$14*Ohj.lask.[[#This Row],[%-osuus 2]],0),0)</f>
        <v>474142</v>
      </c>
      <c r="P81" s="158">
        <f>IFERROR(ROUND(VLOOKUP($A81,'2.3 Työll. ja jatko-opisk.'!$A:$Z,COLUMN('2.3 Työll. ja jatko-opisk.'!M:M),FALSE),1),0)</f>
        <v>417.5</v>
      </c>
      <c r="Q81" s="17">
        <f>IFERROR(Ohj.lask.[[#This Row],[Painotetut pisteet 3]]/Ohj.lask.[[#Totals],[Painotetut pisteet 3]],0)</f>
        <v>1.3405372359502868E-3</v>
      </c>
      <c r="R81" s="14">
        <f>ROUND(IFERROR('1.1 Jakotaulu'!L$16*Ohj.lask.[[#This Row],[%-osuus 3]],0),0)</f>
        <v>192171</v>
      </c>
      <c r="S81" s="157">
        <f>IFERROR(ROUND(VLOOKUP($A81,'2.4 Aloittaneet palaute'!$A:$J,COLUMN('2.4 Aloittaneet palaute'!I:I),FALSE),1),0)</f>
        <v>2116</v>
      </c>
      <c r="T81" s="17">
        <f>IFERROR(Ohj.lask.[[#This Row],[Painotetut pisteet 4]]/Ohj.lask.[[#Totals],[Painotetut pisteet 4]],0)</f>
        <v>1.3490922955098688E-3</v>
      </c>
      <c r="U81" s="20">
        <f>ROUND(IFERROR('1.1 Jakotaulu'!M$18*Ohj.lask.[[#This Row],[%-osuus 4]],0),0)</f>
        <v>10361</v>
      </c>
      <c r="V81" s="157">
        <f>IFERROR(ROUND(VLOOKUP($A81,'2.5 Päättäneet palaute'!$A:$Z,COLUMN('2.5 Päättäneet palaute'!Y:Y),FALSE),1),0)</f>
        <v>14210.5</v>
      </c>
      <c r="W81" s="17">
        <f>IFERROR(Ohj.lask.[[#This Row],[Painotetut pisteet 5]]/Ohj.lask.[[#Totals],[Painotetut pisteet 5]],0)</f>
        <v>1.4933026890240574E-3</v>
      </c>
      <c r="X81" s="20">
        <f>ROUND(IFERROR('1.1 Jakotaulu'!M$19*Ohj.lask.[[#This Row],[%-osuus 5]],0),0)</f>
        <v>34404</v>
      </c>
      <c r="Y81" s="157">
        <f>IFERROR(ROUND(VLOOKUP($A81,'2.6 Työpaikkaohjaajakysely'!A:I,COLUMN('2.6 Työpaikkaohjaajakysely'!H:H),FALSE),1),0)</f>
        <v>770052.2</v>
      </c>
      <c r="Z81" s="13">
        <f>IFERROR(Ohj.lask.[[#This Row],[Painotetut pisteet 6]]/Ohj.lask.[[#Totals],[Painotetut pisteet 6]],0)</f>
        <v>1.9272107013592814E-3</v>
      </c>
      <c r="AA81" s="20">
        <f>ROUND(IFERROR('1.1 Jakotaulu'!M$21*Ohj.lask.[[#This Row],[%-osuus 6]],0),0)</f>
        <v>44401</v>
      </c>
      <c r="AB81" s="157">
        <f>IFERROR(ROUND(VLOOKUP($A81,'2.7 Työpaikkakysely'!A:G,COLUMN('2.7 Työpaikkakysely'!F:F),FALSE),1),0)</f>
        <v>1012142</v>
      </c>
      <c r="AC81" s="13">
        <f>IFERROR(Ohj.lask.[[#This Row],[Pisteet 7]]/Ohj.lask.[[#Totals],[Pisteet 7]],0)</f>
        <v>5.294612694050683E-3</v>
      </c>
      <c r="AD81" s="20">
        <f>ROUND(IFERROR('1.1 Jakotaulu'!M$22*Ohj.lask.[[#This Row],[%-osuus 7]],0),0)</f>
        <v>40661</v>
      </c>
      <c r="AE81" s="16">
        <f>IFERROR(Ohj.lask.[[#This Row],[Jaettava € 8]]/Ohj.lask.[[#Totals],[Jaettava € 8]],"")</f>
        <v>9.5605321879139288E-4</v>
      </c>
      <c r="AF81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1929324</v>
      </c>
      <c r="AG81" s="105">
        <v>0</v>
      </c>
      <c r="AH81" s="105">
        <v>0</v>
      </c>
      <c r="AI81" s="105">
        <v>0</v>
      </c>
      <c r="AJ81" s="105">
        <v>0</v>
      </c>
      <c r="AK81" s="105">
        <v>0</v>
      </c>
      <c r="AL81" s="105">
        <v>0</v>
      </c>
      <c r="AM81" s="105">
        <v>7000</v>
      </c>
      <c r="AN81" s="105">
        <v>0</v>
      </c>
      <c r="AO81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7000</v>
      </c>
      <c r="AP81" s="14">
        <f>Ohj.lask.[[#This Row],[Jaettava € 1]]+Ohj.lask.[[#This Row],[Harkinnanvarainen korotus 9, €]]</f>
        <v>1140184</v>
      </c>
      <c r="AQ81" s="105">
        <f>Ohj.lask.[[#This Row],[Jaettava € 2]]</f>
        <v>474142</v>
      </c>
      <c r="AR81" s="14">
        <f>Ohj.lask.[[#This Row],[Jaettava € 3]]+Ohj.lask.[[#This Row],[Jaettava € 4]]+Ohj.lask.[[#This Row],[Jaettava € 5]]+Ohj.lask.[[#This Row],[Jaettava € 6]]+Ohj.lask.[[#This Row],[Jaettava € 7]]</f>
        <v>321998</v>
      </c>
      <c r="AS81" s="37">
        <f>Ohj.lask.[[#This Row],[Jaettava € 8]]+Ohj.lask.[[#This Row],[Harkinnanvarainen korotus 9, €]]</f>
        <v>1936324</v>
      </c>
      <c r="AT81" s="37">
        <v>75582</v>
      </c>
      <c r="AU81" s="20">
        <f>Ohj.lask.[[#This Row],[Perus-, suoritus- ja vaikuttavuusrahoitus yhteensä, €]]+Ohj.lask.[[#This Row],[Alv-korvaus, €]]</f>
        <v>2011906</v>
      </c>
    </row>
    <row r="82" spans="1:47" ht="13" x14ac:dyDescent="0.3">
      <c r="A82" s="7" t="s">
        <v>290</v>
      </c>
      <c r="B82" s="11" t="s">
        <v>461</v>
      </c>
      <c r="C82" s="11" t="s">
        <v>180</v>
      </c>
      <c r="D82" s="11" t="s">
        <v>337</v>
      </c>
      <c r="E82" s="11" t="s">
        <v>388</v>
      </c>
      <c r="F82" s="109">
        <v>664</v>
      </c>
      <c r="G82" s="114">
        <f>Ohj.lask.[[#This Row],[Tavoitteelliset opiskelija-vuodet]]-Ohj.lask.[[#This Row],[Järjestämisluvan opisk.vuosien vähimmäismäärä]]</f>
        <v>191</v>
      </c>
      <c r="H82" s="36">
        <v>855</v>
      </c>
      <c r="I82" s="12">
        <f>IFERROR(VLOOKUP($A82,'2.1 Toteut. op.vuodet'!$A:$T,COLUMN('2.1 Toteut. op.vuodet'!S:S),FALSE),0)</f>
        <v>0.82181379268829746</v>
      </c>
      <c r="J82" s="78">
        <f t="shared" si="2"/>
        <v>702.7</v>
      </c>
      <c r="K82" s="13">
        <f>IFERROR(Ohj.lask.[[#This Row],[Painotetut opiskelija-vuodet]]/Ohj.lask.[[#Totals],[Painotetut opiskelija-vuodet]],0)</f>
        <v>3.2528913561136017E-3</v>
      </c>
      <c r="L82" s="14">
        <f>ROUND(IFERROR('1.1 Jakotaulu'!L$13*Ohj.lask.[[#This Row],[%-osuus 1]],0),0)</f>
        <v>4565875</v>
      </c>
      <c r="M82" s="157">
        <f>IFERROR(ROUND(VLOOKUP($A82,'2.2 Tutk. ja osien pain. pist.'!$A:$Q,COLUMN('2.2 Tutk. ja osien pain. pist.'!O:O),FALSE),1),0)</f>
        <v>63189.2</v>
      </c>
      <c r="N82" s="13">
        <f>IFERROR(Ohj.lask.[[#This Row],[Painotetut pisteet 2]]/Ohj.lask.[[#Totals],[Painotetut pisteet 2]],0)</f>
        <v>4.0691611341623973E-3</v>
      </c>
      <c r="O82" s="20">
        <f>ROUND(IFERROR('1.1 Jakotaulu'!K$14*Ohj.lask.[[#This Row],[%-osuus 2]],0),0)</f>
        <v>1666655</v>
      </c>
      <c r="P82" s="158">
        <f>IFERROR(ROUND(VLOOKUP($A82,'2.3 Työll. ja jatko-opisk.'!$A:$Z,COLUMN('2.3 Työll. ja jatko-opisk.'!M:M),FALSE),1),0)</f>
        <v>1812.9</v>
      </c>
      <c r="Q82" s="13">
        <f>IFERROR(Ohj.lask.[[#This Row],[Painotetut pisteet 3]]/Ohj.lask.[[#Totals],[Painotetut pisteet 3]],0)</f>
        <v>5.8209819282737125E-3</v>
      </c>
      <c r="R82" s="14">
        <f>ROUND(IFERROR('1.1 Jakotaulu'!L$16*Ohj.lask.[[#This Row],[%-osuus 3]],0),0)</f>
        <v>834459</v>
      </c>
      <c r="S82" s="157">
        <f>IFERROR(ROUND(VLOOKUP($A82,'2.4 Aloittaneet palaute'!$A:$J,COLUMN('2.4 Aloittaneet palaute'!I:I),FALSE),1),0)</f>
        <v>7184.1</v>
      </c>
      <c r="T82" s="17">
        <f>IFERROR(Ohj.lask.[[#This Row],[Painotetut pisteet 4]]/Ohj.lask.[[#Totals],[Painotetut pisteet 4]],0)</f>
        <v>4.5803468620852789E-3</v>
      </c>
      <c r="U82" s="20">
        <f>ROUND(IFERROR('1.1 Jakotaulu'!M$18*Ohj.lask.[[#This Row],[%-osuus 4]],0),0)</f>
        <v>35176</v>
      </c>
      <c r="V82" s="157">
        <f>IFERROR(ROUND(VLOOKUP($A82,'2.5 Päättäneet palaute'!$A:$Z,COLUMN('2.5 Päättäneet palaute'!Y:Y),FALSE),1),0)</f>
        <v>53233.599999999999</v>
      </c>
      <c r="W82" s="17">
        <f>IFERROR(Ohj.lask.[[#This Row],[Painotetut pisteet 5]]/Ohj.lask.[[#Totals],[Painotetut pisteet 5]],0)</f>
        <v>5.594023998200701E-3</v>
      </c>
      <c r="X82" s="20">
        <f>ROUND(IFERROR('1.1 Jakotaulu'!M$19*Ohj.lask.[[#This Row],[%-osuus 5]],0),0)</f>
        <v>128881</v>
      </c>
      <c r="Y82" s="157">
        <f>IFERROR(ROUND(VLOOKUP($A82,'2.6 Työpaikkaohjaajakysely'!A:I,COLUMN('2.6 Työpaikkaohjaajakysely'!H:H),FALSE),1),0)</f>
        <v>2583955.4</v>
      </c>
      <c r="Z82" s="13">
        <f>IFERROR(Ohj.lask.[[#This Row],[Painotetut pisteet 6]]/Ohj.lask.[[#Totals],[Painotetut pisteet 6]],0)</f>
        <v>6.4668687378792011E-3</v>
      </c>
      <c r="AA82" s="20">
        <f>ROUND(IFERROR('1.1 Jakotaulu'!M$21*Ohj.lask.[[#This Row],[%-osuus 6]],0),0)</f>
        <v>148990</v>
      </c>
      <c r="AB82" s="157">
        <f>IFERROR(ROUND(VLOOKUP($A82,'2.7 Työpaikkakysely'!A:G,COLUMN('2.7 Työpaikkakysely'!F:F),FALSE),1),0)</f>
        <v>1402623</v>
      </c>
      <c r="AC82" s="13">
        <f>IFERROR(Ohj.lask.[[#This Row],[Pisteet 7]]/Ohj.lask.[[#Totals],[Pisteet 7]],0)</f>
        <v>7.3372565714765825E-3</v>
      </c>
      <c r="AD82" s="20">
        <f>ROUND(IFERROR('1.1 Jakotaulu'!M$22*Ohj.lask.[[#This Row],[%-osuus 7]],0),0)</f>
        <v>56348</v>
      </c>
      <c r="AE82" s="16">
        <f>IFERROR(Ohj.lask.[[#This Row],[Jaettava € 8]]/Ohj.lask.[[#Totals],[Jaettava € 8]],"")</f>
        <v>3.6850103245327447E-3</v>
      </c>
      <c r="AF82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7436384</v>
      </c>
      <c r="AG82" s="105">
        <v>0</v>
      </c>
      <c r="AH82" s="105">
        <v>0</v>
      </c>
      <c r="AI82" s="105">
        <v>0</v>
      </c>
      <c r="AJ82" s="105">
        <v>0</v>
      </c>
      <c r="AK82" s="105">
        <v>0</v>
      </c>
      <c r="AL82" s="105">
        <v>0</v>
      </c>
      <c r="AM82" s="105">
        <v>0</v>
      </c>
      <c r="AN82" s="105">
        <v>0</v>
      </c>
      <c r="AO82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0</v>
      </c>
      <c r="AP82" s="14">
        <f>Ohj.lask.[[#This Row],[Jaettava € 1]]+Ohj.lask.[[#This Row],[Harkinnanvarainen korotus 9, €]]</f>
        <v>4565875</v>
      </c>
      <c r="AQ82" s="105">
        <f>Ohj.lask.[[#This Row],[Jaettava € 2]]</f>
        <v>1666655</v>
      </c>
      <c r="AR82" s="14">
        <f>Ohj.lask.[[#This Row],[Jaettava € 3]]+Ohj.lask.[[#This Row],[Jaettava € 4]]+Ohj.lask.[[#This Row],[Jaettava € 5]]+Ohj.lask.[[#This Row],[Jaettava € 6]]+Ohj.lask.[[#This Row],[Jaettava € 7]]</f>
        <v>1203854</v>
      </c>
      <c r="AS82" s="37">
        <f>Ohj.lask.[[#This Row],[Jaettava € 8]]+Ohj.lask.[[#This Row],[Harkinnanvarainen korotus 9, €]]</f>
        <v>7436384</v>
      </c>
      <c r="AT82" s="37">
        <v>360016</v>
      </c>
      <c r="AU82" s="20">
        <f>Ohj.lask.[[#This Row],[Perus-, suoritus- ja vaikuttavuusrahoitus yhteensä, €]]+Ohj.lask.[[#This Row],[Alv-korvaus, €]]</f>
        <v>7796400</v>
      </c>
    </row>
    <row r="83" spans="1:47" ht="13" x14ac:dyDescent="0.3">
      <c r="A83" s="7" t="s">
        <v>257</v>
      </c>
      <c r="B83" s="11" t="s">
        <v>149</v>
      </c>
      <c r="C83" s="11" t="s">
        <v>194</v>
      </c>
      <c r="D83" s="11" t="s">
        <v>337</v>
      </c>
      <c r="E83" s="11" t="s">
        <v>388</v>
      </c>
      <c r="F83" s="109">
        <v>0</v>
      </c>
      <c r="G83" s="114">
        <f>Ohj.lask.[[#This Row],[Tavoitteelliset opiskelija-vuodet]]-Ohj.lask.[[#This Row],[Järjestämisluvan opisk.vuosien vähimmäismäärä]]</f>
        <v>0</v>
      </c>
      <c r="H83" s="36">
        <v>0</v>
      </c>
      <c r="I83" s="12">
        <f>IFERROR(VLOOKUP($A83,'2.1 Toteut. op.vuodet'!$A:$T,COLUMN('2.1 Toteut. op.vuodet'!S:S),FALSE),0)</f>
        <v>0.90474497913316332</v>
      </c>
      <c r="J83" s="78">
        <f t="shared" si="2"/>
        <v>0</v>
      </c>
      <c r="K83" s="13">
        <f>IFERROR(Ohj.lask.[[#This Row],[Painotetut opiskelija-vuodet]]/Ohj.lask.[[#Totals],[Painotetut opiskelija-vuodet]],0)</f>
        <v>0</v>
      </c>
      <c r="L83" s="14">
        <f>ROUND(IFERROR('1.1 Jakotaulu'!L$13*Ohj.lask.[[#This Row],[%-osuus 1]],0),0)</f>
        <v>0</v>
      </c>
      <c r="M83" s="157">
        <f>IFERROR(ROUND(VLOOKUP($A83,'2.2 Tutk. ja osien pain. pist.'!$A:$Q,COLUMN('2.2 Tutk. ja osien pain. pist.'!O:O),FALSE),1),0)</f>
        <v>0</v>
      </c>
      <c r="N83" s="13">
        <f>IFERROR(Ohj.lask.[[#This Row],[Painotetut pisteet 2]]/Ohj.lask.[[#Totals],[Painotetut pisteet 2]],0)</f>
        <v>0</v>
      </c>
      <c r="O83" s="20">
        <f>ROUND(IFERROR('1.1 Jakotaulu'!K$14*Ohj.lask.[[#This Row],[%-osuus 2]],0),0)</f>
        <v>0</v>
      </c>
      <c r="P83" s="158">
        <f>IFERROR(ROUND(VLOOKUP($A83,'2.3 Työll. ja jatko-opisk.'!$A:$Z,COLUMN('2.3 Työll. ja jatko-opisk.'!M:M),FALSE),1),0)</f>
        <v>4</v>
      </c>
      <c r="Q83" s="13">
        <f>IFERROR(Ohj.lask.[[#This Row],[Painotetut pisteet 3]]/Ohj.lask.[[#Totals],[Painotetut pisteet 3]],0)</f>
        <v>1.2843470524074605E-5</v>
      </c>
      <c r="R83" s="14">
        <f>ROUND(IFERROR('1.1 Jakotaulu'!L$16*Ohj.lask.[[#This Row],[%-osuus 3]],0),0)</f>
        <v>1841</v>
      </c>
      <c r="S83" s="157">
        <f>IFERROR(ROUND(VLOOKUP($A83,'2.4 Aloittaneet palaute'!$A:$J,COLUMN('2.4 Aloittaneet palaute'!I:I),FALSE),1),0)</f>
        <v>29.4</v>
      </c>
      <c r="T83" s="17">
        <f>IFERROR(Ohj.lask.[[#This Row],[Painotetut pisteet 4]]/Ohj.lask.[[#Totals],[Painotetut pisteet 4]],0)</f>
        <v>1.8744477073719351E-5</v>
      </c>
      <c r="U83" s="20">
        <f>ROUND(IFERROR('1.1 Jakotaulu'!M$18*Ohj.lask.[[#This Row],[%-osuus 4]],0),0)</f>
        <v>144</v>
      </c>
      <c r="V83" s="157">
        <f>IFERROR(ROUND(VLOOKUP($A83,'2.5 Päättäneet palaute'!$A:$Z,COLUMN('2.5 Päättäneet palaute'!Y:Y),FALSE),1),0)</f>
        <v>0</v>
      </c>
      <c r="W83" s="17">
        <f>IFERROR(Ohj.lask.[[#This Row],[Painotetut pisteet 5]]/Ohj.lask.[[#Totals],[Painotetut pisteet 5]],0)</f>
        <v>0</v>
      </c>
      <c r="X83" s="20">
        <f>ROUND(IFERROR('1.1 Jakotaulu'!M$19*Ohj.lask.[[#This Row],[%-osuus 5]],0),0)</f>
        <v>0</v>
      </c>
      <c r="Y83" s="157">
        <f>IFERROR(ROUND(VLOOKUP($A83,'2.6 Työpaikkaohjaajakysely'!A:I,COLUMN('2.6 Työpaikkaohjaajakysely'!H:H),FALSE),1),0)</f>
        <v>0</v>
      </c>
      <c r="Z83" s="13">
        <f>IFERROR(Ohj.lask.[[#This Row],[Painotetut pisteet 6]]/Ohj.lask.[[#Totals],[Painotetut pisteet 6]],0)</f>
        <v>0</v>
      </c>
      <c r="AA83" s="20">
        <f>ROUND(IFERROR('1.1 Jakotaulu'!M$21*Ohj.lask.[[#This Row],[%-osuus 6]],0),0)</f>
        <v>0</v>
      </c>
      <c r="AB83" s="157">
        <f>IFERROR(ROUND(VLOOKUP($A83,'2.7 Työpaikkakysely'!A:G,COLUMN('2.7 Työpaikkakysely'!F:F),FALSE),1),0)</f>
        <v>0</v>
      </c>
      <c r="AC83" s="13">
        <f>IFERROR(Ohj.lask.[[#This Row],[Pisteet 7]]/Ohj.lask.[[#Totals],[Pisteet 7]],0)</f>
        <v>0</v>
      </c>
      <c r="AD83" s="20">
        <f>ROUND(IFERROR('1.1 Jakotaulu'!M$22*Ohj.lask.[[#This Row],[%-osuus 7]],0),0)</f>
        <v>0</v>
      </c>
      <c r="AE83" s="16">
        <f>IFERROR(Ohj.lask.[[#This Row],[Jaettava € 8]]/Ohj.lask.[[#Totals],[Jaettava € 8]],"")</f>
        <v>9.8364278851085403E-7</v>
      </c>
      <c r="AF83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1985</v>
      </c>
      <c r="AG83" s="105">
        <v>0</v>
      </c>
      <c r="AH83" s="105">
        <v>0</v>
      </c>
      <c r="AI83" s="105">
        <v>0</v>
      </c>
      <c r="AJ83" s="105">
        <v>0</v>
      </c>
      <c r="AK83" s="105">
        <v>0</v>
      </c>
      <c r="AL83" s="105">
        <v>0</v>
      </c>
      <c r="AM83" s="105">
        <v>0</v>
      </c>
      <c r="AN83" s="105">
        <v>0</v>
      </c>
      <c r="AO83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0</v>
      </c>
      <c r="AP83" s="14">
        <f>Ohj.lask.[[#This Row],[Jaettava € 1]]+Ohj.lask.[[#This Row],[Harkinnanvarainen korotus 9, €]]</f>
        <v>0</v>
      </c>
      <c r="AQ83" s="105">
        <f>Ohj.lask.[[#This Row],[Jaettava € 2]]</f>
        <v>0</v>
      </c>
      <c r="AR83" s="14">
        <f>Ohj.lask.[[#This Row],[Jaettava € 3]]+Ohj.lask.[[#This Row],[Jaettava € 4]]+Ohj.lask.[[#This Row],[Jaettava € 5]]+Ohj.lask.[[#This Row],[Jaettava € 6]]+Ohj.lask.[[#This Row],[Jaettava € 7]]</f>
        <v>1985</v>
      </c>
      <c r="AS83" s="37">
        <f>Ohj.lask.[[#This Row],[Jaettava € 8]]+Ohj.lask.[[#This Row],[Harkinnanvarainen korotus 9, €]]</f>
        <v>1985</v>
      </c>
      <c r="AT83" s="37">
        <v>0</v>
      </c>
      <c r="AU83" s="20">
        <f>Ohj.lask.[[#This Row],[Perus-, suoritus- ja vaikuttavuusrahoitus yhteensä, €]]+Ohj.lask.[[#This Row],[Alv-korvaus, €]]</f>
        <v>1985</v>
      </c>
    </row>
    <row r="84" spans="1:47" ht="13" x14ac:dyDescent="0.3">
      <c r="A84" s="7" t="s">
        <v>255</v>
      </c>
      <c r="B84" s="11" t="s">
        <v>77</v>
      </c>
      <c r="C84" s="11" t="s">
        <v>186</v>
      </c>
      <c r="D84" s="11" t="s">
        <v>336</v>
      </c>
      <c r="E84" s="11" t="s">
        <v>389</v>
      </c>
      <c r="F84" s="109">
        <v>1164</v>
      </c>
      <c r="G84" s="114">
        <f>Ohj.lask.[[#This Row],[Tavoitteelliset opiskelija-vuodet]]-Ohj.lask.[[#This Row],[Järjestämisluvan opisk.vuosien vähimmäismäärä]]</f>
        <v>15</v>
      </c>
      <c r="H84" s="36">
        <v>1179</v>
      </c>
      <c r="I84" s="12">
        <f>IFERROR(VLOOKUP($A84,'2.1 Toteut. op.vuodet'!$A:$T,COLUMN('2.1 Toteut. op.vuodet'!S:S),FALSE),0)</f>
        <v>1.5336530743858017</v>
      </c>
      <c r="J84" s="78">
        <f t="shared" si="2"/>
        <v>1808.2</v>
      </c>
      <c r="K84" s="13">
        <f>IFERROR(Ohj.lask.[[#This Row],[Painotetut opiskelija-vuodet]]/Ohj.lask.[[#Totals],[Painotetut opiskelija-vuodet]],0)</f>
        <v>8.370397253628311E-3</v>
      </c>
      <c r="L84" s="14">
        <f>ROUND(IFERROR('1.1 Jakotaulu'!L$13*Ohj.lask.[[#This Row],[%-osuus 1]],0),0)</f>
        <v>11748991</v>
      </c>
      <c r="M84" s="157">
        <f>IFERROR(ROUND(VLOOKUP($A84,'2.2 Tutk. ja osien pain. pist.'!$A:$Q,COLUMN('2.2 Tutk. ja osien pain. pist.'!O:O),FALSE),1),0)</f>
        <v>106397.1</v>
      </c>
      <c r="N84" s="13">
        <f>IFERROR(Ohj.lask.[[#This Row],[Painotetut pisteet 2]]/Ohj.lask.[[#Totals],[Painotetut pisteet 2]],0)</f>
        <v>6.851597173371241E-3</v>
      </c>
      <c r="O84" s="20">
        <f>ROUND(IFERROR('1.1 Jakotaulu'!K$14*Ohj.lask.[[#This Row],[%-osuus 2]],0),0)</f>
        <v>2806291</v>
      </c>
      <c r="P84" s="158">
        <f>IFERROR(ROUND(VLOOKUP($A84,'2.3 Työll. ja jatko-opisk.'!$A:$Z,COLUMN('2.3 Työll. ja jatko-opisk.'!M:M),FALSE),1),0)</f>
        <v>2617.3000000000002</v>
      </c>
      <c r="Q84" s="13">
        <f>IFERROR(Ohj.lask.[[#This Row],[Painotetut pisteet 3]]/Ohj.lask.[[#Totals],[Painotetut pisteet 3]],0)</f>
        <v>8.4038038506651161E-3</v>
      </c>
      <c r="R84" s="14">
        <f>ROUND(IFERROR('1.1 Jakotaulu'!L$16*Ohj.lask.[[#This Row],[%-osuus 3]],0),0)</f>
        <v>1204716</v>
      </c>
      <c r="S84" s="157">
        <f>IFERROR(ROUND(VLOOKUP($A84,'2.4 Aloittaneet palaute'!$A:$J,COLUMN('2.4 Aloittaneet palaute'!I:I),FALSE),1),0)</f>
        <v>10278.6</v>
      </c>
      <c r="T84" s="17">
        <f>IFERROR(Ohj.lask.[[#This Row],[Painotetut pisteet 4]]/Ohj.lask.[[#Totals],[Painotetut pisteet 4]],0)</f>
        <v>6.5532987091813507E-3</v>
      </c>
      <c r="U84" s="20">
        <f>ROUND(IFERROR('1.1 Jakotaulu'!M$18*Ohj.lask.[[#This Row],[%-osuus 4]],0),0)</f>
        <v>50327</v>
      </c>
      <c r="V84" s="157">
        <f>IFERROR(ROUND(VLOOKUP($A84,'2.5 Päättäneet palaute'!$A:$Z,COLUMN('2.5 Päättäneet palaute'!Y:Y),FALSE),1),0)</f>
        <v>57277</v>
      </c>
      <c r="W84" s="17">
        <f>IFERROR(Ohj.lask.[[#This Row],[Painotetut pisteet 5]]/Ohj.lask.[[#Totals],[Painotetut pisteet 5]],0)</f>
        <v>6.0189224952838351E-3</v>
      </c>
      <c r="X84" s="20">
        <f>ROUND(IFERROR('1.1 Jakotaulu'!M$19*Ohj.lask.[[#This Row],[%-osuus 5]],0),0)</f>
        <v>138670</v>
      </c>
      <c r="Y84" s="157">
        <f>IFERROR(ROUND(VLOOKUP($A84,'2.6 Työpaikkaohjaajakysely'!A:I,COLUMN('2.6 Työpaikkaohjaajakysely'!H:H),FALSE),1),0)</f>
        <v>4064577.4</v>
      </c>
      <c r="Z84" s="13">
        <f>IFERROR(Ohj.lask.[[#This Row],[Painotetut pisteet 6]]/Ohj.lask.[[#Totals],[Painotetut pisteet 6]],0)</f>
        <v>1.0172423456206066E-2</v>
      </c>
      <c r="AA84" s="20">
        <f>ROUND(IFERROR('1.1 Jakotaulu'!M$21*Ohj.lask.[[#This Row],[%-osuus 6]],0),0)</f>
        <v>234362</v>
      </c>
      <c r="AB84" s="157">
        <f>IFERROR(ROUND(VLOOKUP($A84,'2.7 Työpaikkakysely'!A:G,COLUMN('2.7 Työpaikkakysely'!F:F),FALSE),1),0)</f>
        <v>1823367</v>
      </c>
      <c r="AC84" s="13">
        <f>IFERROR(Ohj.lask.[[#This Row],[Pisteet 7]]/Ohj.lask.[[#Totals],[Pisteet 7]],0)</f>
        <v>9.5382091288703681E-3</v>
      </c>
      <c r="AD84" s="20">
        <f>ROUND(IFERROR('1.1 Jakotaulu'!M$22*Ohj.lask.[[#This Row],[%-osuus 7]],0),0)</f>
        <v>73250</v>
      </c>
      <c r="AE84" s="16">
        <f>IFERROR(Ohj.lask.[[#This Row],[Jaettava € 8]]/Ohj.lask.[[#Totals],[Jaettava € 8]],"")</f>
        <v>8.0557653608085995E-3</v>
      </c>
      <c r="AF84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16256607</v>
      </c>
      <c r="AG84" s="105">
        <v>0</v>
      </c>
      <c r="AH84" s="105">
        <v>0</v>
      </c>
      <c r="AI84" s="105">
        <v>0</v>
      </c>
      <c r="AJ84" s="105">
        <v>0</v>
      </c>
      <c r="AK84" s="105">
        <v>0</v>
      </c>
      <c r="AL84" s="105">
        <v>0</v>
      </c>
      <c r="AM84" s="105">
        <v>27000</v>
      </c>
      <c r="AN84" s="105">
        <v>0</v>
      </c>
      <c r="AO84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27000</v>
      </c>
      <c r="AP84" s="14">
        <f>Ohj.lask.[[#This Row],[Jaettava € 1]]+Ohj.lask.[[#This Row],[Harkinnanvarainen korotus 9, €]]</f>
        <v>11775991</v>
      </c>
      <c r="AQ84" s="105">
        <f>Ohj.lask.[[#This Row],[Jaettava € 2]]</f>
        <v>2806291</v>
      </c>
      <c r="AR84" s="14">
        <f>Ohj.lask.[[#This Row],[Jaettava € 3]]+Ohj.lask.[[#This Row],[Jaettava € 4]]+Ohj.lask.[[#This Row],[Jaettava € 5]]+Ohj.lask.[[#This Row],[Jaettava € 6]]+Ohj.lask.[[#This Row],[Jaettava € 7]]</f>
        <v>1701325</v>
      </c>
      <c r="AS84" s="37">
        <f>Ohj.lask.[[#This Row],[Jaettava € 8]]+Ohj.lask.[[#This Row],[Harkinnanvarainen korotus 9, €]]</f>
        <v>16283607</v>
      </c>
      <c r="AT84" s="37">
        <v>0</v>
      </c>
      <c r="AU84" s="20">
        <f>Ohj.lask.[[#This Row],[Perus-, suoritus- ja vaikuttavuusrahoitus yhteensä, €]]+Ohj.lask.[[#This Row],[Alv-korvaus, €]]</f>
        <v>16283607</v>
      </c>
    </row>
    <row r="85" spans="1:47" ht="13" x14ac:dyDescent="0.3">
      <c r="A85" s="7" t="s">
        <v>254</v>
      </c>
      <c r="B85" s="11" t="s">
        <v>78</v>
      </c>
      <c r="C85" s="11" t="s">
        <v>187</v>
      </c>
      <c r="D85" s="11" t="s">
        <v>338</v>
      </c>
      <c r="E85" s="11" t="s">
        <v>388</v>
      </c>
      <c r="F85" s="109">
        <v>43</v>
      </c>
      <c r="G85" s="114">
        <f>Ohj.lask.[[#This Row],[Tavoitteelliset opiskelija-vuodet]]-Ohj.lask.[[#This Row],[Järjestämisluvan opisk.vuosien vähimmäismäärä]]</f>
        <v>0</v>
      </c>
      <c r="H85" s="36">
        <v>43</v>
      </c>
      <c r="I85" s="12">
        <f>IFERROR(VLOOKUP($A85,'2.1 Toteut. op.vuodet'!$A:$T,COLUMN('2.1 Toteut. op.vuodet'!S:S),FALSE),0)</f>
        <v>1.4558441312062895</v>
      </c>
      <c r="J85" s="78">
        <f t="shared" si="2"/>
        <v>62.6</v>
      </c>
      <c r="K85" s="13">
        <f>IFERROR(Ohj.lask.[[#This Row],[Painotetut opiskelija-vuodet]]/Ohj.lask.[[#Totals],[Painotetut opiskelija-vuodet]],0)</f>
        <v>2.8978368989997363E-4</v>
      </c>
      <c r="L85" s="14">
        <f>ROUND(IFERROR('1.1 Jakotaulu'!L$13*Ohj.lask.[[#This Row],[%-osuus 1]],0),0)</f>
        <v>406751</v>
      </c>
      <c r="M85" s="157">
        <f>IFERROR(ROUND(VLOOKUP($A85,'2.2 Tutk. ja osien pain. pist.'!$A:$Q,COLUMN('2.2 Tutk. ja osien pain. pist.'!O:O),FALSE),1),0)</f>
        <v>8264.2000000000007</v>
      </c>
      <c r="N85" s="13">
        <f>IFERROR(Ohj.lask.[[#This Row],[Painotetut pisteet 2]]/Ohj.lask.[[#Totals],[Painotetut pisteet 2]],0)</f>
        <v>5.3218526971293971E-4</v>
      </c>
      <c r="O85" s="20">
        <f>ROUND(IFERROR('1.1 Jakotaulu'!K$14*Ohj.lask.[[#This Row],[%-osuus 2]],0),0)</f>
        <v>217974</v>
      </c>
      <c r="P85" s="158">
        <f>IFERROR(ROUND(VLOOKUP($A85,'2.3 Työll. ja jatko-opisk.'!$A:$Z,COLUMN('2.3 Työll. ja jatko-opisk.'!M:M),FALSE),1),0)</f>
        <v>123.2</v>
      </c>
      <c r="Q85" s="13">
        <f>IFERROR(Ohj.lask.[[#This Row],[Painotetut pisteet 3]]/Ohj.lask.[[#Totals],[Painotetut pisteet 3]],0)</f>
        <v>3.9557889214149783E-4</v>
      </c>
      <c r="R85" s="14">
        <f>ROUND(IFERROR('1.1 Jakotaulu'!L$16*Ohj.lask.[[#This Row],[%-osuus 3]],0),0)</f>
        <v>56708</v>
      </c>
      <c r="S85" s="157">
        <f>IFERROR(ROUND(VLOOKUP($A85,'2.4 Aloittaneet palaute'!$A:$J,COLUMN('2.4 Aloittaneet palaute'!I:I),FALSE),1),0)</f>
        <v>394.7</v>
      </c>
      <c r="T85" s="17">
        <f>IFERROR(Ohj.lask.[[#This Row],[Painotetut pisteet 4]]/Ohj.lask.[[#Totals],[Painotetut pisteet 4]],0)</f>
        <v>2.5164779255091929E-4</v>
      </c>
      <c r="U85" s="20">
        <f>ROUND(IFERROR('1.1 Jakotaulu'!M$18*Ohj.lask.[[#This Row],[%-osuus 4]],0),0)</f>
        <v>1933</v>
      </c>
      <c r="V85" s="157">
        <f>IFERROR(ROUND(VLOOKUP($A85,'2.5 Päättäneet palaute'!$A:$Z,COLUMN('2.5 Päättäneet palaute'!Y:Y),FALSE),1),0)</f>
        <v>1808</v>
      </c>
      <c r="W85" s="17">
        <f>IFERROR(Ohj.lask.[[#This Row],[Painotetut pisteet 5]]/Ohj.lask.[[#Totals],[Painotetut pisteet 5]],0)</f>
        <v>1.8999269988779393E-4</v>
      </c>
      <c r="X85" s="20">
        <f>ROUND(IFERROR('1.1 Jakotaulu'!M$19*Ohj.lask.[[#This Row],[%-osuus 5]],0),0)</f>
        <v>4377</v>
      </c>
      <c r="Y85" s="157">
        <f>IFERROR(ROUND(VLOOKUP($A85,'2.6 Työpaikkaohjaajakysely'!A:I,COLUMN('2.6 Työpaikkaohjaajakysely'!H:H),FALSE),1),0)</f>
        <v>0</v>
      </c>
      <c r="Z85" s="13">
        <f>IFERROR(Ohj.lask.[[#This Row],[Painotetut pisteet 6]]/Ohj.lask.[[#Totals],[Painotetut pisteet 6]],0)</f>
        <v>0</v>
      </c>
      <c r="AA85" s="20">
        <f>ROUND(IFERROR('1.1 Jakotaulu'!M$21*Ohj.lask.[[#This Row],[%-osuus 6]],0),0)</f>
        <v>0</v>
      </c>
      <c r="AB85" s="157">
        <f>IFERROR(ROUND(VLOOKUP($A85,'2.7 Työpaikkakysely'!A:G,COLUMN('2.7 Työpaikkakysely'!F:F),FALSE),1),0)</f>
        <v>0</v>
      </c>
      <c r="AC85" s="13">
        <f>IFERROR(Ohj.lask.[[#This Row],[Pisteet 7]]/Ohj.lask.[[#Totals],[Pisteet 7]],0)</f>
        <v>0</v>
      </c>
      <c r="AD85" s="20">
        <f>ROUND(IFERROR('1.1 Jakotaulu'!M$22*Ohj.lask.[[#This Row],[%-osuus 7]],0),0)</f>
        <v>0</v>
      </c>
      <c r="AE85" s="16">
        <f>IFERROR(Ohj.lask.[[#This Row],[Jaettava € 8]]/Ohj.lask.[[#Totals],[Jaettava € 8]],"")</f>
        <v>3.4080274171225202E-4</v>
      </c>
      <c r="AF85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687743</v>
      </c>
      <c r="AG85" s="105">
        <v>0</v>
      </c>
      <c r="AH85" s="105">
        <v>0</v>
      </c>
      <c r="AI85" s="105">
        <v>0</v>
      </c>
      <c r="AJ85" s="105">
        <v>0</v>
      </c>
      <c r="AK85" s="105">
        <v>0</v>
      </c>
      <c r="AL85" s="105">
        <v>0</v>
      </c>
      <c r="AM85" s="105">
        <v>0</v>
      </c>
      <c r="AN85" s="105">
        <v>0</v>
      </c>
      <c r="AO85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0</v>
      </c>
      <c r="AP85" s="14">
        <f>Ohj.lask.[[#This Row],[Jaettava € 1]]+Ohj.lask.[[#This Row],[Harkinnanvarainen korotus 9, €]]</f>
        <v>406751</v>
      </c>
      <c r="AQ85" s="105">
        <f>Ohj.lask.[[#This Row],[Jaettava € 2]]</f>
        <v>217974</v>
      </c>
      <c r="AR85" s="14">
        <f>Ohj.lask.[[#This Row],[Jaettava € 3]]+Ohj.lask.[[#This Row],[Jaettava € 4]]+Ohj.lask.[[#This Row],[Jaettava € 5]]+Ohj.lask.[[#This Row],[Jaettava € 6]]+Ohj.lask.[[#This Row],[Jaettava € 7]]</f>
        <v>63018</v>
      </c>
      <c r="AS85" s="37">
        <f>Ohj.lask.[[#This Row],[Jaettava € 8]]+Ohj.lask.[[#This Row],[Harkinnanvarainen korotus 9, €]]</f>
        <v>687743</v>
      </c>
      <c r="AT85" s="37">
        <v>0</v>
      </c>
      <c r="AU85" s="20">
        <f>Ohj.lask.[[#This Row],[Perus-, suoritus- ja vaikuttavuusrahoitus yhteensä, €]]+Ohj.lask.[[#This Row],[Alv-korvaus, €]]</f>
        <v>687743</v>
      </c>
    </row>
    <row r="86" spans="1:47" ht="13" x14ac:dyDescent="0.3">
      <c r="A86" s="7" t="s">
        <v>250</v>
      </c>
      <c r="B86" s="11" t="s">
        <v>79</v>
      </c>
      <c r="C86" s="11" t="s">
        <v>180</v>
      </c>
      <c r="D86" s="11" t="s">
        <v>337</v>
      </c>
      <c r="E86" s="11" t="s">
        <v>388</v>
      </c>
      <c r="F86" s="109">
        <v>45</v>
      </c>
      <c r="G86" s="114">
        <f>Ohj.lask.[[#This Row],[Tavoitteelliset opiskelija-vuodet]]-Ohj.lask.[[#This Row],[Järjestämisluvan opisk.vuosien vähimmäismäärä]]</f>
        <v>0</v>
      </c>
      <c r="H86" s="36">
        <v>45</v>
      </c>
      <c r="I86" s="12">
        <f>IFERROR(VLOOKUP($A86,'2.1 Toteut. op.vuodet'!$A:$T,COLUMN('2.1 Toteut. op.vuodet'!S:S),FALSE),0)</f>
        <v>1.4878100110458672</v>
      </c>
      <c r="J86" s="78">
        <f t="shared" si="2"/>
        <v>67</v>
      </c>
      <c r="K86" s="13">
        <f>IFERROR(Ohj.lask.[[#This Row],[Painotetut opiskelija-vuodet]]/Ohj.lask.[[#Totals],[Painotetut opiskelija-vuodet]],0)</f>
        <v>3.1015187257664906E-4</v>
      </c>
      <c r="L86" s="14">
        <f>ROUND(IFERROR('1.1 Jakotaulu'!L$13*Ohj.lask.[[#This Row],[%-osuus 1]],0),0)</f>
        <v>435340</v>
      </c>
      <c r="M86" s="157">
        <f>IFERROR(ROUND(VLOOKUP($A86,'2.2 Tutk. ja osien pain. pist.'!$A:$Q,COLUMN('2.2 Tutk. ja osien pain. pist.'!O:O),FALSE),1),0)</f>
        <v>2597.3000000000002</v>
      </c>
      <c r="N86" s="13">
        <f>IFERROR(Ohj.lask.[[#This Row],[Painotetut pisteet 2]]/Ohj.lask.[[#Totals],[Painotetut pisteet 2]],0)</f>
        <v>1.6725693969475789E-4</v>
      </c>
      <c r="O86" s="20">
        <f>ROUND(IFERROR('1.1 Jakotaulu'!K$14*Ohj.lask.[[#This Row],[%-osuus 2]],0),0)</f>
        <v>68505</v>
      </c>
      <c r="P86" s="158">
        <f>IFERROR(ROUND(VLOOKUP($A86,'2.3 Työll. ja jatko-opisk.'!$A:$Z,COLUMN('2.3 Työll. ja jatko-opisk.'!M:M),FALSE),1),0)</f>
        <v>86.7</v>
      </c>
      <c r="Q86" s="13">
        <f>IFERROR(Ohj.lask.[[#This Row],[Painotetut pisteet 3]]/Ohj.lask.[[#Totals],[Painotetut pisteet 3]],0)</f>
        <v>2.7838222360931708E-4</v>
      </c>
      <c r="R86" s="14">
        <f>ROUND(IFERROR('1.1 Jakotaulu'!L$16*Ohj.lask.[[#This Row],[%-osuus 3]],0),0)</f>
        <v>39907</v>
      </c>
      <c r="S86" s="157">
        <f>IFERROR(ROUND(VLOOKUP($A86,'2.4 Aloittaneet palaute'!$A:$J,COLUMN('2.4 Aloittaneet palaute'!I:I),FALSE),1),0)</f>
        <v>0</v>
      </c>
      <c r="T86" s="17">
        <f>IFERROR(Ohj.lask.[[#This Row],[Painotetut pisteet 4]]/Ohj.lask.[[#Totals],[Painotetut pisteet 4]],0)</f>
        <v>0</v>
      </c>
      <c r="U86" s="20">
        <f>ROUND(IFERROR('1.1 Jakotaulu'!M$18*Ohj.lask.[[#This Row],[%-osuus 4]],0),0)</f>
        <v>0</v>
      </c>
      <c r="V86" s="157">
        <f>IFERROR(ROUND(VLOOKUP($A86,'2.5 Päättäneet palaute'!$A:$Z,COLUMN('2.5 Päättäneet palaute'!Y:Y),FALSE),1),0)</f>
        <v>1761.4</v>
      </c>
      <c r="W86" s="17">
        <f>IFERROR(Ohj.lask.[[#This Row],[Painotetut pisteet 5]]/Ohj.lask.[[#Totals],[Painotetut pisteet 5]],0)</f>
        <v>1.8509576414953553E-4</v>
      </c>
      <c r="X86" s="20">
        <f>ROUND(IFERROR('1.1 Jakotaulu'!M$19*Ohj.lask.[[#This Row],[%-osuus 5]],0),0)</f>
        <v>4264</v>
      </c>
      <c r="Y86" s="157">
        <f>IFERROR(ROUND(VLOOKUP($A86,'2.6 Työpaikkaohjaajakysely'!A:I,COLUMN('2.6 Työpaikkaohjaajakysely'!H:H),FALSE),1),0)</f>
        <v>0</v>
      </c>
      <c r="Z86" s="13">
        <f>IFERROR(Ohj.lask.[[#This Row],[Painotetut pisteet 6]]/Ohj.lask.[[#Totals],[Painotetut pisteet 6]],0)</f>
        <v>0</v>
      </c>
      <c r="AA86" s="20">
        <f>ROUND(IFERROR('1.1 Jakotaulu'!M$21*Ohj.lask.[[#This Row],[%-osuus 6]],0),0)</f>
        <v>0</v>
      </c>
      <c r="AB86" s="157">
        <f>IFERROR(ROUND(VLOOKUP($A86,'2.7 Työpaikkakysely'!A:G,COLUMN('2.7 Työpaikkakysely'!F:F),FALSE),1),0)</f>
        <v>0</v>
      </c>
      <c r="AC86" s="13">
        <f>IFERROR(Ohj.lask.[[#This Row],[Pisteet 7]]/Ohj.lask.[[#Totals],[Pisteet 7]],0)</f>
        <v>0</v>
      </c>
      <c r="AD86" s="20">
        <f>ROUND(IFERROR('1.1 Jakotaulu'!M$22*Ohj.lask.[[#This Row],[%-osuus 7]],0),0)</f>
        <v>0</v>
      </c>
      <c r="AE86" s="16">
        <f>IFERROR(Ohj.lask.[[#This Row],[Jaettava € 8]]/Ohj.lask.[[#Totals],[Jaettava € 8]],"")</f>
        <v>2.7156271354587618E-4</v>
      </c>
      <c r="AF86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548016</v>
      </c>
      <c r="AG86" s="105">
        <v>0</v>
      </c>
      <c r="AH86" s="105">
        <v>0</v>
      </c>
      <c r="AI86" s="105">
        <v>0</v>
      </c>
      <c r="AJ86" s="105">
        <v>0</v>
      </c>
      <c r="AK86" s="105">
        <v>0</v>
      </c>
      <c r="AL86" s="105">
        <v>0</v>
      </c>
      <c r="AM86" s="105">
        <v>0</v>
      </c>
      <c r="AN86" s="105">
        <v>0</v>
      </c>
      <c r="AO86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0</v>
      </c>
      <c r="AP86" s="14">
        <f>Ohj.lask.[[#This Row],[Jaettava € 1]]+Ohj.lask.[[#This Row],[Harkinnanvarainen korotus 9, €]]</f>
        <v>435340</v>
      </c>
      <c r="AQ86" s="105">
        <f>Ohj.lask.[[#This Row],[Jaettava € 2]]</f>
        <v>68505</v>
      </c>
      <c r="AR86" s="14">
        <f>Ohj.lask.[[#This Row],[Jaettava € 3]]+Ohj.lask.[[#This Row],[Jaettava € 4]]+Ohj.lask.[[#This Row],[Jaettava € 5]]+Ohj.lask.[[#This Row],[Jaettava € 6]]+Ohj.lask.[[#This Row],[Jaettava € 7]]</f>
        <v>44171</v>
      </c>
      <c r="AS86" s="37">
        <f>Ohj.lask.[[#This Row],[Jaettava € 8]]+Ohj.lask.[[#This Row],[Harkinnanvarainen korotus 9, €]]</f>
        <v>548016</v>
      </c>
      <c r="AT86" s="37">
        <v>39040</v>
      </c>
      <c r="AU86" s="20">
        <f>Ohj.lask.[[#This Row],[Perus-, suoritus- ja vaikuttavuusrahoitus yhteensä, €]]+Ohj.lask.[[#This Row],[Alv-korvaus, €]]</f>
        <v>587056</v>
      </c>
    </row>
    <row r="87" spans="1:47" ht="13" x14ac:dyDescent="0.3">
      <c r="A87" s="7" t="s">
        <v>249</v>
      </c>
      <c r="B87" s="11" t="s">
        <v>80</v>
      </c>
      <c r="C87" s="11" t="s">
        <v>180</v>
      </c>
      <c r="D87" s="11" t="s">
        <v>337</v>
      </c>
      <c r="E87" s="11" t="s">
        <v>388</v>
      </c>
      <c r="F87" s="109">
        <v>70</v>
      </c>
      <c r="G87" s="114">
        <f>Ohj.lask.[[#This Row],[Tavoitteelliset opiskelija-vuodet]]-Ohj.lask.[[#This Row],[Järjestämisluvan opisk.vuosien vähimmäismäärä]]</f>
        <v>0</v>
      </c>
      <c r="H87" s="36">
        <v>70</v>
      </c>
      <c r="I87" s="12">
        <f>IFERROR(VLOOKUP($A87,'2.1 Toteut. op.vuodet'!$A:$T,COLUMN('2.1 Toteut. op.vuodet'!S:S),FALSE),0)</f>
        <v>0.91754754165892849</v>
      </c>
      <c r="J87" s="78">
        <f t="shared" si="2"/>
        <v>64.2</v>
      </c>
      <c r="K87" s="13">
        <f>IFERROR(Ohj.lask.[[#This Row],[Painotetut opiskelija-vuodet]]/Ohj.lask.[[#Totals],[Painotetut opiskelija-vuodet]],0)</f>
        <v>2.9719030178240106E-4</v>
      </c>
      <c r="L87" s="14">
        <f>ROUND(IFERROR('1.1 Jakotaulu'!L$13*Ohj.lask.[[#This Row],[%-osuus 1]],0),0)</f>
        <v>417147</v>
      </c>
      <c r="M87" s="157">
        <f>IFERROR(ROUND(VLOOKUP($A87,'2.2 Tutk. ja osien pain. pist.'!$A:$Q,COLUMN('2.2 Tutk. ja osien pain. pist.'!O:O),FALSE),1),0)</f>
        <v>6743.1</v>
      </c>
      <c r="N87" s="13">
        <f>IFERROR(Ohj.lask.[[#This Row],[Painotetut pisteet 2]]/Ohj.lask.[[#Totals],[Painotetut pisteet 2]],0)</f>
        <v>4.3423180612779498E-4</v>
      </c>
      <c r="O87" s="20">
        <f>ROUND(IFERROR('1.1 Jakotaulu'!K$14*Ohj.lask.[[#This Row],[%-osuus 2]],0),0)</f>
        <v>177854</v>
      </c>
      <c r="P87" s="158">
        <f>IFERROR(ROUND(VLOOKUP($A87,'2.3 Työll. ja jatko-opisk.'!$A:$Z,COLUMN('2.3 Työll. ja jatko-opisk.'!M:M),FALSE),1),0)</f>
        <v>231.9</v>
      </c>
      <c r="Q87" s="13">
        <f>IFERROR(Ohj.lask.[[#This Row],[Painotetut pisteet 3]]/Ohj.lask.[[#Totals],[Painotetut pisteet 3]],0)</f>
        <v>7.4460020363322518E-4</v>
      </c>
      <c r="R87" s="14">
        <f>ROUND(IFERROR('1.1 Jakotaulu'!L$16*Ohj.lask.[[#This Row],[%-osuus 3]],0),0)</f>
        <v>106741</v>
      </c>
      <c r="S87" s="157">
        <f>IFERROR(ROUND(VLOOKUP($A87,'2.4 Aloittaneet palaute'!$A:$J,COLUMN('2.4 Aloittaneet palaute'!I:I),FALSE),1),0)</f>
        <v>1213.3</v>
      </c>
      <c r="T87" s="17">
        <f>IFERROR(Ohj.lask.[[#This Row],[Painotetut pisteet 4]]/Ohj.lask.[[#Totals],[Painotetut pisteet 4]],0)</f>
        <v>7.7356034127699621E-4</v>
      </c>
      <c r="U87" s="20">
        <f>ROUND(IFERROR('1.1 Jakotaulu'!M$18*Ohj.lask.[[#This Row],[%-osuus 4]],0),0)</f>
        <v>5941</v>
      </c>
      <c r="V87" s="157">
        <f>IFERROR(ROUND(VLOOKUP($A87,'2.5 Päättäneet palaute'!$A:$Z,COLUMN('2.5 Päättäneet palaute'!Y:Y),FALSE),1),0)</f>
        <v>11590.1</v>
      </c>
      <c r="W87" s="17">
        <f>IFERROR(Ohj.lask.[[#This Row],[Painotetut pisteet 5]]/Ohj.lask.[[#Totals],[Painotetut pisteet 5]],0)</f>
        <v>1.2179393755362392E-3</v>
      </c>
      <c r="X87" s="20">
        <f>ROUND(IFERROR('1.1 Jakotaulu'!M$19*Ohj.lask.[[#This Row],[%-osuus 5]],0),0)</f>
        <v>28060</v>
      </c>
      <c r="Y87" s="157">
        <f>IFERROR(ROUND(VLOOKUP($A87,'2.6 Työpaikkaohjaajakysely'!A:I,COLUMN('2.6 Työpaikkaohjaajakysely'!H:H),FALSE),1),0)</f>
        <v>70337.7</v>
      </c>
      <c r="Z87" s="13">
        <f>IFERROR(Ohj.lask.[[#This Row],[Painotetut pisteet 6]]/Ohj.lask.[[#Totals],[Painotetut pisteet 6]],0)</f>
        <v>1.7603425865025607E-4</v>
      </c>
      <c r="AA87" s="20">
        <f>ROUND(IFERROR('1.1 Jakotaulu'!M$21*Ohj.lask.[[#This Row],[%-osuus 6]],0),0)</f>
        <v>4056</v>
      </c>
      <c r="AB87" s="157">
        <f>IFERROR(ROUND(VLOOKUP($A87,'2.7 Työpaikkakysely'!A:G,COLUMN('2.7 Työpaikkakysely'!F:F),FALSE),1),0)</f>
        <v>75702</v>
      </c>
      <c r="AC87" s="13">
        <f>IFERROR(Ohj.lask.[[#This Row],[Pisteet 7]]/Ohj.lask.[[#Totals],[Pisteet 7]],0)</f>
        <v>3.9600448372365221E-4</v>
      </c>
      <c r="AD87" s="20">
        <f>ROUND(IFERROR('1.1 Jakotaulu'!M$22*Ohj.lask.[[#This Row],[%-osuus 7]],0),0)</f>
        <v>3041</v>
      </c>
      <c r="AE87" s="16">
        <f>IFERROR(Ohj.lask.[[#This Row],[Jaettava € 8]]/Ohj.lask.[[#Totals],[Jaettava € 8]],"")</f>
        <v>3.6810539497098379E-4</v>
      </c>
      <c r="AF87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742840</v>
      </c>
      <c r="AG87" s="105">
        <v>0</v>
      </c>
      <c r="AH87" s="105">
        <v>0</v>
      </c>
      <c r="AI87" s="105">
        <v>0</v>
      </c>
      <c r="AJ87" s="105">
        <v>0</v>
      </c>
      <c r="AK87" s="105">
        <v>0</v>
      </c>
      <c r="AL87" s="105">
        <v>0</v>
      </c>
      <c r="AM87" s="105">
        <v>0</v>
      </c>
      <c r="AN87" s="105">
        <v>0</v>
      </c>
      <c r="AO87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0</v>
      </c>
      <c r="AP87" s="14">
        <f>Ohj.lask.[[#This Row],[Jaettava € 1]]+Ohj.lask.[[#This Row],[Harkinnanvarainen korotus 9, €]]</f>
        <v>417147</v>
      </c>
      <c r="AQ87" s="105">
        <f>Ohj.lask.[[#This Row],[Jaettava € 2]]</f>
        <v>177854</v>
      </c>
      <c r="AR87" s="14">
        <f>Ohj.lask.[[#This Row],[Jaettava € 3]]+Ohj.lask.[[#This Row],[Jaettava € 4]]+Ohj.lask.[[#This Row],[Jaettava € 5]]+Ohj.lask.[[#This Row],[Jaettava € 6]]+Ohj.lask.[[#This Row],[Jaettava € 7]]</f>
        <v>147839</v>
      </c>
      <c r="AS87" s="37">
        <f>Ohj.lask.[[#This Row],[Jaettava € 8]]+Ohj.lask.[[#This Row],[Harkinnanvarainen korotus 9, €]]</f>
        <v>742840</v>
      </c>
      <c r="AT87" s="37">
        <v>50823</v>
      </c>
      <c r="AU87" s="20">
        <f>Ohj.lask.[[#This Row],[Perus-, suoritus- ja vaikuttavuusrahoitus yhteensä, €]]+Ohj.lask.[[#This Row],[Alv-korvaus, €]]</f>
        <v>793663</v>
      </c>
    </row>
    <row r="88" spans="1:47" ht="13" x14ac:dyDescent="0.3">
      <c r="A88" s="7" t="s">
        <v>248</v>
      </c>
      <c r="B88" s="11" t="s">
        <v>81</v>
      </c>
      <c r="C88" s="11" t="s">
        <v>265</v>
      </c>
      <c r="D88" s="11" t="s">
        <v>337</v>
      </c>
      <c r="E88" s="11" t="s">
        <v>388</v>
      </c>
      <c r="F88" s="109">
        <v>47</v>
      </c>
      <c r="G88" s="114">
        <f>Ohj.lask.[[#This Row],[Tavoitteelliset opiskelija-vuodet]]-Ohj.lask.[[#This Row],[Järjestämisluvan opisk.vuosien vähimmäismäärä]]</f>
        <v>7</v>
      </c>
      <c r="H88" s="36">
        <v>54</v>
      </c>
      <c r="I88" s="12">
        <f>IFERROR(VLOOKUP($A88,'2.1 Toteut. op.vuodet'!$A:$T,COLUMN('2.1 Toteut. op.vuodet'!S:S),FALSE),0)</f>
        <v>0.82806152444202052</v>
      </c>
      <c r="J88" s="78">
        <f t="shared" si="2"/>
        <v>44.7</v>
      </c>
      <c r="K88" s="13">
        <f>IFERROR(Ohj.lask.[[#This Row],[Painotetut opiskelija-vuodet]]/Ohj.lask.[[#Totals],[Painotetut opiskelija-vuodet]],0)</f>
        <v>2.0692221946531664E-4</v>
      </c>
      <c r="L88" s="14">
        <f>ROUND(IFERROR('1.1 Jakotaulu'!L$13*Ohj.lask.[[#This Row],[%-osuus 1]],0),0)</f>
        <v>290443</v>
      </c>
      <c r="M88" s="157">
        <f>IFERROR(ROUND(VLOOKUP($A88,'2.2 Tutk. ja osien pain. pist.'!$A:$Q,COLUMN('2.2 Tutk. ja osien pain. pist.'!O:O),FALSE),1),0)</f>
        <v>4402.7</v>
      </c>
      <c r="N88" s="13">
        <f>IFERROR(Ohj.lask.[[#This Row],[Painotetut pisteet 2]]/Ohj.lask.[[#Totals],[Painotetut pisteet 2]],0)</f>
        <v>2.8351831840530957E-4</v>
      </c>
      <c r="O88" s="20">
        <f>ROUND(IFERROR('1.1 Jakotaulu'!K$14*Ohj.lask.[[#This Row],[%-osuus 2]],0),0)</f>
        <v>116124</v>
      </c>
      <c r="P88" s="158">
        <f>IFERROR(ROUND(VLOOKUP($A88,'2.3 Työll. ja jatko-opisk.'!$A:$Z,COLUMN('2.3 Työll. ja jatko-opisk.'!M:M),FALSE),1),0)</f>
        <v>145.6</v>
      </c>
      <c r="Q88" s="13">
        <f>IFERROR(Ohj.lask.[[#This Row],[Painotetut pisteet 3]]/Ohj.lask.[[#Totals],[Painotetut pisteet 3]],0)</f>
        <v>4.6750232707631559E-4</v>
      </c>
      <c r="R88" s="14">
        <f>ROUND(IFERROR('1.1 Jakotaulu'!L$16*Ohj.lask.[[#This Row],[%-osuus 3]],0),0)</f>
        <v>67018</v>
      </c>
      <c r="S88" s="157">
        <f>IFERROR(ROUND(VLOOKUP($A88,'2.4 Aloittaneet palaute'!$A:$J,COLUMN('2.4 Aloittaneet palaute'!I:I),FALSE),1),0)</f>
        <v>1496.3</v>
      </c>
      <c r="T88" s="17">
        <f>IFERROR(Ohj.lask.[[#This Row],[Painotetut pisteet 4]]/Ohj.lask.[[#Totals],[Painotetut pisteet 4]],0)</f>
        <v>9.5399187229273008E-4</v>
      </c>
      <c r="U88" s="20">
        <f>ROUND(IFERROR('1.1 Jakotaulu'!M$18*Ohj.lask.[[#This Row],[%-osuus 4]],0),0)</f>
        <v>7326</v>
      </c>
      <c r="V88" s="157">
        <f>IFERROR(ROUND(VLOOKUP($A88,'2.5 Päättäneet palaute'!$A:$Z,COLUMN('2.5 Päättäneet palaute'!Y:Y),FALSE),1),0)</f>
        <v>6210.5</v>
      </c>
      <c r="W88" s="17">
        <f>IFERROR(Ohj.lask.[[#This Row],[Painotetut pisteet 5]]/Ohj.lask.[[#Totals],[Painotetut pisteet 5]],0)</f>
        <v>6.5262702580373027E-4</v>
      </c>
      <c r="X88" s="20">
        <f>ROUND(IFERROR('1.1 Jakotaulu'!M$19*Ohj.lask.[[#This Row],[%-osuus 5]],0),0)</f>
        <v>15036</v>
      </c>
      <c r="Y88" s="157">
        <f>IFERROR(ROUND(VLOOKUP($A88,'2.6 Työpaikkaohjaajakysely'!A:I,COLUMN('2.6 Työpaikkaohjaajakysely'!H:H),FALSE),1),0)</f>
        <v>224929.8</v>
      </c>
      <c r="Z88" s="13">
        <f>IFERROR(Ohj.lask.[[#This Row],[Painotetut pisteet 6]]/Ohj.lask.[[#Totals],[Painotetut pisteet 6]],0)</f>
        <v>5.6293212020510155E-4</v>
      </c>
      <c r="AA88" s="20">
        <f>ROUND(IFERROR('1.1 Jakotaulu'!M$21*Ohj.lask.[[#This Row],[%-osuus 6]],0),0)</f>
        <v>12969</v>
      </c>
      <c r="AB88" s="157">
        <f>IFERROR(ROUND(VLOOKUP($A88,'2.7 Työpaikkakysely'!A:G,COLUMN('2.7 Työpaikkakysely'!F:F),FALSE),1),0)</f>
        <v>67382</v>
      </c>
      <c r="AC88" s="13">
        <f>IFERROR(Ohj.lask.[[#This Row],[Pisteet 7]]/Ohj.lask.[[#Totals],[Pisteet 7]],0)</f>
        <v>3.524817590323523E-4</v>
      </c>
      <c r="AD88" s="20">
        <f>ROUND(IFERROR('1.1 Jakotaulu'!M$22*Ohj.lask.[[#This Row],[%-osuus 7]],0),0)</f>
        <v>2707</v>
      </c>
      <c r="AE88" s="16">
        <f>IFERROR(Ohj.lask.[[#This Row],[Jaettava € 8]]/Ohj.lask.[[#Totals],[Jaettava € 8]],"")</f>
        <v>2.5352860170593886E-4</v>
      </c>
      <c r="AF88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511623</v>
      </c>
      <c r="AG88" s="105">
        <v>0</v>
      </c>
      <c r="AH88" s="105">
        <v>0</v>
      </c>
      <c r="AI88" s="105">
        <v>0</v>
      </c>
      <c r="AJ88" s="105">
        <v>0</v>
      </c>
      <c r="AK88" s="105">
        <v>0</v>
      </c>
      <c r="AL88" s="105">
        <v>0</v>
      </c>
      <c r="AM88" s="105">
        <v>5000</v>
      </c>
      <c r="AN88" s="105">
        <v>0</v>
      </c>
      <c r="AO88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5000</v>
      </c>
      <c r="AP88" s="14">
        <f>Ohj.lask.[[#This Row],[Jaettava € 1]]+Ohj.lask.[[#This Row],[Harkinnanvarainen korotus 9, €]]</f>
        <v>295443</v>
      </c>
      <c r="AQ88" s="105">
        <f>Ohj.lask.[[#This Row],[Jaettava € 2]]</f>
        <v>116124</v>
      </c>
      <c r="AR88" s="14">
        <f>Ohj.lask.[[#This Row],[Jaettava € 3]]+Ohj.lask.[[#This Row],[Jaettava € 4]]+Ohj.lask.[[#This Row],[Jaettava € 5]]+Ohj.lask.[[#This Row],[Jaettava € 6]]+Ohj.lask.[[#This Row],[Jaettava € 7]]</f>
        <v>105056</v>
      </c>
      <c r="AS88" s="37">
        <f>Ohj.lask.[[#This Row],[Jaettava € 8]]+Ohj.lask.[[#This Row],[Harkinnanvarainen korotus 9, €]]</f>
        <v>516623</v>
      </c>
      <c r="AT88" s="37">
        <v>39852</v>
      </c>
      <c r="AU88" s="20">
        <f>Ohj.lask.[[#This Row],[Perus-, suoritus- ja vaikuttavuusrahoitus yhteensä, €]]+Ohj.lask.[[#This Row],[Alv-korvaus, €]]</f>
        <v>556475</v>
      </c>
    </row>
    <row r="89" spans="1:47" ht="13" x14ac:dyDescent="0.3">
      <c r="A89" s="7" t="s">
        <v>247</v>
      </c>
      <c r="B89" s="11" t="s">
        <v>82</v>
      </c>
      <c r="C89" s="11" t="s">
        <v>194</v>
      </c>
      <c r="D89" s="11" t="s">
        <v>336</v>
      </c>
      <c r="E89" s="11" t="s">
        <v>388</v>
      </c>
      <c r="F89" s="109">
        <v>945</v>
      </c>
      <c r="G89" s="114">
        <f>Ohj.lask.[[#This Row],[Tavoitteelliset opiskelija-vuodet]]-Ohj.lask.[[#This Row],[Järjestämisluvan opisk.vuosien vähimmäismäärä]]</f>
        <v>43</v>
      </c>
      <c r="H89" s="36">
        <v>988</v>
      </c>
      <c r="I89" s="12">
        <f>IFERROR(VLOOKUP($A89,'2.1 Toteut. op.vuodet'!$A:$T,COLUMN('2.1 Toteut. op.vuodet'!S:S),FALSE),0)</f>
        <v>1.2416209744281084</v>
      </c>
      <c r="J89" s="78">
        <f t="shared" si="2"/>
        <v>1226.7</v>
      </c>
      <c r="K89" s="13">
        <f>IFERROR(Ohj.lask.[[#This Row],[Painotetut opiskelija-vuodet]]/Ohj.lask.[[#Totals],[Painotetut opiskelija-vuodet]],0)</f>
        <v>5.6785567476085883E-3</v>
      </c>
      <c r="L89" s="14">
        <f>ROUND(IFERROR('1.1 Jakotaulu'!L$13*Ohj.lask.[[#This Row],[%-osuus 1]],0),0)</f>
        <v>7970627</v>
      </c>
      <c r="M89" s="157">
        <f>IFERROR(ROUND(VLOOKUP($A89,'2.2 Tutk. ja osien pain. pist.'!$A:$Q,COLUMN('2.2 Tutk. ja osien pain. pist.'!O:O),FALSE),1),0)</f>
        <v>82953.8</v>
      </c>
      <c r="N89" s="13">
        <f>IFERROR(Ohj.lask.[[#This Row],[Painotetut pisteet 2]]/Ohj.lask.[[#Totals],[Painotetut pisteet 2]],0)</f>
        <v>5.341931515054482E-3</v>
      </c>
      <c r="O89" s="20">
        <f>ROUND(IFERROR('1.1 Jakotaulu'!K$14*Ohj.lask.[[#This Row],[%-osuus 2]],0),0)</f>
        <v>2187959</v>
      </c>
      <c r="P89" s="158">
        <f>IFERROR(ROUND(VLOOKUP($A89,'2.3 Työll. ja jatko-opisk.'!$A:$Z,COLUMN('2.3 Työll. ja jatko-opisk.'!M:M),FALSE),1),0)</f>
        <v>1763.5</v>
      </c>
      <c r="Q89" s="13">
        <f>IFERROR(Ohj.lask.[[#This Row],[Painotetut pisteet 3]]/Ohj.lask.[[#Totals],[Painotetut pisteet 3]],0)</f>
        <v>5.662365067301391E-3</v>
      </c>
      <c r="R89" s="14">
        <f>ROUND(IFERROR('1.1 Jakotaulu'!L$16*Ohj.lask.[[#This Row],[%-osuus 3]],0),0)</f>
        <v>811721</v>
      </c>
      <c r="S89" s="157">
        <f>IFERROR(ROUND(VLOOKUP($A89,'2.4 Aloittaneet palaute'!$A:$J,COLUMN('2.4 Aloittaneet palaute'!I:I),FALSE),1),0)</f>
        <v>7676.2</v>
      </c>
      <c r="T89" s="17">
        <f>IFERROR(Ohj.lask.[[#This Row],[Painotetut pisteet 4]]/Ohj.lask.[[#Totals],[Painotetut pisteet 4]],0)</f>
        <v>4.8940937045334858E-3</v>
      </c>
      <c r="U89" s="20">
        <f>ROUND(IFERROR('1.1 Jakotaulu'!M$18*Ohj.lask.[[#This Row],[%-osuus 4]],0),0)</f>
        <v>37585</v>
      </c>
      <c r="V89" s="157">
        <f>IFERROR(ROUND(VLOOKUP($A89,'2.5 Päättäneet palaute'!$A:$Z,COLUMN('2.5 Päättäneet palaute'!Y:Y),FALSE),1),0)</f>
        <v>49927.9</v>
      </c>
      <c r="W89" s="17">
        <f>IFERROR(Ohj.lask.[[#This Row],[Painotetut pisteet 5]]/Ohj.lask.[[#Totals],[Painotetut pisteet 5]],0)</f>
        <v>5.2466463057122721E-3</v>
      </c>
      <c r="X89" s="20">
        <f>ROUND(IFERROR('1.1 Jakotaulu'!M$19*Ohj.lask.[[#This Row],[%-osuus 5]],0),0)</f>
        <v>120877</v>
      </c>
      <c r="Y89" s="157">
        <f>IFERROR(ROUND(VLOOKUP($A89,'2.6 Työpaikkaohjaajakysely'!A:I,COLUMN('2.6 Työpaikkaohjaajakysely'!H:H),FALSE),1),0)</f>
        <v>1413440.3</v>
      </c>
      <c r="Z89" s="13">
        <f>IFERROR(Ohj.lask.[[#This Row],[Painotetut pisteet 6]]/Ohj.lask.[[#Totals],[Painotetut pisteet 6]],0)</f>
        <v>3.5374189852226553E-3</v>
      </c>
      <c r="AA89" s="20">
        <f>ROUND(IFERROR('1.1 Jakotaulu'!M$21*Ohj.lask.[[#This Row],[%-osuus 6]],0),0)</f>
        <v>81499</v>
      </c>
      <c r="AB89" s="157">
        <f>IFERROR(ROUND(VLOOKUP($A89,'2.7 Työpaikkakysely'!A:G,COLUMN('2.7 Työpaikkakysely'!F:F),FALSE),1),0)</f>
        <v>435729</v>
      </c>
      <c r="AC89" s="13">
        <f>IFERROR(Ohj.lask.[[#This Row],[Pisteet 7]]/Ohj.lask.[[#Totals],[Pisteet 7]],0)</f>
        <v>2.2793405417085846E-3</v>
      </c>
      <c r="AD89" s="20">
        <f>ROUND(IFERROR('1.1 Jakotaulu'!M$22*Ohj.lask.[[#This Row],[%-osuus 7]],0),0)</f>
        <v>17505</v>
      </c>
      <c r="AE89" s="16">
        <f>IFERROR(Ohj.lask.[[#This Row],[Jaettava € 8]]/Ohj.lask.[[#Totals],[Jaettava € 8]],"")</f>
        <v>5.563787376567696E-3</v>
      </c>
      <c r="AF89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11227773</v>
      </c>
      <c r="AG89" s="105">
        <v>0</v>
      </c>
      <c r="AH89" s="105">
        <v>0</v>
      </c>
      <c r="AI89" s="105">
        <v>0</v>
      </c>
      <c r="AJ89" s="105">
        <v>0</v>
      </c>
      <c r="AK89" s="105">
        <v>0</v>
      </c>
      <c r="AL89" s="105">
        <v>0</v>
      </c>
      <c r="AM89" s="105">
        <v>0</v>
      </c>
      <c r="AN89" s="105">
        <v>0</v>
      </c>
      <c r="AO89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0</v>
      </c>
      <c r="AP89" s="14">
        <f>Ohj.lask.[[#This Row],[Jaettava € 1]]+Ohj.lask.[[#This Row],[Harkinnanvarainen korotus 9, €]]</f>
        <v>7970627</v>
      </c>
      <c r="AQ89" s="105">
        <f>Ohj.lask.[[#This Row],[Jaettava € 2]]</f>
        <v>2187959</v>
      </c>
      <c r="AR89" s="14">
        <f>Ohj.lask.[[#This Row],[Jaettava € 3]]+Ohj.lask.[[#This Row],[Jaettava € 4]]+Ohj.lask.[[#This Row],[Jaettava € 5]]+Ohj.lask.[[#This Row],[Jaettava € 6]]+Ohj.lask.[[#This Row],[Jaettava € 7]]</f>
        <v>1069187</v>
      </c>
      <c r="AS89" s="37">
        <f>Ohj.lask.[[#This Row],[Jaettava € 8]]+Ohj.lask.[[#This Row],[Harkinnanvarainen korotus 9, €]]</f>
        <v>11227773</v>
      </c>
      <c r="AT89" s="37">
        <v>0</v>
      </c>
      <c r="AU89" s="20">
        <f>Ohj.lask.[[#This Row],[Perus-, suoritus- ja vaikuttavuusrahoitus yhteensä, €]]+Ohj.lask.[[#This Row],[Alv-korvaus, €]]</f>
        <v>11227773</v>
      </c>
    </row>
    <row r="90" spans="1:47" ht="13" x14ac:dyDescent="0.3">
      <c r="A90" s="7" t="s">
        <v>246</v>
      </c>
      <c r="B90" s="11" t="s">
        <v>83</v>
      </c>
      <c r="C90" s="11" t="s">
        <v>180</v>
      </c>
      <c r="D90" s="11" t="s">
        <v>337</v>
      </c>
      <c r="E90" s="11" t="s">
        <v>388</v>
      </c>
      <c r="F90" s="109">
        <v>1332</v>
      </c>
      <c r="G90" s="114">
        <f>Ohj.lask.[[#This Row],[Tavoitteelliset opiskelija-vuodet]]-Ohj.lask.[[#This Row],[Järjestämisluvan opisk.vuosien vähimmäismäärä]]</f>
        <v>88</v>
      </c>
      <c r="H90" s="36">
        <v>1420</v>
      </c>
      <c r="I90" s="12">
        <f>IFERROR(VLOOKUP($A90,'2.1 Toteut. op.vuodet'!$A:$T,COLUMN('2.1 Toteut. op.vuodet'!S:S),FALSE),0)</f>
        <v>0.93284877601371941</v>
      </c>
      <c r="J90" s="78">
        <f t="shared" si="2"/>
        <v>1324.6</v>
      </c>
      <c r="K90" s="13">
        <f>IFERROR(Ohj.lask.[[#This Row],[Painotetut opiskelija-vuodet]]/Ohj.lask.[[#Totals],[Painotetut opiskelija-vuodet]],0)</f>
        <v>6.131748812164617E-3</v>
      </c>
      <c r="L90" s="14">
        <f>ROUND(IFERROR('1.1 Jakotaulu'!L$13*Ohj.lask.[[#This Row],[%-osuus 1]],0),0)</f>
        <v>8606743</v>
      </c>
      <c r="M90" s="157">
        <f>IFERROR(ROUND(VLOOKUP($A90,'2.2 Tutk. ja osien pain. pist.'!$A:$Q,COLUMN('2.2 Tutk. ja osien pain. pist.'!O:O),FALSE),1),0)</f>
        <v>102187</v>
      </c>
      <c r="N90" s="13">
        <f>IFERROR(Ohj.lask.[[#This Row],[Painotetut pisteet 2]]/Ohj.lask.[[#Totals],[Painotetut pisteet 2]],0)</f>
        <v>6.5804816142102278E-3</v>
      </c>
      <c r="O90" s="20">
        <f>ROUND(IFERROR('1.1 Jakotaulu'!K$14*Ohj.lask.[[#This Row],[%-osuus 2]],0),0)</f>
        <v>2695247</v>
      </c>
      <c r="P90" s="158">
        <f>IFERROR(ROUND(VLOOKUP($A90,'2.3 Työll. ja jatko-opisk.'!$A:$Z,COLUMN('2.3 Työll. ja jatko-opisk.'!M:M),FALSE),1),0)</f>
        <v>2447.3000000000002</v>
      </c>
      <c r="Q90" s="13">
        <f>IFERROR(Ohj.lask.[[#This Row],[Painotetut pisteet 3]]/Ohj.lask.[[#Totals],[Painotetut pisteet 3]],0)</f>
        <v>7.8579563533919452E-3</v>
      </c>
      <c r="R90" s="14">
        <f>ROUND(IFERROR('1.1 Jakotaulu'!L$16*Ohj.lask.[[#This Row],[%-osuus 3]],0),0)</f>
        <v>1126467</v>
      </c>
      <c r="S90" s="157">
        <f>IFERROR(ROUND(VLOOKUP($A90,'2.4 Aloittaneet palaute'!$A:$J,COLUMN('2.4 Aloittaneet palaute'!I:I),FALSE),1),0)</f>
        <v>15990.2</v>
      </c>
      <c r="T90" s="17">
        <f>IFERROR(Ohj.lask.[[#This Row],[Painotetut pisteet 4]]/Ohj.lask.[[#Totals],[Painotetut pisteet 4]],0)</f>
        <v>1.0194827799462149E-2</v>
      </c>
      <c r="U90" s="20">
        <f>ROUND(IFERROR('1.1 Jakotaulu'!M$18*Ohj.lask.[[#This Row],[%-osuus 4]],0),0)</f>
        <v>78293</v>
      </c>
      <c r="V90" s="157">
        <f>IFERROR(ROUND(VLOOKUP($A90,'2.5 Päättäneet palaute'!$A:$Z,COLUMN('2.5 Päättäneet palaute'!Y:Y),FALSE),1),0)</f>
        <v>88248.5</v>
      </c>
      <c r="W90" s="17">
        <f>IFERROR(Ohj.lask.[[#This Row],[Painotetut pisteet 5]]/Ohj.lask.[[#Totals],[Painotetut pisteet 5]],0)</f>
        <v>9.2735457832123797E-3</v>
      </c>
      <c r="X90" s="20">
        <f>ROUND(IFERROR('1.1 Jakotaulu'!M$19*Ohj.lask.[[#This Row],[%-osuus 5]],0),0)</f>
        <v>213653</v>
      </c>
      <c r="Y90" s="157">
        <f>IFERROR(ROUND(VLOOKUP($A90,'2.6 Työpaikkaohjaajakysely'!A:I,COLUMN('2.6 Työpaikkaohjaajakysely'!H:H),FALSE),1),0)</f>
        <v>2991492.8</v>
      </c>
      <c r="Z90" s="13">
        <f>IFERROR(Ohj.lask.[[#This Row],[Painotetut pisteet 6]]/Ohj.lask.[[#Totals],[Painotetut pisteet 6]],0)</f>
        <v>7.4868131500685801E-3</v>
      </c>
      <c r="AA90" s="20">
        <f>ROUND(IFERROR('1.1 Jakotaulu'!M$21*Ohj.lask.[[#This Row],[%-osuus 6]],0),0)</f>
        <v>172489</v>
      </c>
      <c r="AB90" s="157">
        <f>IFERROR(ROUND(VLOOKUP($A90,'2.7 Työpaikkakysely'!A:G,COLUMN('2.7 Työpaikkakysely'!F:F),FALSE),1),0)</f>
        <v>2793412</v>
      </c>
      <c r="AC90" s="13">
        <f>IFERROR(Ohj.lask.[[#This Row],[Pisteet 7]]/Ohj.lask.[[#Totals],[Pisteet 7]],0)</f>
        <v>1.4612608344395853E-2</v>
      </c>
      <c r="AD90" s="20">
        <f>ROUND(IFERROR('1.1 Jakotaulu'!M$22*Ohj.lask.[[#This Row],[%-osuus 7]],0),0)</f>
        <v>112220</v>
      </c>
      <c r="AE90" s="16">
        <f>IFERROR(Ohj.lask.[[#This Row],[Jaettava € 8]]/Ohj.lask.[[#Totals],[Jaettava € 8]],"")</f>
        <v>6.4445262632624534E-3</v>
      </c>
      <c r="AF90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13005112</v>
      </c>
      <c r="AG90" s="105">
        <v>0</v>
      </c>
      <c r="AH90" s="105">
        <v>0</v>
      </c>
      <c r="AI90" s="105">
        <v>0</v>
      </c>
      <c r="AJ90" s="105">
        <v>0</v>
      </c>
      <c r="AK90" s="105">
        <v>0</v>
      </c>
      <c r="AL90" s="105">
        <v>0</v>
      </c>
      <c r="AM90" s="105">
        <v>0</v>
      </c>
      <c r="AN90" s="105">
        <v>47000</v>
      </c>
      <c r="AO90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47000</v>
      </c>
      <c r="AP90" s="14">
        <f>Ohj.lask.[[#This Row],[Jaettava € 1]]+Ohj.lask.[[#This Row],[Harkinnanvarainen korotus 9, €]]</f>
        <v>8653743</v>
      </c>
      <c r="AQ90" s="105">
        <f>Ohj.lask.[[#This Row],[Jaettava € 2]]</f>
        <v>2695247</v>
      </c>
      <c r="AR90" s="14">
        <f>Ohj.lask.[[#This Row],[Jaettava € 3]]+Ohj.lask.[[#This Row],[Jaettava € 4]]+Ohj.lask.[[#This Row],[Jaettava € 5]]+Ohj.lask.[[#This Row],[Jaettava € 6]]+Ohj.lask.[[#This Row],[Jaettava € 7]]</f>
        <v>1703122</v>
      </c>
      <c r="AS90" s="37">
        <f>Ohj.lask.[[#This Row],[Jaettava € 8]]+Ohj.lask.[[#This Row],[Harkinnanvarainen korotus 9, €]]</f>
        <v>13052112</v>
      </c>
      <c r="AT90" s="37">
        <v>727160</v>
      </c>
      <c r="AU90" s="20">
        <f>Ohj.lask.[[#This Row],[Perus-, suoritus- ja vaikuttavuusrahoitus yhteensä, €]]+Ohj.lask.[[#This Row],[Alv-korvaus, €]]</f>
        <v>13779272</v>
      </c>
    </row>
    <row r="91" spans="1:47" ht="13" x14ac:dyDescent="0.3">
      <c r="A91" s="7" t="s">
        <v>245</v>
      </c>
      <c r="B91" s="11" t="s">
        <v>84</v>
      </c>
      <c r="C91" s="11" t="s">
        <v>232</v>
      </c>
      <c r="D91" s="11" t="s">
        <v>337</v>
      </c>
      <c r="E91" s="11" t="s">
        <v>388</v>
      </c>
      <c r="F91" s="109">
        <v>64</v>
      </c>
      <c r="G91" s="114">
        <f>Ohj.lask.[[#This Row],[Tavoitteelliset opiskelija-vuodet]]-Ohj.lask.[[#This Row],[Järjestämisluvan opisk.vuosien vähimmäismäärä]]</f>
        <v>35</v>
      </c>
      <c r="H91" s="36">
        <v>99</v>
      </c>
      <c r="I91" s="12">
        <f>IFERROR(VLOOKUP($A91,'2.1 Toteut. op.vuodet'!$A:$T,COLUMN('2.1 Toteut. op.vuodet'!S:S),FALSE),0)</f>
        <v>1.1163302534536543</v>
      </c>
      <c r="J91" s="78">
        <f t="shared" si="2"/>
        <v>110.5</v>
      </c>
      <c r="K91" s="13">
        <f>IFERROR(Ohj.lask.[[#This Row],[Painotetut opiskelija-vuodet]]/Ohj.lask.[[#Totals],[Painotetut opiskelija-vuodet]],0)</f>
        <v>5.1151913313014514E-4</v>
      </c>
      <c r="L91" s="14">
        <f>ROUND(IFERROR('1.1 Jakotaulu'!L$13*Ohj.lask.[[#This Row],[%-osuus 1]],0),0)</f>
        <v>717987</v>
      </c>
      <c r="M91" s="157">
        <f>IFERROR(ROUND(VLOOKUP($A91,'2.2 Tutk. ja osien pain. pist.'!$A:$Q,COLUMN('2.2 Tutk. ja osien pain. pist.'!O:O),FALSE),1),0)</f>
        <v>6340.9</v>
      </c>
      <c r="N91" s="13">
        <f>IFERROR(Ohj.lask.[[#This Row],[Painotetut pisteet 2]]/Ohj.lask.[[#Totals],[Painotetut pisteet 2]],0)</f>
        <v>4.0833154772667392E-4</v>
      </c>
      <c r="O91" s="20">
        <f>ROUND(IFERROR('1.1 Jakotaulu'!K$14*Ohj.lask.[[#This Row],[%-osuus 2]],0),0)</f>
        <v>167245</v>
      </c>
      <c r="P91" s="158">
        <f>IFERROR(ROUND(VLOOKUP($A91,'2.3 Työll. ja jatko-opisk.'!$A:$Z,COLUMN('2.3 Työll. ja jatko-opisk.'!M:M),FALSE),1),0)</f>
        <v>131</v>
      </c>
      <c r="Q91" s="13">
        <f>IFERROR(Ohj.lask.[[#This Row],[Painotetut pisteet 3]]/Ohj.lask.[[#Totals],[Painotetut pisteet 3]],0)</f>
        <v>4.206236596634433E-4</v>
      </c>
      <c r="R91" s="14">
        <f>ROUND(IFERROR('1.1 Jakotaulu'!L$16*Ohj.lask.[[#This Row],[%-osuus 3]],0),0)</f>
        <v>60298</v>
      </c>
      <c r="S91" s="157">
        <f>IFERROR(ROUND(VLOOKUP($A91,'2.4 Aloittaneet palaute'!$A:$J,COLUMN('2.4 Aloittaneet palaute'!I:I),FALSE),1),0)</f>
        <v>657.5</v>
      </c>
      <c r="T91" s="17">
        <f>IFERROR(Ohj.lask.[[#This Row],[Painotetut pisteet 4]]/Ohj.lask.[[#Totals],[Painotetut pisteet 4]],0)</f>
        <v>4.1920046516906369E-4</v>
      </c>
      <c r="U91" s="20">
        <f>ROUND(IFERROR('1.1 Jakotaulu'!M$18*Ohj.lask.[[#This Row],[%-osuus 4]],0),0)</f>
        <v>3219</v>
      </c>
      <c r="V91" s="157">
        <f>IFERROR(ROUND(VLOOKUP($A91,'2.5 Päättäneet palaute'!$A:$Z,COLUMN('2.5 Päättäneet palaute'!Y:Y),FALSE),1),0)</f>
        <v>2358.5</v>
      </c>
      <c r="W91" s="17">
        <f>IFERROR(Ohj.lask.[[#This Row],[Painotetut pisteet 5]]/Ohj.lask.[[#Totals],[Painotetut pisteet 5]],0)</f>
        <v>2.478416939631427E-4</v>
      </c>
      <c r="X91" s="20">
        <f>ROUND(IFERROR('1.1 Jakotaulu'!M$19*Ohj.lask.[[#This Row],[%-osuus 5]],0),0)</f>
        <v>5710</v>
      </c>
      <c r="Y91" s="157">
        <f>IFERROR(ROUND(VLOOKUP($A91,'2.6 Työpaikkaohjaajakysely'!A:I,COLUMN('2.6 Työpaikkaohjaajakysely'!H:H),FALSE),1),0)</f>
        <v>127529</v>
      </c>
      <c r="Z91" s="13">
        <f>IFERROR(Ohj.lask.[[#This Row],[Painotetut pisteet 6]]/Ohj.lask.[[#Totals],[Painotetut pisteet 6]],0)</f>
        <v>3.1916700391693939E-4</v>
      </c>
      <c r="AA91" s="20">
        <f>ROUND(IFERROR('1.1 Jakotaulu'!M$21*Ohj.lask.[[#This Row],[%-osuus 6]],0),0)</f>
        <v>7353</v>
      </c>
      <c r="AB91" s="157">
        <f>IFERROR(ROUND(VLOOKUP($A91,'2.7 Työpaikkakysely'!A:G,COLUMN('2.7 Työpaikkakysely'!F:F),FALSE),1),0)</f>
        <v>79680</v>
      </c>
      <c r="AC91" s="13">
        <f>IFERROR(Ohj.lask.[[#This Row],[Pisteet 7]]/Ohj.lask.[[#Totals],[Pisteet 7]],0)</f>
        <v>4.1681378646668001E-4</v>
      </c>
      <c r="AD91" s="20">
        <f>ROUND(IFERROR('1.1 Jakotaulu'!M$22*Ohj.lask.[[#This Row],[%-osuus 7]],0),0)</f>
        <v>3201</v>
      </c>
      <c r="AE91" s="16">
        <f>IFERROR(Ohj.lask.[[#This Row],[Jaettava € 8]]/Ohj.lask.[[#Totals],[Jaettava € 8]],"")</f>
        <v>4.7820054320867744E-4</v>
      </c>
      <c r="AF91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965013</v>
      </c>
      <c r="AG91" s="105">
        <v>0</v>
      </c>
      <c r="AH91" s="105">
        <v>0</v>
      </c>
      <c r="AI91" s="105">
        <v>0</v>
      </c>
      <c r="AJ91" s="105">
        <v>0</v>
      </c>
      <c r="AK91" s="105">
        <v>0</v>
      </c>
      <c r="AL91" s="105">
        <v>0</v>
      </c>
      <c r="AM91" s="105">
        <v>5000</v>
      </c>
      <c r="AN91" s="105">
        <v>0</v>
      </c>
      <c r="AO91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5000</v>
      </c>
      <c r="AP91" s="14">
        <f>Ohj.lask.[[#This Row],[Jaettava € 1]]+Ohj.lask.[[#This Row],[Harkinnanvarainen korotus 9, €]]</f>
        <v>722987</v>
      </c>
      <c r="AQ91" s="105">
        <f>Ohj.lask.[[#This Row],[Jaettava € 2]]</f>
        <v>167245</v>
      </c>
      <c r="AR91" s="14">
        <f>Ohj.lask.[[#This Row],[Jaettava € 3]]+Ohj.lask.[[#This Row],[Jaettava € 4]]+Ohj.lask.[[#This Row],[Jaettava € 5]]+Ohj.lask.[[#This Row],[Jaettava € 6]]+Ohj.lask.[[#This Row],[Jaettava € 7]]</f>
        <v>79781</v>
      </c>
      <c r="AS91" s="37">
        <f>Ohj.lask.[[#This Row],[Jaettava € 8]]+Ohj.lask.[[#This Row],[Harkinnanvarainen korotus 9, €]]</f>
        <v>970013</v>
      </c>
      <c r="AT91" s="37">
        <v>57593</v>
      </c>
      <c r="AU91" s="20">
        <f>Ohj.lask.[[#This Row],[Perus-, suoritus- ja vaikuttavuusrahoitus yhteensä, €]]+Ohj.lask.[[#This Row],[Alv-korvaus, €]]</f>
        <v>1027606</v>
      </c>
    </row>
    <row r="92" spans="1:47" ht="13" x14ac:dyDescent="0.3">
      <c r="A92" s="7" t="s">
        <v>252</v>
      </c>
      <c r="B92" s="11" t="s">
        <v>85</v>
      </c>
      <c r="C92" s="11" t="s">
        <v>251</v>
      </c>
      <c r="D92" s="11" t="s">
        <v>336</v>
      </c>
      <c r="E92" s="11" t="s">
        <v>388</v>
      </c>
      <c r="F92" s="109">
        <v>4815</v>
      </c>
      <c r="G92" s="114">
        <f>Ohj.lask.[[#This Row],[Tavoitteelliset opiskelija-vuodet]]-Ohj.lask.[[#This Row],[Järjestämisluvan opisk.vuosien vähimmäismäärä]]</f>
        <v>650</v>
      </c>
      <c r="H92" s="36">
        <v>5465</v>
      </c>
      <c r="I92" s="12">
        <f>IFERROR(VLOOKUP($A92,'2.1 Toteut. op.vuodet'!$A:$T,COLUMN('2.1 Toteut. op.vuodet'!S:S),FALSE),0)</f>
        <v>1.1692124845468288</v>
      </c>
      <c r="J92" s="78">
        <f t="shared" si="2"/>
        <v>6389.7</v>
      </c>
      <c r="K92" s="13">
        <f>IFERROR(Ohj.lask.[[#This Row],[Painotetut opiskelija-vuodet]]/Ohj.lask.[[#Totals],[Painotetut opiskelija-vuodet]],0)</f>
        <v>2.9578767465716634E-2</v>
      </c>
      <c r="L92" s="14">
        <f>ROUND(IFERROR('1.1 Jakotaulu'!L$13*Ohj.lask.[[#This Row],[%-osuus 1]],0),0)</f>
        <v>41517823</v>
      </c>
      <c r="M92" s="157">
        <f>IFERROR(ROUND(VLOOKUP($A92,'2.2 Tutk. ja osien pain. pist.'!$A:$Q,COLUMN('2.2 Tutk. ja osien pain. pist.'!O:O),FALSE),1),0)</f>
        <v>434556.8</v>
      </c>
      <c r="N92" s="13">
        <f>IFERROR(Ohj.lask.[[#This Row],[Painotetut pisteet 2]]/Ohj.lask.[[#Totals],[Painotetut pisteet 2]],0)</f>
        <v>2.7983921954162768E-2</v>
      </c>
      <c r="O92" s="20">
        <f>ROUND(IFERROR('1.1 Jakotaulu'!K$14*Ohj.lask.[[#This Row],[%-osuus 2]],0),0)</f>
        <v>11461711</v>
      </c>
      <c r="P92" s="158">
        <f>IFERROR(ROUND(VLOOKUP($A92,'2.3 Työll. ja jatko-opisk.'!$A:$Z,COLUMN('2.3 Työll. ja jatko-opisk.'!M:M),FALSE),1),0)</f>
        <v>9760.2999999999993</v>
      </c>
      <c r="Q92" s="13">
        <f>IFERROR(Ohj.lask.[[#This Row],[Painotetut pisteet 3]]/Ohj.lask.[[#Totals],[Painotetut pisteet 3]],0)</f>
        <v>3.1339031339031341E-2</v>
      </c>
      <c r="R92" s="14">
        <f>ROUND(IFERROR('1.1 Jakotaulu'!L$16*Ohj.lask.[[#This Row],[%-osuus 3]],0),0)</f>
        <v>4492566</v>
      </c>
      <c r="S92" s="157">
        <f>IFERROR(ROUND(VLOOKUP($A92,'2.4 Aloittaneet palaute'!$A:$J,COLUMN('2.4 Aloittaneet palaute'!I:I),FALSE),1),0)</f>
        <v>48549.2</v>
      </c>
      <c r="T92" s="17">
        <f>IFERROR(Ohj.lask.[[#This Row],[Painotetut pisteet 4]]/Ohj.lask.[[#Totals],[Painotetut pisteet 4]],0)</f>
        <v>3.0953379807735219E-2</v>
      </c>
      <c r="U92" s="20">
        <f>ROUND(IFERROR('1.1 Jakotaulu'!M$18*Ohj.lask.[[#This Row],[%-osuus 4]],0),0)</f>
        <v>237712</v>
      </c>
      <c r="V92" s="157">
        <f>IFERROR(ROUND(VLOOKUP($A92,'2.5 Päättäneet palaute'!$A:$Z,COLUMN('2.5 Päättäneet palaute'!Y:Y),FALSE),1),0)</f>
        <v>301818</v>
      </c>
      <c r="W92" s="17">
        <f>IFERROR(Ohj.lask.[[#This Row],[Painotetut pisteet 5]]/Ohj.lask.[[#Totals],[Painotetut pisteet 5]],0)</f>
        <v>3.1716380915229089E-2</v>
      </c>
      <c r="X92" s="20">
        <f>ROUND(IFERROR('1.1 Jakotaulu'!M$19*Ohj.lask.[[#This Row],[%-osuus 5]],0),0)</f>
        <v>730713</v>
      </c>
      <c r="Y92" s="157">
        <f>IFERROR(ROUND(VLOOKUP($A92,'2.6 Työpaikkaohjaajakysely'!A:I,COLUMN('2.6 Työpaikkaohjaajakysely'!H:H),FALSE),1),0)</f>
        <v>13310397.4</v>
      </c>
      <c r="Z92" s="13">
        <f>IFERROR(Ohj.lask.[[#This Row],[Painotetut pisteet 6]]/Ohj.lask.[[#Totals],[Painotetut pisteet 6]],0)</f>
        <v>3.3311949902389421E-2</v>
      </c>
      <c r="AA92" s="20">
        <f>ROUND(IFERROR('1.1 Jakotaulu'!M$21*Ohj.lask.[[#This Row],[%-osuus 6]],0),0)</f>
        <v>767474</v>
      </c>
      <c r="AB92" s="157">
        <f>IFERROR(ROUND(VLOOKUP($A92,'2.7 Työpaikkakysely'!A:G,COLUMN('2.7 Työpaikkakysely'!F:F),FALSE),1),0)</f>
        <v>3419254.9</v>
      </c>
      <c r="AC92" s="13">
        <f>IFERROR(Ohj.lask.[[#This Row],[Pisteet 7]]/Ohj.lask.[[#Totals],[Pisteet 7]],0)</f>
        <v>1.7886453084384402E-2</v>
      </c>
      <c r="AD92" s="20">
        <f>ROUND(IFERROR('1.1 Jakotaulu'!M$22*Ohj.lask.[[#This Row],[%-osuus 7]],0),0)</f>
        <v>137362</v>
      </c>
      <c r="AE92" s="16">
        <f>IFERROR(Ohj.lask.[[#This Row],[Jaettava € 8]]/Ohj.lask.[[#Totals],[Jaettava € 8]],"")</f>
        <v>2.9407877269130116E-2</v>
      </c>
      <c r="AF92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59345361</v>
      </c>
      <c r="AG92" s="105">
        <v>0</v>
      </c>
      <c r="AH92" s="105">
        <v>0</v>
      </c>
      <c r="AI92" s="105">
        <v>0</v>
      </c>
      <c r="AJ92" s="105">
        <v>0</v>
      </c>
      <c r="AK92" s="105">
        <v>0</v>
      </c>
      <c r="AL92" s="105">
        <v>0</v>
      </c>
      <c r="AM92" s="105">
        <v>105000</v>
      </c>
      <c r="AN92" s="105">
        <v>0</v>
      </c>
      <c r="AO92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105000</v>
      </c>
      <c r="AP92" s="14">
        <f>Ohj.lask.[[#This Row],[Jaettava € 1]]+Ohj.lask.[[#This Row],[Harkinnanvarainen korotus 9, €]]</f>
        <v>41622823</v>
      </c>
      <c r="AQ92" s="105">
        <f>Ohj.lask.[[#This Row],[Jaettava € 2]]</f>
        <v>11461711</v>
      </c>
      <c r="AR92" s="14">
        <f>Ohj.lask.[[#This Row],[Jaettava € 3]]+Ohj.lask.[[#This Row],[Jaettava € 4]]+Ohj.lask.[[#This Row],[Jaettava € 5]]+Ohj.lask.[[#This Row],[Jaettava € 6]]+Ohj.lask.[[#This Row],[Jaettava € 7]]</f>
        <v>6365827</v>
      </c>
      <c r="AS92" s="37">
        <f>Ohj.lask.[[#This Row],[Jaettava € 8]]+Ohj.lask.[[#This Row],[Harkinnanvarainen korotus 9, €]]</f>
        <v>59450361</v>
      </c>
      <c r="AT92" s="37">
        <v>0</v>
      </c>
      <c r="AU92" s="20">
        <f>Ohj.lask.[[#This Row],[Perus-, suoritus- ja vaikuttavuusrahoitus yhteensä, €]]+Ohj.lask.[[#This Row],[Alv-korvaus, €]]</f>
        <v>59450361</v>
      </c>
    </row>
    <row r="93" spans="1:47" ht="13" x14ac:dyDescent="0.3">
      <c r="A93" s="7" t="s">
        <v>242</v>
      </c>
      <c r="B93" s="11" t="s">
        <v>86</v>
      </c>
      <c r="C93" s="99" t="s">
        <v>224</v>
      </c>
      <c r="D93" s="99" t="s">
        <v>337</v>
      </c>
      <c r="E93" s="99" t="s">
        <v>388</v>
      </c>
      <c r="F93" s="108">
        <v>117</v>
      </c>
      <c r="G93" s="114">
        <f>Ohj.lask.[[#This Row],[Tavoitteelliset opiskelija-vuodet]]-Ohj.lask.[[#This Row],[Järjestämisluvan opisk.vuosien vähimmäismäärä]]</f>
        <v>13</v>
      </c>
      <c r="H93" s="36">
        <v>130</v>
      </c>
      <c r="I93" s="12">
        <f>IFERROR(VLOOKUP($A93,'2.1 Toteut. op.vuodet'!$A:$T,COLUMN('2.1 Toteut. op.vuodet'!S:S),FALSE),0)</f>
        <v>0.914213918281365</v>
      </c>
      <c r="J93" s="78">
        <f t="shared" si="2"/>
        <v>118.8</v>
      </c>
      <c r="K93" s="13">
        <f>IFERROR(Ohj.lask.[[#This Row],[Painotetut opiskelija-vuodet]]/Ohj.lask.[[#Totals],[Painotetut opiskelija-vuodet]],0)</f>
        <v>5.4994093227023742E-4</v>
      </c>
      <c r="L93" s="14">
        <f>ROUND(IFERROR('1.1 Jakotaulu'!L$13*Ohj.lask.[[#This Row],[%-osuus 1]],0),0)</f>
        <v>771917</v>
      </c>
      <c r="M93" s="157">
        <f>IFERROR(ROUND(VLOOKUP($A93,'2.2 Tutk. ja osien pain. pist.'!$A:$Q,COLUMN('2.2 Tutk. ja osien pain. pist.'!O:O),FALSE),1),0)</f>
        <v>13602.4</v>
      </c>
      <c r="N93" s="13">
        <f>IFERROR(Ohj.lask.[[#This Row],[Painotetut pisteet 2]]/Ohj.lask.[[#Totals],[Painotetut pisteet 2]],0)</f>
        <v>8.7594648154005106E-4</v>
      </c>
      <c r="O93" s="20">
        <f>ROUND(IFERROR('1.1 Jakotaulu'!K$14*Ohj.lask.[[#This Row],[%-osuus 2]],0),0)</f>
        <v>358772</v>
      </c>
      <c r="P93" s="158">
        <f>IFERROR(ROUND(VLOOKUP($A93,'2.3 Työll. ja jatko-opisk.'!$A:$Z,COLUMN('2.3 Työll. ja jatko-opisk.'!M:M),FALSE),1),0)</f>
        <v>238</v>
      </c>
      <c r="Q93" s="17">
        <f>IFERROR(Ohj.lask.[[#This Row],[Painotetut pisteet 3]]/Ohj.lask.[[#Totals],[Painotetut pisteet 3]],0)</f>
        <v>7.6418649618243892E-4</v>
      </c>
      <c r="R93" s="14">
        <f>ROUND(IFERROR('1.1 Jakotaulu'!L$16*Ohj.lask.[[#This Row],[%-osuus 3]],0),0)</f>
        <v>109549</v>
      </c>
      <c r="S93" s="157">
        <f>IFERROR(ROUND(VLOOKUP($A93,'2.4 Aloittaneet palaute'!$A:$J,COLUMN('2.4 Aloittaneet palaute'!I:I),FALSE),1),0)</f>
        <v>1657.5</v>
      </c>
      <c r="T93" s="17">
        <f>IFERROR(Ohj.lask.[[#This Row],[Painotetut pisteet 4]]/Ohj.lask.[[#Totals],[Painotetut pisteet 4]],0)</f>
        <v>1.0567677125744837E-3</v>
      </c>
      <c r="U93" s="20">
        <f>ROUND(IFERROR('1.1 Jakotaulu'!M$18*Ohj.lask.[[#This Row],[%-osuus 4]],0),0)</f>
        <v>8116</v>
      </c>
      <c r="V93" s="157">
        <f>IFERROR(ROUND(VLOOKUP($A93,'2.5 Päättäneet palaute'!$A:$Z,COLUMN('2.5 Päättäneet palaute'!Y:Y),FALSE),1),0)</f>
        <v>11208.7</v>
      </c>
      <c r="W93" s="17">
        <f>IFERROR(Ohj.lask.[[#This Row],[Painotetut pisteet 5]]/Ohj.lask.[[#Totals],[Painotetut pisteet 5]],0)</f>
        <v>1.1778601632922102E-3</v>
      </c>
      <c r="X93" s="20">
        <f>ROUND(IFERROR('1.1 Jakotaulu'!M$19*Ohj.lask.[[#This Row],[%-osuus 5]],0),0)</f>
        <v>27137</v>
      </c>
      <c r="Y93" s="157">
        <f>IFERROR(ROUND(VLOOKUP($A93,'2.6 Työpaikkaohjaajakysely'!A:I,COLUMN('2.6 Työpaikkaohjaajakysely'!H:H),FALSE),1),0)</f>
        <v>777738.5</v>
      </c>
      <c r="Z93" s="13">
        <f>IFERROR(Ohj.lask.[[#This Row],[Painotetut pisteet 6]]/Ohj.lask.[[#Totals],[Painotetut pisteet 6]],0)</f>
        <v>1.9464472149538896E-3</v>
      </c>
      <c r="AA93" s="20">
        <f>ROUND(IFERROR('1.1 Jakotaulu'!M$21*Ohj.lask.[[#This Row],[%-osuus 6]],0),0)</f>
        <v>44844</v>
      </c>
      <c r="AB93" s="157">
        <f>IFERROR(ROUND(VLOOKUP($A93,'2.7 Työpaikkakysely'!A:G,COLUMN('2.7 Työpaikkakysely'!F:F),FALSE),1),0)</f>
        <v>300561</v>
      </c>
      <c r="AC93" s="13">
        <f>IFERROR(Ohj.lask.[[#This Row],[Pisteet 7]]/Ohj.lask.[[#Totals],[Pisteet 7]],0)</f>
        <v>1.5722636605699273E-3</v>
      </c>
      <c r="AD93" s="20">
        <f>ROUND(IFERROR('1.1 Jakotaulu'!M$22*Ohj.lask.[[#This Row],[%-osuus 7]],0),0)</f>
        <v>12074</v>
      </c>
      <c r="AE93" s="16">
        <f>IFERROR(Ohj.lask.[[#This Row],[Jaettava € 8]]/Ohj.lask.[[#Totals],[Jaettava € 8]],"")</f>
        <v>6.6025919606899671E-4</v>
      </c>
      <c r="AF93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1332409</v>
      </c>
      <c r="AG93" s="105">
        <v>0</v>
      </c>
      <c r="AH93" s="105">
        <v>0</v>
      </c>
      <c r="AI93" s="105">
        <v>0</v>
      </c>
      <c r="AJ93" s="105">
        <v>0</v>
      </c>
      <c r="AK93" s="105">
        <v>0</v>
      </c>
      <c r="AL93" s="105">
        <v>0</v>
      </c>
      <c r="AM93" s="105">
        <v>0</v>
      </c>
      <c r="AN93" s="105">
        <v>0</v>
      </c>
      <c r="AO93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0</v>
      </c>
      <c r="AP93" s="14">
        <f>Ohj.lask.[[#This Row],[Jaettava € 1]]+Ohj.lask.[[#This Row],[Harkinnanvarainen korotus 9, €]]</f>
        <v>771917</v>
      </c>
      <c r="AQ93" s="105">
        <f>Ohj.lask.[[#This Row],[Jaettava € 2]]</f>
        <v>358772</v>
      </c>
      <c r="AR93" s="14">
        <f>Ohj.lask.[[#This Row],[Jaettava € 3]]+Ohj.lask.[[#This Row],[Jaettava € 4]]+Ohj.lask.[[#This Row],[Jaettava € 5]]+Ohj.lask.[[#This Row],[Jaettava € 6]]+Ohj.lask.[[#This Row],[Jaettava € 7]]</f>
        <v>201720</v>
      </c>
      <c r="AS93" s="37">
        <f>Ohj.lask.[[#This Row],[Jaettava € 8]]+Ohj.lask.[[#This Row],[Harkinnanvarainen korotus 9, €]]</f>
        <v>1332409</v>
      </c>
      <c r="AT93" s="37">
        <v>51554</v>
      </c>
      <c r="AU93" s="20">
        <f>Ohj.lask.[[#This Row],[Perus-, suoritus- ja vaikuttavuusrahoitus yhteensä, €]]+Ohj.lask.[[#This Row],[Alv-korvaus, €]]</f>
        <v>1383963</v>
      </c>
    </row>
    <row r="94" spans="1:47" ht="13" x14ac:dyDescent="0.3">
      <c r="A94" s="7" t="s">
        <v>241</v>
      </c>
      <c r="B94" s="11" t="s">
        <v>87</v>
      </c>
      <c r="C94" s="11" t="s">
        <v>184</v>
      </c>
      <c r="D94" s="11" t="s">
        <v>337</v>
      </c>
      <c r="E94" s="11" t="s">
        <v>388</v>
      </c>
      <c r="F94" s="109">
        <v>48</v>
      </c>
      <c r="G94" s="114">
        <f>Ohj.lask.[[#This Row],[Tavoitteelliset opiskelija-vuodet]]-Ohj.lask.[[#This Row],[Järjestämisluvan opisk.vuosien vähimmäismäärä]]</f>
        <v>3</v>
      </c>
      <c r="H94" s="36">
        <v>51</v>
      </c>
      <c r="I94" s="12">
        <f>IFERROR(VLOOKUP($A94,'2.1 Toteut. op.vuodet'!$A:$T,COLUMN('2.1 Toteut. op.vuodet'!S:S),FALSE),0)</f>
        <v>1.2113026703328982</v>
      </c>
      <c r="J94" s="78">
        <f t="shared" si="2"/>
        <v>61.8</v>
      </c>
      <c r="K94" s="13">
        <f>IFERROR(Ohj.lask.[[#This Row],[Painotetut opiskelija-vuodet]]/Ohj.lask.[[#Totals],[Painotetut opiskelija-vuodet]],0)</f>
        <v>2.8608038395875989E-4</v>
      </c>
      <c r="L94" s="14">
        <f>ROUND(IFERROR('1.1 Jakotaulu'!L$13*Ohj.lask.[[#This Row],[%-osuus 1]],0),0)</f>
        <v>401553</v>
      </c>
      <c r="M94" s="157">
        <f>IFERROR(ROUND(VLOOKUP($A94,'2.2 Tutk. ja osien pain. pist.'!$A:$Q,COLUMN('2.2 Tutk. ja osien pain. pist.'!O:O),FALSE),1),0)</f>
        <v>4775.7</v>
      </c>
      <c r="N94" s="13">
        <f>IFERROR(Ohj.lask.[[#This Row],[Painotetut pisteet 2]]/Ohj.lask.[[#Totals],[Painotetut pisteet 2]],0)</f>
        <v>3.0753820001549884E-4</v>
      </c>
      <c r="O94" s="20">
        <f>ROUND(IFERROR('1.1 Jakotaulu'!K$14*Ohj.lask.[[#This Row],[%-osuus 2]],0),0)</f>
        <v>125962</v>
      </c>
      <c r="P94" s="158">
        <f>IFERROR(ROUND(VLOOKUP($A94,'2.3 Työll. ja jatko-opisk.'!$A:$Z,COLUMN('2.3 Työll. ja jatko-opisk.'!M:M),FALSE),1),0)</f>
        <v>97.6</v>
      </c>
      <c r="Q94" s="13">
        <f>IFERROR(Ohj.lask.[[#This Row],[Painotetut pisteet 3]]/Ohj.lask.[[#Totals],[Painotetut pisteet 3]],0)</f>
        <v>3.1338068078742035E-4</v>
      </c>
      <c r="R94" s="14">
        <f>ROUND(IFERROR('1.1 Jakotaulu'!L$16*Ohj.lask.[[#This Row],[%-osuus 3]],0),0)</f>
        <v>44924</v>
      </c>
      <c r="S94" s="157">
        <f>IFERROR(ROUND(VLOOKUP($A94,'2.4 Aloittaneet palaute'!$A:$J,COLUMN('2.4 Aloittaneet palaute'!I:I),FALSE),1),0)</f>
        <v>667.2</v>
      </c>
      <c r="T94" s="17">
        <f>IFERROR(Ohj.lask.[[#This Row],[Painotetut pisteet 4]]/Ohj.lask.[[#Totals],[Painotetut pisteet 4]],0)</f>
        <v>4.2538486746889631E-4</v>
      </c>
      <c r="U94" s="20">
        <f>ROUND(IFERROR('1.1 Jakotaulu'!M$18*Ohj.lask.[[#This Row],[%-osuus 4]],0),0)</f>
        <v>3267</v>
      </c>
      <c r="V94" s="157">
        <f>IFERROR(ROUND(VLOOKUP($A94,'2.5 Päättäneet palaute'!$A:$Z,COLUMN('2.5 Päättäneet palaute'!Y:Y),FALSE),1),0)</f>
        <v>3217.1</v>
      </c>
      <c r="W94" s="17">
        <f>IFERROR(Ohj.lask.[[#This Row],[Painotetut pisteet 5]]/Ohj.lask.[[#Totals],[Painotetut pisteet 5]],0)</f>
        <v>3.3806720951826428E-4</v>
      </c>
      <c r="X94" s="20">
        <f>ROUND(IFERROR('1.1 Jakotaulu'!M$19*Ohj.lask.[[#This Row],[%-osuus 5]],0),0)</f>
        <v>7789</v>
      </c>
      <c r="Y94" s="157">
        <f>IFERROR(ROUND(VLOOKUP($A94,'2.6 Työpaikkaohjaajakysely'!A:I,COLUMN('2.6 Työpaikkaohjaajakysely'!H:H),FALSE),1),0)</f>
        <v>38117.1</v>
      </c>
      <c r="Z94" s="13">
        <f>IFERROR(Ohj.lask.[[#This Row],[Painotetut pisteet 6]]/Ohj.lask.[[#Totals],[Painotetut pisteet 6]],0)</f>
        <v>9.5395718660088054E-5</v>
      </c>
      <c r="AA94" s="20">
        <f>ROUND(IFERROR('1.1 Jakotaulu'!M$21*Ohj.lask.[[#This Row],[%-osuus 6]],0),0)</f>
        <v>2198</v>
      </c>
      <c r="AB94" s="157">
        <f>IFERROR(ROUND(VLOOKUP($A94,'2.7 Työpaikkakysely'!A:G,COLUMN('2.7 Työpaikkakysely'!F:F),FALSE),1),0)</f>
        <v>7014</v>
      </c>
      <c r="AC94" s="13">
        <f>IFERROR(Ohj.lask.[[#This Row],[Pisteet 7]]/Ohj.lask.[[#Totals],[Pisteet 7]],0)</f>
        <v>3.6690912377978082E-5</v>
      </c>
      <c r="AD94" s="20">
        <f>ROUND(IFERROR('1.1 Jakotaulu'!M$22*Ohj.lask.[[#This Row],[%-osuus 7]],0),0)</f>
        <v>282</v>
      </c>
      <c r="AE94" s="16">
        <f>IFERROR(Ohj.lask.[[#This Row],[Jaettava € 8]]/Ohj.lask.[[#Totals],[Jaettava € 8]],"")</f>
        <v>2.9037283778219025E-4</v>
      </c>
      <c r="AF94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585975</v>
      </c>
      <c r="AG94" s="105">
        <v>0</v>
      </c>
      <c r="AH94" s="105">
        <v>0</v>
      </c>
      <c r="AI94" s="105">
        <v>0</v>
      </c>
      <c r="AJ94" s="105">
        <v>0</v>
      </c>
      <c r="AK94" s="105">
        <v>0</v>
      </c>
      <c r="AL94" s="105">
        <v>0</v>
      </c>
      <c r="AM94" s="105">
        <v>0</v>
      </c>
      <c r="AN94" s="105">
        <v>0</v>
      </c>
      <c r="AO94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0</v>
      </c>
      <c r="AP94" s="14">
        <f>Ohj.lask.[[#This Row],[Jaettava € 1]]+Ohj.lask.[[#This Row],[Harkinnanvarainen korotus 9, €]]</f>
        <v>401553</v>
      </c>
      <c r="AQ94" s="105">
        <f>Ohj.lask.[[#This Row],[Jaettava € 2]]</f>
        <v>125962</v>
      </c>
      <c r="AR94" s="14">
        <f>Ohj.lask.[[#This Row],[Jaettava € 3]]+Ohj.lask.[[#This Row],[Jaettava € 4]]+Ohj.lask.[[#This Row],[Jaettava € 5]]+Ohj.lask.[[#This Row],[Jaettava € 6]]+Ohj.lask.[[#This Row],[Jaettava € 7]]</f>
        <v>58460</v>
      </c>
      <c r="AS94" s="37">
        <f>Ohj.lask.[[#This Row],[Jaettava € 8]]+Ohj.lask.[[#This Row],[Harkinnanvarainen korotus 9, €]]</f>
        <v>585975</v>
      </c>
      <c r="AT94" s="37">
        <v>38781</v>
      </c>
      <c r="AU94" s="20">
        <f>Ohj.lask.[[#This Row],[Perus-, suoritus- ja vaikuttavuusrahoitus yhteensä, €]]+Ohj.lask.[[#This Row],[Alv-korvaus, €]]</f>
        <v>624756</v>
      </c>
    </row>
    <row r="95" spans="1:47" ht="13" x14ac:dyDescent="0.3">
      <c r="A95" s="7" t="s">
        <v>240</v>
      </c>
      <c r="B95" s="11" t="s">
        <v>88</v>
      </c>
      <c r="C95" s="11" t="s">
        <v>187</v>
      </c>
      <c r="D95" s="11" t="s">
        <v>337</v>
      </c>
      <c r="E95" s="11" t="s">
        <v>388</v>
      </c>
      <c r="F95" s="109">
        <v>194</v>
      </c>
      <c r="G95" s="114">
        <f>Ohj.lask.[[#This Row],[Tavoitteelliset opiskelija-vuodet]]-Ohj.lask.[[#This Row],[Järjestämisluvan opisk.vuosien vähimmäismäärä]]</f>
        <v>41</v>
      </c>
      <c r="H95" s="36">
        <v>235</v>
      </c>
      <c r="I95" s="12">
        <f>IFERROR(VLOOKUP($A95,'2.1 Toteut. op.vuodet'!$A:$T,COLUMN('2.1 Toteut. op.vuodet'!S:S),FALSE),0)</f>
        <v>0.86356902066823737</v>
      </c>
      <c r="J95" s="78">
        <f t="shared" si="2"/>
        <v>202.9</v>
      </c>
      <c r="K95" s="13">
        <f>IFERROR(Ohj.lask.[[#This Row],[Painotetut opiskelija-vuodet]]/Ohj.lask.[[#Totals],[Painotetut opiskelija-vuodet]],0)</f>
        <v>9.3925096934032988E-4</v>
      </c>
      <c r="L95" s="14">
        <f>ROUND(IFERROR('1.1 Jakotaulu'!L$13*Ohj.lask.[[#This Row],[%-osuus 1]],0),0)</f>
        <v>1318366</v>
      </c>
      <c r="M95" s="157">
        <f>IFERROR(ROUND(VLOOKUP($A95,'2.2 Tutk. ja osien pain. pist.'!$A:$Q,COLUMN('2.2 Tutk. ja osien pain. pist.'!O:O),FALSE),1),0)</f>
        <v>17582.900000000001</v>
      </c>
      <c r="N95" s="13">
        <f>IFERROR(Ohj.lask.[[#This Row],[Painotetut pisteet 2]]/Ohj.lask.[[#Totals],[Painotetut pisteet 2]],0)</f>
        <v>1.1322766122353824E-3</v>
      </c>
      <c r="O95" s="20">
        <f>ROUND(IFERROR('1.1 Jakotaulu'!K$14*Ohj.lask.[[#This Row],[%-osuus 2]],0),0)</f>
        <v>463760</v>
      </c>
      <c r="P95" s="158">
        <f>IFERROR(ROUND(VLOOKUP($A95,'2.3 Työll. ja jatko-opisk.'!$A:$Z,COLUMN('2.3 Työll. ja jatko-opisk.'!M:M),FALSE),1),0)</f>
        <v>541.5</v>
      </c>
      <c r="Q95" s="13">
        <f>IFERROR(Ohj.lask.[[#This Row],[Painotetut pisteet 3]]/Ohj.lask.[[#Totals],[Painotetut pisteet 3]],0)</f>
        <v>1.7386848221965995E-3</v>
      </c>
      <c r="R95" s="14">
        <f>ROUND(IFERROR('1.1 Jakotaulu'!L$16*Ohj.lask.[[#This Row],[%-osuus 3]],0),0)</f>
        <v>249247</v>
      </c>
      <c r="S95" s="157">
        <f>IFERROR(ROUND(VLOOKUP($A95,'2.4 Aloittaneet palaute'!$A:$J,COLUMN('2.4 Aloittaneet palaute'!I:I),FALSE),1),0)</f>
        <v>4360.2</v>
      </c>
      <c r="T95" s="17">
        <f>IFERROR(Ohj.lask.[[#This Row],[Painotetut pisteet 4]]/Ohj.lask.[[#Totals],[Painotetut pisteet 4]],0)</f>
        <v>2.7799207121371127E-3</v>
      </c>
      <c r="U95" s="20">
        <f>ROUND(IFERROR('1.1 Jakotaulu'!M$18*Ohj.lask.[[#This Row],[%-osuus 4]],0),0)</f>
        <v>21349</v>
      </c>
      <c r="V95" s="157">
        <f>IFERROR(ROUND(VLOOKUP($A95,'2.5 Päättäneet palaute'!$A:$Z,COLUMN('2.5 Päättäneet palaute'!Y:Y),FALSE),1),0)</f>
        <v>19579</v>
      </c>
      <c r="W95" s="17">
        <f>IFERROR(Ohj.lask.[[#This Row],[Painotetut pisteet 5]]/Ohj.lask.[[#Totals],[Painotetut pisteet 5]],0)</f>
        <v>2.0574486012738483E-3</v>
      </c>
      <c r="X95" s="20">
        <f>ROUND(IFERROR('1.1 Jakotaulu'!M$19*Ohj.lask.[[#This Row],[%-osuus 5]],0),0)</f>
        <v>47402</v>
      </c>
      <c r="Y95" s="157">
        <f>IFERROR(ROUND(VLOOKUP($A95,'2.6 Työpaikkaohjaajakysely'!A:I,COLUMN('2.6 Työpaikkaohjaajakysely'!H:H),FALSE),1),0)</f>
        <v>176524.9</v>
      </c>
      <c r="Z95" s="13">
        <f>IFERROR(Ohj.lask.[[#This Row],[Painotetut pisteet 6]]/Ohj.lask.[[#Totals],[Painotetut pisteet 6]],0)</f>
        <v>4.4178911031794596E-4</v>
      </c>
      <c r="AA95" s="20">
        <f>ROUND(IFERROR('1.1 Jakotaulu'!M$21*Ohj.lask.[[#This Row],[%-osuus 6]],0),0)</f>
        <v>10178</v>
      </c>
      <c r="AB95" s="157">
        <f>IFERROR(ROUND(VLOOKUP($A95,'2.7 Työpaikkakysely'!A:G,COLUMN('2.7 Työpaikkakysely'!F:F),FALSE),1),0)</f>
        <v>165984</v>
      </c>
      <c r="AC95" s="13">
        <f>IFERROR(Ohj.lask.[[#This Row],[Pisteet 7]]/Ohj.lask.[[#Totals],[Pisteet 7]],0)</f>
        <v>8.6827835759143346E-4</v>
      </c>
      <c r="AD95" s="20">
        <f>ROUND(IFERROR('1.1 Jakotaulu'!M$22*Ohj.lask.[[#This Row],[%-osuus 7]],0),0)</f>
        <v>6668</v>
      </c>
      <c r="AE95" s="16">
        <f>IFERROR(Ohj.lask.[[#This Row],[Jaettava € 8]]/Ohj.lask.[[#Totals],[Jaettava € 8]],"")</f>
        <v>1.0490389289641423E-3</v>
      </c>
      <c r="AF95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2116970</v>
      </c>
      <c r="AG95" s="105">
        <v>0</v>
      </c>
      <c r="AH95" s="105">
        <v>0</v>
      </c>
      <c r="AI95" s="105">
        <v>0</v>
      </c>
      <c r="AJ95" s="105">
        <v>0</v>
      </c>
      <c r="AK95" s="105">
        <v>0</v>
      </c>
      <c r="AL95" s="105">
        <v>0</v>
      </c>
      <c r="AM95" s="105">
        <v>0</v>
      </c>
      <c r="AN95" s="105">
        <v>0</v>
      </c>
      <c r="AO95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0</v>
      </c>
      <c r="AP95" s="14">
        <f>Ohj.lask.[[#This Row],[Jaettava € 1]]+Ohj.lask.[[#This Row],[Harkinnanvarainen korotus 9, €]]</f>
        <v>1318366</v>
      </c>
      <c r="AQ95" s="105">
        <f>Ohj.lask.[[#This Row],[Jaettava € 2]]</f>
        <v>463760</v>
      </c>
      <c r="AR95" s="14">
        <f>Ohj.lask.[[#This Row],[Jaettava € 3]]+Ohj.lask.[[#This Row],[Jaettava € 4]]+Ohj.lask.[[#This Row],[Jaettava € 5]]+Ohj.lask.[[#This Row],[Jaettava € 6]]+Ohj.lask.[[#This Row],[Jaettava € 7]]</f>
        <v>334844</v>
      </c>
      <c r="AS95" s="37">
        <f>Ohj.lask.[[#This Row],[Jaettava € 8]]+Ohj.lask.[[#This Row],[Harkinnanvarainen korotus 9, €]]</f>
        <v>2116970</v>
      </c>
      <c r="AT95" s="37">
        <v>129756</v>
      </c>
      <c r="AU95" s="20">
        <f>Ohj.lask.[[#This Row],[Perus-, suoritus- ja vaikuttavuusrahoitus yhteensä, €]]+Ohj.lask.[[#This Row],[Alv-korvaus, €]]</f>
        <v>2246726</v>
      </c>
    </row>
    <row r="96" spans="1:47" ht="13" x14ac:dyDescent="0.3">
      <c r="A96" s="7" t="s">
        <v>244</v>
      </c>
      <c r="B96" s="11" t="s">
        <v>89</v>
      </c>
      <c r="C96" s="11" t="s">
        <v>180</v>
      </c>
      <c r="D96" s="11" t="s">
        <v>337</v>
      </c>
      <c r="E96" s="11" t="s">
        <v>388</v>
      </c>
      <c r="F96" s="109">
        <v>105</v>
      </c>
      <c r="G96" s="114">
        <f>Ohj.lask.[[#This Row],[Tavoitteelliset opiskelija-vuodet]]-Ohj.lask.[[#This Row],[Järjestämisluvan opisk.vuosien vähimmäismäärä]]</f>
        <v>19</v>
      </c>
      <c r="H96" s="36">
        <v>124</v>
      </c>
      <c r="I96" s="12">
        <f>IFERROR(VLOOKUP($A96,'2.1 Toteut. op.vuodet'!$A:$T,COLUMN('2.1 Toteut. op.vuodet'!S:S),FALSE),0)</f>
        <v>1.3403926529845305</v>
      </c>
      <c r="J96" s="78">
        <f t="shared" si="2"/>
        <v>166.2</v>
      </c>
      <c r="K96" s="13">
        <f>IFERROR(Ohj.lask.[[#This Row],[Painotetut opiskelija-vuodet]]/Ohj.lask.[[#Totals],[Painotetut opiskelija-vuodet]],0)</f>
        <v>7.693618092871503E-4</v>
      </c>
      <c r="L96" s="14">
        <f>ROUND(IFERROR('1.1 Jakotaulu'!L$13*Ohj.lask.[[#This Row],[%-osuus 1]],0),0)</f>
        <v>1079904</v>
      </c>
      <c r="M96" s="157">
        <f>IFERROR(ROUND(VLOOKUP($A96,'2.2 Tutk. ja osien pain. pist.'!$A:$Q,COLUMN('2.2 Tutk. ja osien pain. pist.'!O:O),FALSE),1),0)</f>
        <v>18736.8</v>
      </c>
      <c r="N96" s="13">
        <f>IFERROR(Ohj.lask.[[#This Row],[Painotetut pisteet 2]]/Ohj.lask.[[#Totals],[Painotetut pisteet 2]],0)</f>
        <v>1.2065836937099061E-3</v>
      </c>
      <c r="O96" s="20">
        <f>ROUND(IFERROR('1.1 Jakotaulu'!K$14*Ohj.lask.[[#This Row],[%-osuus 2]],0),0)</f>
        <v>494195</v>
      </c>
      <c r="P96" s="158">
        <f>IFERROR(ROUND(VLOOKUP($A96,'2.3 Työll. ja jatko-opisk.'!$A:$Z,COLUMN('2.3 Työll. ja jatko-opisk.'!M:M),FALSE),1),0)</f>
        <v>295</v>
      </c>
      <c r="Q96" s="13">
        <f>IFERROR(Ohj.lask.[[#This Row],[Painotetut pisteet 3]]/Ohj.lask.[[#Totals],[Painotetut pisteet 3]],0)</f>
        <v>9.4720595115050212E-4</v>
      </c>
      <c r="R96" s="14">
        <f>ROUND(IFERROR('1.1 Jakotaulu'!L$16*Ohj.lask.[[#This Row],[%-osuus 3]],0),0)</f>
        <v>135785</v>
      </c>
      <c r="S96" s="157">
        <f>IFERROR(ROUND(VLOOKUP($A96,'2.4 Aloittaneet palaute'!$A:$J,COLUMN('2.4 Aloittaneet palaute'!I:I),FALSE),1),0)</f>
        <v>1401.7</v>
      </c>
      <c r="T96" s="17">
        <f>IFERROR(Ohj.lask.[[#This Row],[Painotetut pisteet 4]]/Ohj.lask.[[#Totals],[Painotetut pisteet 4]],0)</f>
        <v>8.9367801068817741E-4</v>
      </c>
      <c r="U96" s="20">
        <f>ROUND(IFERROR('1.1 Jakotaulu'!M$18*Ohj.lask.[[#This Row],[%-osuus 4]],0),0)</f>
        <v>6863</v>
      </c>
      <c r="V96" s="157">
        <f>IFERROR(ROUND(VLOOKUP($A96,'2.5 Päättäneet palaute'!$A:$Z,COLUMN('2.5 Päättäneet palaute'!Y:Y),FALSE),1),0)</f>
        <v>6568.4</v>
      </c>
      <c r="W96" s="17">
        <f>IFERROR(Ohj.lask.[[#This Row],[Painotetut pisteet 5]]/Ohj.lask.[[#Totals],[Painotetut pisteet 5]],0)</f>
        <v>6.902367532870496E-4</v>
      </c>
      <c r="X96" s="20">
        <f>ROUND(IFERROR('1.1 Jakotaulu'!M$19*Ohj.lask.[[#This Row],[%-osuus 5]],0),0)</f>
        <v>15902</v>
      </c>
      <c r="Y96" s="157">
        <f>IFERROR(ROUND(VLOOKUP($A96,'2.6 Työpaikkaohjaajakysely'!A:I,COLUMN('2.6 Työpaikkaohjaajakysely'!H:H),FALSE),1),0)</f>
        <v>389008.9</v>
      </c>
      <c r="Z96" s="13">
        <f>IFERROR(Ohj.lask.[[#This Row],[Painotetut pisteet 6]]/Ohj.lask.[[#Totals],[Painotetut pisteet 6]],0)</f>
        <v>9.7357310972425327E-4</v>
      </c>
      <c r="AA96" s="20">
        <f>ROUND(IFERROR('1.1 Jakotaulu'!M$21*Ohj.lask.[[#This Row],[%-osuus 6]],0),0)</f>
        <v>22430</v>
      </c>
      <c r="AB96" s="157">
        <f>IFERROR(ROUND(VLOOKUP($A96,'2.7 Työpaikkakysely'!A:G,COLUMN('2.7 Työpaikkakysely'!F:F),FALSE),1),0)</f>
        <v>340955</v>
      </c>
      <c r="AC96" s="13">
        <f>IFERROR(Ohj.lask.[[#This Row],[Pisteet 7]]/Ohj.lask.[[#Totals],[Pisteet 7]],0)</f>
        <v>1.7835685813848755E-3</v>
      </c>
      <c r="AD96" s="20">
        <f>ROUND(IFERROR('1.1 Jakotaulu'!M$22*Ohj.lask.[[#This Row],[%-osuus 7]],0),0)</f>
        <v>13697</v>
      </c>
      <c r="AE96" s="16">
        <f>IFERROR(Ohj.lask.[[#This Row],[Jaettava € 8]]/Ohj.lask.[[#Totals],[Jaettava € 8]],"")</f>
        <v>8.7649559541112061E-4</v>
      </c>
      <c r="AF96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1768776</v>
      </c>
      <c r="AG96" s="105">
        <v>0</v>
      </c>
      <c r="AH96" s="105">
        <v>0</v>
      </c>
      <c r="AI96" s="105">
        <v>0</v>
      </c>
      <c r="AJ96" s="105">
        <v>0</v>
      </c>
      <c r="AK96" s="105">
        <v>0</v>
      </c>
      <c r="AL96" s="105">
        <v>0</v>
      </c>
      <c r="AM96" s="105">
        <v>0</v>
      </c>
      <c r="AN96" s="105">
        <v>0</v>
      </c>
      <c r="AO96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0</v>
      </c>
      <c r="AP96" s="14">
        <f>Ohj.lask.[[#This Row],[Jaettava € 1]]+Ohj.lask.[[#This Row],[Harkinnanvarainen korotus 9, €]]</f>
        <v>1079904</v>
      </c>
      <c r="AQ96" s="105">
        <f>Ohj.lask.[[#This Row],[Jaettava € 2]]</f>
        <v>494195</v>
      </c>
      <c r="AR96" s="14">
        <f>Ohj.lask.[[#This Row],[Jaettava € 3]]+Ohj.lask.[[#This Row],[Jaettava € 4]]+Ohj.lask.[[#This Row],[Jaettava € 5]]+Ohj.lask.[[#This Row],[Jaettava € 6]]+Ohj.lask.[[#This Row],[Jaettava € 7]]</f>
        <v>194677</v>
      </c>
      <c r="AS96" s="37">
        <f>Ohj.lask.[[#This Row],[Jaettava € 8]]+Ohj.lask.[[#This Row],[Harkinnanvarainen korotus 9, €]]</f>
        <v>1768776</v>
      </c>
      <c r="AT96" s="37">
        <v>258024</v>
      </c>
      <c r="AU96" s="20">
        <f>Ohj.lask.[[#This Row],[Perus-, suoritus- ja vaikuttavuusrahoitus yhteensä, €]]+Ohj.lask.[[#This Row],[Alv-korvaus, €]]</f>
        <v>2026800</v>
      </c>
    </row>
    <row r="97" spans="1:47" ht="13" x14ac:dyDescent="0.3">
      <c r="A97" s="7" t="s">
        <v>243</v>
      </c>
      <c r="B97" s="11" t="s">
        <v>90</v>
      </c>
      <c r="C97" s="11" t="s">
        <v>184</v>
      </c>
      <c r="D97" s="11" t="s">
        <v>337</v>
      </c>
      <c r="E97" s="11" t="s">
        <v>388</v>
      </c>
      <c r="F97" s="109">
        <v>68</v>
      </c>
      <c r="G97" s="114">
        <f>Ohj.lask.[[#This Row],[Tavoitteelliset opiskelija-vuodet]]-Ohj.lask.[[#This Row],[Järjestämisluvan opisk.vuosien vähimmäismäärä]]</f>
        <v>0</v>
      </c>
      <c r="H97" s="36">
        <v>68</v>
      </c>
      <c r="I97" s="12">
        <f>IFERROR(VLOOKUP($A97,'2.1 Toteut. op.vuodet'!$A:$T,COLUMN('2.1 Toteut. op.vuodet'!S:S),FALSE),0)</f>
        <v>1.1018034336285594</v>
      </c>
      <c r="J97" s="78">
        <f t="shared" si="2"/>
        <v>74.900000000000006</v>
      </c>
      <c r="K97" s="13">
        <f>IFERROR(Ohj.lask.[[#This Row],[Painotetut opiskelija-vuodet]]/Ohj.lask.[[#Totals],[Painotetut opiskelija-vuodet]],0)</f>
        <v>3.4672201874613457E-4</v>
      </c>
      <c r="L97" s="14">
        <f>ROUND(IFERROR('1.1 Jakotaulu'!L$13*Ohj.lask.[[#This Row],[%-osuus 1]],0),0)</f>
        <v>486672</v>
      </c>
      <c r="M97" s="157">
        <f>IFERROR(ROUND(VLOOKUP($A97,'2.2 Tutk. ja osien pain. pist.'!$A:$Q,COLUMN('2.2 Tutk. ja osien pain. pist.'!O:O),FALSE),1),0)</f>
        <v>5536.5</v>
      </c>
      <c r="N97" s="13">
        <f>IFERROR(Ohj.lask.[[#This Row],[Painotetut pisteet 2]]/Ohj.lask.[[#Totals],[Painotetut pisteet 2]],0)</f>
        <v>3.565310309244319E-4</v>
      </c>
      <c r="O97" s="20">
        <f>ROUND(IFERROR('1.1 Jakotaulu'!K$14*Ohj.lask.[[#This Row],[%-osuus 2]],0),0)</f>
        <v>146029</v>
      </c>
      <c r="P97" s="158">
        <f>IFERROR(ROUND(VLOOKUP($A97,'2.3 Työll. ja jatko-opisk.'!$A:$Z,COLUMN('2.3 Työll. ja jatko-opisk.'!M:M),FALSE),1),0)</f>
        <v>185</v>
      </c>
      <c r="Q97" s="13">
        <f>IFERROR(Ohj.lask.[[#This Row],[Painotetut pisteet 3]]/Ohj.lask.[[#Totals],[Painotetut pisteet 3]],0)</f>
        <v>5.940105117384504E-4</v>
      </c>
      <c r="R97" s="14">
        <f>ROUND(IFERROR('1.1 Jakotaulu'!L$16*Ohj.lask.[[#This Row],[%-osuus 3]],0),0)</f>
        <v>85154</v>
      </c>
      <c r="S97" s="157">
        <f>IFERROR(ROUND(VLOOKUP($A97,'2.4 Aloittaneet palaute'!$A:$J,COLUMN('2.4 Aloittaneet palaute'!I:I),FALSE),1),0)</f>
        <v>446</v>
      </c>
      <c r="T97" s="17">
        <f>IFERROR(Ohj.lask.[[#This Row],[Painotetut pisteet 4]]/Ohj.lask.[[#Totals],[Painotetut pisteet 4]],0)</f>
        <v>2.8435499234281736E-4</v>
      </c>
      <c r="U97" s="20">
        <f>ROUND(IFERROR('1.1 Jakotaulu'!M$18*Ohj.lask.[[#This Row],[%-osuus 4]],0),0)</f>
        <v>2184</v>
      </c>
      <c r="V97" s="157">
        <f>IFERROR(ROUND(VLOOKUP($A97,'2.5 Päättäneet palaute'!$A:$Z,COLUMN('2.5 Päättäneet palaute'!Y:Y),FALSE),1),0)</f>
        <v>3294.4</v>
      </c>
      <c r="W97" s="17">
        <f>IFERROR(Ohj.lask.[[#This Row],[Painotetut pisteet 5]]/Ohj.lask.[[#Totals],[Painotetut pisteet 5]],0)</f>
        <v>3.4619023811413075E-4</v>
      </c>
      <c r="X97" s="20">
        <f>ROUND(IFERROR('1.1 Jakotaulu'!M$19*Ohj.lask.[[#This Row],[%-osuus 5]],0),0)</f>
        <v>7976</v>
      </c>
      <c r="Y97" s="157">
        <f>IFERROR(ROUND(VLOOKUP($A97,'2.6 Työpaikkaohjaajakysely'!A:I,COLUMN('2.6 Työpaikkaohjaajakysely'!H:H),FALSE),1),0)</f>
        <v>84801.9</v>
      </c>
      <c r="Z97" s="13">
        <f>IFERROR(Ohj.lask.[[#This Row],[Painotetut pisteet 6]]/Ohj.lask.[[#Totals],[Painotetut pisteet 6]],0)</f>
        <v>2.1223383190853768E-4</v>
      </c>
      <c r="AA97" s="20">
        <f>ROUND(IFERROR('1.1 Jakotaulu'!M$21*Ohj.lask.[[#This Row],[%-osuus 6]],0),0)</f>
        <v>4890</v>
      </c>
      <c r="AB97" s="157">
        <f>IFERROR(ROUND(VLOOKUP($A97,'2.7 Työpaikkakysely'!A:G,COLUMN('2.7 Työpaikkakysely'!F:F),FALSE),1),0)</f>
        <v>38276</v>
      </c>
      <c r="AC97" s="13">
        <f>IFERROR(Ohj.lask.[[#This Row],[Pisteet 7]]/Ohj.lask.[[#Totals],[Pisteet 7]],0)</f>
        <v>2.0022545796685045E-4</v>
      </c>
      <c r="AD97" s="20">
        <f>ROUND(IFERROR('1.1 Jakotaulu'!M$22*Ohj.lask.[[#This Row],[%-osuus 7]],0),0)</f>
        <v>1538</v>
      </c>
      <c r="AE97" s="16">
        <f>IFERROR(Ohj.lask.[[#This Row],[Jaettava € 8]]/Ohj.lask.[[#Totals],[Jaettava € 8]],"")</f>
        <v>3.6394436298351493E-4</v>
      </c>
      <c r="AF97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734443</v>
      </c>
      <c r="AG97" s="105">
        <v>0</v>
      </c>
      <c r="AH97" s="105">
        <v>0</v>
      </c>
      <c r="AI97" s="105">
        <v>0</v>
      </c>
      <c r="AJ97" s="105">
        <v>0</v>
      </c>
      <c r="AK97" s="105">
        <v>0</v>
      </c>
      <c r="AL97" s="105">
        <v>0</v>
      </c>
      <c r="AM97" s="105">
        <v>0</v>
      </c>
      <c r="AN97" s="105">
        <v>0</v>
      </c>
      <c r="AO97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0</v>
      </c>
      <c r="AP97" s="14">
        <f>Ohj.lask.[[#This Row],[Jaettava € 1]]+Ohj.lask.[[#This Row],[Harkinnanvarainen korotus 9, €]]</f>
        <v>486672</v>
      </c>
      <c r="AQ97" s="105">
        <f>Ohj.lask.[[#This Row],[Jaettava € 2]]</f>
        <v>146029</v>
      </c>
      <c r="AR97" s="14">
        <f>Ohj.lask.[[#This Row],[Jaettava € 3]]+Ohj.lask.[[#This Row],[Jaettava € 4]]+Ohj.lask.[[#This Row],[Jaettava € 5]]+Ohj.lask.[[#This Row],[Jaettava € 6]]+Ohj.lask.[[#This Row],[Jaettava € 7]]</f>
        <v>101742</v>
      </c>
      <c r="AS97" s="37">
        <f>Ohj.lask.[[#This Row],[Jaettava € 8]]+Ohj.lask.[[#This Row],[Harkinnanvarainen korotus 9, €]]</f>
        <v>734443</v>
      </c>
      <c r="AT97" s="37">
        <v>27809</v>
      </c>
      <c r="AU97" s="20">
        <f>Ohj.lask.[[#This Row],[Perus-, suoritus- ja vaikuttavuusrahoitus yhteensä, €]]+Ohj.lask.[[#This Row],[Alv-korvaus, €]]</f>
        <v>762252</v>
      </c>
    </row>
    <row r="98" spans="1:47" ht="13" x14ac:dyDescent="0.3">
      <c r="A98" s="7" t="s">
        <v>238</v>
      </c>
      <c r="B98" s="11" t="s">
        <v>91</v>
      </c>
      <c r="C98" s="11" t="s">
        <v>187</v>
      </c>
      <c r="D98" s="11" t="s">
        <v>337</v>
      </c>
      <c r="E98" s="11" t="s">
        <v>388</v>
      </c>
      <c r="F98" s="109">
        <v>179</v>
      </c>
      <c r="G98" s="114">
        <f>Ohj.lask.[[#This Row],[Tavoitteelliset opiskelija-vuodet]]-Ohj.lask.[[#This Row],[Järjestämisluvan opisk.vuosien vähimmäismäärä]]</f>
        <v>5</v>
      </c>
      <c r="H98" s="36">
        <v>184</v>
      </c>
      <c r="I98" s="12">
        <f>IFERROR(VLOOKUP($A98,'2.1 Toteut. op.vuodet'!$A:$T,COLUMN('2.1 Toteut. op.vuodet'!S:S),FALSE),0)</f>
        <v>0.89121116860782024</v>
      </c>
      <c r="J98" s="78">
        <f t="shared" si="2"/>
        <v>164</v>
      </c>
      <c r="K98" s="13">
        <f>IFERROR(Ohj.lask.[[#This Row],[Painotetut opiskelija-vuodet]]/Ohj.lask.[[#Totals],[Painotetut opiskelija-vuodet]],0)</f>
        <v>7.5917771794881269E-4</v>
      </c>
      <c r="L98" s="14">
        <f>ROUND(IFERROR('1.1 Jakotaulu'!L$13*Ohj.lask.[[#This Row],[%-osuus 1]],0),0)</f>
        <v>1065609</v>
      </c>
      <c r="M98" s="157">
        <f>IFERROR(ROUND(VLOOKUP($A98,'2.2 Tutk. ja osien pain. pist.'!$A:$Q,COLUMN('2.2 Tutk. ja osien pain. pist.'!O:O),FALSE),1),0)</f>
        <v>13934.3</v>
      </c>
      <c r="N98" s="13">
        <f>IFERROR(Ohj.lask.[[#This Row],[Painotetut pisteet 2]]/Ohj.lask.[[#Totals],[Painotetut pisteet 2]],0)</f>
        <v>8.9731966842053847E-4</v>
      </c>
      <c r="O98" s="20">
        <f>ROUND(IFERROR('1.1 Jakotaulu'!K$14*Ohj.lask.[[#This Row],[%-osuus 2]],0),0)</f>
        <v>367526</v>
      </c>
      <c r="P98" s="158">
        <f>IFERROR(ROUND(VLOOKUP($A98,'2.3 Työll. ja jatko-opisk.'!$A:$Z,COLUMN('2.3 Työll. ja jatko-opisk.'!M:M),FALSE),1),0)</f>
        <v>271.39999999999998</v>
      </c>
      <c r="Q98" s="13">
        <f>IFERROR(Ohj.lask.[[#This Row],[Painotetut pisteet 3]]/Ohj.lask.[[#Totals],[Painotetut pisteet 3]],0)</f>
        <v>8.7142947505846181E-4</v>
      </c>
      <c r="R98" s="14">
        <f>ROUND(IFERROR('1.1 Jakotaulu'!L$16*Ohj.lask.[[#This Row],[%-osuus 3]],0),0)</f>
        <v>124923</v>
      </c>
      <c r="S98" s="157">
        <f>IFERROR(ROUND(VLOOKUP($A98,'2.4 Aloittaneet palaute'!$A:$J,COLUMN('2.4 Aloittaneet palaute'!I:I),FALSE),1),0)</f>
        <v>2501.1999999999998</v>
      </c>
      <c r="T98" s="17">
        <f>IFERROR(Ohj.lask.[[#This Row],[Painotetut pisteet 4]]/Ohj.lask.[[#Totals],[Painotetut pisteet 4]],0)</f>
        <v>1.5946831992104365E-3</v>
      </c>
      <c r="U98" s="20">
        <f>ROUND(IFERROR('1.1 Jakotaulu'!M$18*Ohj.lask.[[#This Row],[%-osuus 4]],0),0)</f>
        <v>12247</v>
      </c>
      <c r="V98" s="157">
        <f>IFERROR(ROUND(VLOOKUP($A98,'2.5 Päättäneet palaute'!$A:$Z,COLUMN('2.5 Päättäneet palaute'!Y:Y),FALSE),1),0)</f>
        <v>12082.1</v>
      </c>
      <c r="W98" s="17">
        <f>IFERROR(Ohj.lask.[[#This Row],[Painotetut pisteet 5]]/Ohj.lask.[[#Totals],[Painotetut pisteet 5]],0)</f>
        <v>1.2696409288242894E-3</v>
      </c>
      <c r="X98" s="20">
        <f>ROUND(IFERROR('1.1 Jakotaulu'!M$19*Ohj.lask.[[#This Row],[%-osuus 5]],0),0)</f>
        <v>29251</v>
      </c>
      <c r="Y98" s="157">
        <f>IFERROR(ROUND(VLOOKUP($A98,'2.6 Työpaikkaohjaajakysely'!A:I,COLUMN('2.6 Työpaikkaohjaajakysely'!H:H),FALSE),1),0)</f>
        <v>505625.4</v>
      </c>
      <c r="Z98" s="13">
        <f>IFERROR(Ohj.lask.[[#This Row],[Painotetut pisteet 6]]/Ohj.lask.[[#Totals],[Painotetut pisteet 6]],0)</f>
        <v>1.2654293848638667E-3</v>
      </c>
      <c r="AA98" s="20">
        <f>ROUND(IFERROR('1.1 Jakotaulu'!M$21*Ohj.lask.[[#This Row],[%-osuus 6]],0),0)</f>
        <v>29154</v>
      </c>
      <c r="AB98" s="157">
        <f>IFERROR(ROUND(VLOOKUP($A98,'2.7 Työpaikkakysely'!A:G,COLUMN('2.7 Työpaikkakysely'!F:F),FALSE),1),0)</f>
        <v>466406.8</v>
      </c>
      <c r="AC98" s="13">
        <f>IFERROR(Ohj.lask.[[#This Row],[Pisteet 7]]/Ohj.lask.[[#Totals],[Pisteet 7]],0)</f>
        <v>2.439819080594974E-3</v>
      </c>
      <c r="AD98" s="20">
        <f>ROUND(IFERROR('1.1 Jakotaulu'!M$22*Ohj.lask.[[#This Row],[%-osuus 7]],0),0)</f>
        <v>18737</v>
      </c>
      <c r="AE98" s="16">
        <f>IFERROR(Ohj.lask.[[#This Row],[Jaettava € 8]]/Ohj.lask.[[#Totals],[Jaettava € 8]],"")</f>
        <v>8.1637247405735055E-4</v>
      </c>
      <c r="AF98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1647447</v>
      </c>
      <c r="AG98" s="105">
        <v>0</v>
      </c>
      <c r="AH98" s="105">
        <v>0</v>
      </c>
      <c r="AI98" s="105">
        <v>0</v>
      </c>
      <c r="AJ98" s="105">
        <v>0</v>
      </c>
      <c r="AK98" s="105">
        <v>0</v>
      </c>
      <c r="AL98" s="105">
        <v>0</v>
      </c>
      <c r="AM98" s="105">
        <v>5000</v>
      </c>
      <c r="AN98" s="105">
        <v>0</v>
      </c>
      <c r="AO98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5000</v>
      </c>
      <c r="AP98" s="14">
        <f>Ohj.lask.[[#This Row],[Jaettava € 1]]+Ohj.lask.[[#This Row],[Harkinnanvarainen korotus 9, €]]</f>
        <v>1070609</v>
      </c>
      <c r="AQ98" s="105">
        <f>Ohj.lask.[[#This Row],[Jaettava € 2]]</f>
        <v>367526</v>
      </c>
      <c r="AR98" s="14">
        <f>Ohj.lask.[[#This Row],[Jaettava € 3]]+Ohj.lask.[[#This Row],[Jaettava € 4]]+Ohj.lask.[[#This Row],[Jaettava € 5]]+Ohj.lask.[[#This Row],[Jaettava € 6]]+Ohj.lask.[[#This Row],[Jaettava € 7]]</f>
        <v>214312</v>
      </c>
      <c r="AS98" s="37">
        <f>Ohj.lask.[[#This Row],[Jaettava € 8]]+Ohj.lask.[[#This Row],[Harkinnanvarainen korotus 9, €]]</f>
        <v>1652447</v>
      </c>
      <c r="AT98" s="37">
        <v>85173</v>
      </c>
      <c r="AU98" s="20">
        <f>Ohj.lask.[[#This Row],[Perus-, suoritus- ja vaikuttavuusrahoitus yhteensä, €]]+Ohj.lask.[[#This Row],[Alv-korvaus, €]]</f>
        <v>1737620</v>
      </c>
    </row>
    <row r="99" spans="1:47" ht="13" x14ac:dyDescent="0.3">
      <c r="A99" s="7" t="s">
        <v>237</v>
      </c>
      <c r="B99" s="11" t="s">
        <v>92</v>
      </c>
      <c r="C99" s="11" t="s">
        <v>194</v>
      </c>
      <c r="D99" s="11" t="s">
        <v>336</v>
      </c>
      <c r="E99" s="11" t="s">
        <v>388</v>
      </c>
      <c r="F99" s="109">
        <v>1630</v>
      </c>
      <c r="G99" s="114">
        <f>Ohj.lask.[[#This Row],[Tavoitteelliset opiskelija-vuodet]]-Ohj.lask.[[#This Row],[Järjestämisluvan opisk.vuosien vähimmäismäärä]]</f>
        <v>232</v>
      </c>
      <c r="H99" s="36">
        <v>1862</v>
      </c>
      <c r="I99" s="12">
        <f>IFERROR(VLOOKUP($A99,'2.1 Toteut. op.vuodet'!$A:$T,COLUMN('2.1 Toteut. op.vuodet'!S:S),FALSE),0)</f>
        <v>1.0108404674560103</v>
      </c>
      <c r="J99" s="78">
        <f t="shared" si="2"/>
        <v>1882.2</v>
      </c>
      <c r="K99" s="13">
        <f>IFERROR(Ohj.lask.[[#This Row],[Painotetut opiskelija-vuodet]]/Ohj.lask.[[#Totals],[Painotetut opiskelija-vuodet]],0)</f>
        <v>8.7129530531905811E-3</v>
      </c>
      <c r="L99" s="14">
        <f>ROUND(IFERROR('1.1 Jakotaulu'!L$13*Ohj.lask.[[#This Row],[%-osuus 1]],0),0)</f>
        <v>12229815</v>
      </c>
      <c r="M99" s="157">
        <f>IFERROR(ROUND(VLOOKUP($A99,'2.2 Tutk. ja osien pain. pist.'!$A:$Q,COLUMN('2.2 Tutk. ja osien pain. pist.'!O:O),FALSE),1),0)</f>
        <v>165391</v>
      </c>
      <c r="N99" s="13">
        <f>IFERROR(Ohj.lask.[[#This Row],[Painotetut pisteet 2]]/Ohj.lask.[[#Totals],[Painotetut pisteet 2]],0)</f>
        <v>1.0650595816061179E-2</v>
      </c>
      <c r="O99" s="20">
        <f>ROUND(IFERROR('1.1 Jakotaulu'!K$14*Ohj.lask.[[#This Row],[%-osuus 2]],0),0)</f>
        <v>4362292</v>
      </c>
      <c r="P99" s="158">
        <f>IFERROR(ROUND(VLOOKUP($A99,'2.3 Työll. ja jatko-opisk.'!$A:$Z,COLUMN('2.3 Työll. ja jatko-opisk.'!M:M),FALSE),1),0)</f>
        <v>3496.3</v>
      </c>
      <c r="Q99" s="13">
        <f>IFERROR(Ohj.lask.[[#This Row],[Painotetut pisteet 3]]/Ohj.lask.[[#Totals],[Painotetut pisteet 3]],0)</f>
        <v>1.122615649833051E-2</v>
      </c>
      <c r="R99" s="14">
        <f>ROUND(IFERROR('1.1 Jakotaulu'!L$16*Ohj.lask.[[#This Row],[%-osuus 3]],0),0)</f>
        <v>1609311</v>
      </c>
      <c r="S99" s="157">
        <f>IFERROR(ROUND(VLOOKUP($A99,'2.4 Aloittaneet palaute'!$A:$J,COLUMN('2.4 Aloittaneet palaute'!I:I),FALSE),1),0)</f>
        <v>15451.4</v>
      </c>
      <c r="T99" s="17">
        <f>IFERROR(Ohj.lask.[[#This Row],[Painotetut pisteet 4]]/Ohj.lask.[[#Totals],[Painotetut pisteet 4]],0)</f>
        <v>9.8513065665601085E-3</v>
      </c>
      <c r="U99" s="20">
        <f>ROUND(IFERROR('1.1 Jakotaulu'!M$18*Ohj.lask.[[#This Row],[%-osuus 4]],0),0)</f>
        <v>75655</v>
      </c>
      <c r="V99" s="157">
        <f>IFERROR(ROUND(VLOOKUP($A99,'2.5 Päättäneet palaute'!$A:$Z,COLUMN('2.5 Päättäneet palaute'!Y:Y),FALSE),1),0)</f>
        <v>117951.7</v>
      </c>
      <c r="W99" s="17">
        <f>IFERROR(Ohj.lask.[[#This Row],[Painotetut pisteet 5]]/Ohj.lask.[[#Totals],[Painotetut pisteet 5]],0)</f>
        <v>1.2394890453183132E-2</v>
      </c>
      <c r="X99" s="20">
        <f>ROUND(IFERROR('1.1 Jakotaulu'!M$19*Ohj.lask.[[#This Row],[%-osuus 5]],0),0)</f>
        <v>285566</v>
      </c>
      <c r="Y99" s="157">
        <f>IFERROR(ROUND(VLOOKUP($A99,'2.6 Työpaikkaohjaajakysely'!A:I,COLUMN('2.6 Työpaikkaohjaajakysely'!H:H),FALSE),1),0)</f>
        <v>4503865.3</v>
      </c>
      <c r="Z99" s="13">
        <f>IFERROR(Ohj.lask.[[#This Row],[Painotetut pisteet 6]]/Ohj.lask.[[#Totals],[Painotetut pisteet 6]],0)</f>
        <v>1.1271829888468249E-2</v>
      </c>
      <c r="AA99" s="20">
        <f>ROUND(IFERROR('1.1 Jakotaulu'!M$21*Ohj.lask.[[#This Row],[%-osuus 6]],0),0)</f>
        <v>259692</v>
      </c>
      <c r="AB99" s="157">
        <f>IFERROR(ROUND(VLOOKUP($A99,'2.7 Työpaikkakysely'!A:G,COLUMN('2.7 Työpaikkakysely'!F:F),FALSE),1),0)</f>
        <v>2054169.9</v>
      </c>
      <c r="AC99" s="13">
        <f>IFERROR(Ohj.lask.[[#This Row],[Pisteet 7]]/Ohj.lask.[[#Totals],[Pisteet 7]],0)</f>
        <v>1.0745561421497005E-2</v>
      </c>
      <c r="AD99" s="20">
        <f>ROUND(IFERROR('1.1 Jakotaulu'!M$22*Ohj.lask.[[#This Row],[%-osuus 7]],0),0)</f>
        <v>82522</v>
      </c>
      <c r="AE99" s="16">
        <f>IFERROR(Ohj.lask.[[#This Row],[Jaettava € 8]]/Ohj.lask.[[#Totals],[Jaettava € 8]],"")</f>
        <v>9.3680716983918309E-3</v>
      </c>
      <c r="AF99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18904853</v>
      </c>
      <c r="AG99" s="105">
        <v>0</v>
      </c>
      <c r="AH99" s="105">
        <v>0</v>
      </c>
      <c r="AI99" s="105">
        <v>0</v>
      </c>
      <c r="AJ99" s="105">
        <v>0</v>
      </c>
      <c r="AK99" s="105">
        <v>0</v>
      </c>
      <c r="AL99" s="105">
        <v>0</v>
      </c>
      <c r="AM99" s="105">
        <v>37000</v>
      </c>
      <c r="AN99" s="105">
        <v>0</v>
      </c>
      <c r="AO99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37000</v>
      </c>
      <c r="AP99" s="14">
        <f>Ohj.lask.[[#This Row],[Jaettava € 1]]+Ohj.lask.[[#This Row],[Harkinnanvarainen korotus 9, €]]</f>
        <v>12266815</v>
      </c>
      <c r="AQ99" s="105">
        <f>Ohj.lask.[[#This Row],[Jaettava € 2]]</f>
        <v>4362292</v>
      </c>
      <c r="AR99" s="14">
        <f>Ohj.lask.[[#This Row],[Jaettava € 3]]+Ohj.lask.[[#This Row],[Jaettava € 4]]+Ohj.lask.[[#This Row],[Jaettava € 5]]+Ohj.lask.[[#This Row],[Jaettava € 6]]+Ohj.lask.[[#This Row],[Jaettava € 7]]</f>
        <v>2312746</v>
      </c>
      <c r="AS99" s="37">
        <f>Ohj.lask.[[#This Row],[Jaettava € 8]]+Ohj.lask.[[#This Row],[Harkinnanvarainen korotus 9, €]]</f>
        <v>18941853</v>
      </c>
      <c r="AT99" s="37">
        <v>0</v>
      </c>
      <c r="AU99" s="20">
        <f>Ohj.lask.[[#This Row],[Perus-, suoritus- ja vaikuttavuusrahoitus yhteensä, €]]+Ohj.lask.[[#This Row],[Alv-korvaus, €]]</f>
        <v>18941853</v>
      </c>
    </row>
    <row r="100" spans="1:47" ht="13" x14ac:dyDescent="0.3">
      <c r="A100" s="7" t="s">
        <v>236</v>
      </c>
      <c r="B100" s="11" t="s">
        <v>93</v>
      </c>
      <c r="C100" s="11" t="s">
        <v>180</v>
      </c>
      <c r="D100" s="11" t="s">
        <v>337</v>
      </c>
      <c r="E100" s="11" t="s">
        <v>388</v>
      </c>
      <c r="F100" s="109">
        <v>67</v>
      </c>
      <c r="G100" s="114">
        <f>Ohj.lask.[[#This Row],[Tavoitteelliset opiskelija-vuodet]]-Ohj.lask.[[#This Row],[Järjestämisluvan opisk.vuosien vähimmäismäärä]]</f>
        <v>57</v>
      </c>
      <c r="H100" s="36">
        <v>124</v>
      </c>
      <c r="I100" s="12">
        <f>IFERROR(VLOOKUP($A100,'2.1 Toteut. op.vuodet'!$A:$T,COLUMN('2.1 Toteut. op.vuodet'!S:S),FALSE),0)</f>
        <v>0.88681160407117876</v>
      </c>
      <c r="J100" s="78">
        <f t="shared" si="2"/>
        <v>110</v>
      </c>
      <c r="K100" s="13">
        <f>IFERROR(Ohj.lask.[[#This Row],[Painotetut opiskelija-vuodet]]/Ohj.lask.[[#Totals],[Painotetut opiskelija-vuodet]],0)</f>
        <v>5.0920456691688656E-4</v>
      </c>
      <c r="L100" s="14">
        <f>ROUND(IFERROR('1.1 Jakotaulu'!L$13*Ohj.lask.[[#This Row],[%-osuus 1]],0),0)</f>
        <v>714738</v>
      </c>
      <c r="M100" s="157">
        <f>IFERROR(ROUND(VLOOKUP($A100,'2.2 Tutk. ja osien pain. pist.'!$A:$Q,COLUMN('2.2 Tutk. ja osien pain. pist.'!O:O),FALSE),1),0)</f>
        <v>5254</v>
      </c>
      <c r="N100" s="13">
        <f>IFERROR(Ohj.lask.[[#This Row],[Painotetut pisteet 2]]/Ohj.lask.[[#Totals],[Painotetut pisteet 2]],0)</f>
        <v>3.3833902943682207E-4</v>
      </c>
      <c r="O100" s="20">
        <f>ROUND(IFERROR('1.1 Jakotaulu'!K$14*Ohj.lask.[[#This Row],[%-osuus 2]],0),0)</f>
        <v>138578</v>
      </c>
      <c r="P100" s="158">
        <f>IFERROR(ROUND(VLOOKUP($A100,'2.3 Työll. ja jatko-opisk.'!$A:$Z,COLUMN('2.3 Työll. ja jatko-opisk.'!M:M),FALSE),1),0)</f>
        <v>90.8</v>
      </c>
      <c r="Q100" s="13">
        <f>IFERROR(Ohj.lask.[[#This Row],[Painotetut pisteet 3]]/Ohj.lask.[[#Totals],[Painotetut pisteet 3]],0)</f>
        <v>2.9154678089649352E-4</v>
      </c>
      <c r="R100" s="14">
        <f>ROUND(IFERROR('1.1 Jakotaulu'!L$16*Ohj.lask.[[#This Row],[%-osuus 3]],0),0)</f>
        <v>41794</v>
      </c>
      <c r="S100" s="157">
        <f>IFERROR(ROUND(VLOOKUP($A100,'2.4 Aloittaneet palaute'!$A:$J,COLUMN('2.4 Aloittaneet palaute'!I:I),FALSE),1),0)</f>
        <v>610.79999999999995</v>
      </c>
      <c r="T100" s="17">
        <f>IFERROR(Ohj.lask.[[#This Row],[Painotetut pisteet 4]]/Ohj.lask.[[#Totals],[Painotetut pisteet 4]],0)</f>
        <v>3.8942607471523054E-4</v>
      </c>
      <c r="U100" s="20">
        <f>ROUND(IFERROR('1.1 Jakotaulu'!M$18*Ohj.lask.[[#This Row],[%-osuus 4]],0),0)</f>
        <v>2991</v>
      </c>
      <c r="V100" s="157">
        <f>IFERROR(ROUND(VLOOKUP($A100,'2.5 Päättäneet palaute'!$A:$Z,COLUMN('2.5 Päättäneet palaute'!Y:Y),FALSE),1),0)</f>
        <v>7860.3</v>
      </c>
      <c r="W100" s="17">
        <f>IFERROR(Ohj.lask.[[#This Row],[Painotetut pisteet 5]]/Ohj.lask.[[#Totals],[Painotetut pisteet 5]],0)</f>
        <v>8.259953644513422E-4</v>
      </c>
      <c r="X100" s="20">
        <f>ROUND(IFERROR('1.1 Jakotaulu'!M$19*Ohj.lask.[[#This Row],[%-osuus 5]],0),0)</f>
        <v>19030</v>
      </c>
      <c r="Y100" s="157">
        <f>IFERROR(ROUND(VLOOKUP($A100,'2.6 Työpaikkaohjaajakysely'!A:I,COLUMN('2.6 Työpaikkaohjaajakysely'!H:H),FALSE),1),0)</f>
        <v>72120.399999999994</v>
      </c>
      <c r="Z100" s="13">
        <f>IFERROR(Ohj.lask.[[#This Row],[Painotetut pisteet 6]]/Ohj.lask.[[#Totals],[Painotetut pisteet 6]],0)</f>
        <v>1.8049582439516685E-4</v>
      </c>
      <c r="AA100" s="20">
        <f>ROUND(IFERROR('1.1 Jakotaulu'!M$21*Ohj.lask.[[#This Row],[%-osuus 6]],0),0)</f>
        <v>4158</v>
      </c>
      <c r="AB100" s="157">
        <f>IFERROR(ROUND(VLOOKUP($A100,'2.7 Työpaikkakysely'!A:G,COLUMN('2.7 Työpaikkakysely'!F:F),FALSE),1),0)</f>
        <v>0</v>
      </c>
      <c r="AC100" s="13">
        <f>IFERROR(Ohj.lask.[[#This Row],[Pisteet 7]]/Ohj.lask.[[#Totals],[Pisteet 7]],0)</f>
        <v>0</v>
      </c>
      <c r="AD100" s="20">
        <f>ROUND(IFERROR('1.1 Jakotaulu'!M$22*Ohj.lask.[[#This Row],[%-osuus 7]],0),0)</f>
        <v>0</v>
      </c>
      <c r="AE100" s="16">
        <f>IFERROR(Ohj.lask.[[#This Row],[Jaettava € 8]]/Ohj.lask.[[#Totals],[Jaettava € 8]],"")</f>
        <v>4.5653364281328775E-4</v>
      </c>
      <c r="AF100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921289</v>
      </c>
      <c r="AG100" s="105">
        <v>0</v>
      </c>
      <c r="AH100" s="105">
        <v>0</v>
      </c>
      <c r="AI100" s="105">
        <v>0</v>
      </c>
      <c r="AJ100" s="105">
        <v>0</v>
      </c>
      <c r="AK100" s="105">
        <v>0</v>
      </c>
      <c r="AL100" s="105">
        <v>0</v>
      </c>
      <c r="AM100" s="105">
        <v>0</v>
      </c>
      <c r="AN100" s="105">
        <v>0</v>
      </c>
      <c r="AO100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0</v>
      </c>
      <c r="AP100" s="14">
        <f>Ohj.lask.[[#This Row],[Jaettava € 1]]+Ohj.lask.[[#This Row],[Harkinnanvarainen korotus 9, €]]</f>
        <v>714738</v>
      </c>
      <c r="AQ100" s="105">
        <f>Ohj.lask.[[#This Row],[Jaettava € 2]]</f>
        <v>138578</v>
      </c>
      <c r="AR100" s="14">
        <f>Ohj.lask.[[#This Row],[Jaettava € 3]]+Ohj.lask.[[#This Row],[Jaettava € 4]]+Ohj.lask.[[#This Row],[Jaettava € 5]]+Ohj.lask.[[#This Row],[Jaettava € 6]]+Ohj.lask.[[#This Row],[Jaettava € 7]]</f>
        <v>67973</v>
      </c>
      <c r="AS100" s="37">
        <f>Ohj.lask.[[#This Row],[Jaettava € 8]]+Ohj.lask.[[#This Row],[Harkinnanvarainen korotus 9, €]]</f>
        <v>921289</v>
      </c>
      <c r="AT100" s="37">
        <v>94815</v>
      </c>
      <c r="AU100" s="20">
        <f>Ohj.lask.[[#This Row],[Perus-, suoritus- ja vaikuttavuusrahoitus yhteensä, €]]+Ohj.lask.[[#This Row],[Alv-korvaus, €]]</f>
        <v>1016104</v>
      </c>
    </row>
    <row r="101" spans="1:47" ht="13" x14ac:dyDescent="0.3">
      <c r="A101" s="7" t="s">
        <v>259</v>
      </c>
      <c r="B101" s="11" t="s">
        <v>456</v>
      </c>
      <c r="C101" s="11" t="s">
        <v>180</v>
      </c>
      <c r="D101" s="11" t="s">
        <v>337</v>
      </c>
      <c r="E101" s="11" t="s">
        <v>388</v>
      </c>
      <c r="F101" s="109">
        <v>1430</v>
      </c>
      <c r="G101" s="114">
        <f>Ohj.lask.[[#This Row],[Tavoitteelliset opiskelija-vuodet]]-Ohj.lask.[[#This Row],[Järjestämisluvan opisk.vuosien vähimmäismäärä]]</f>
        <v>35</v>
      </c>
      <c r="H101" s="36">
        <v>1465</v>
      </c>
      <c r="I101" s="12">
        <f>IFERROR(VLOOKUP($A101,'2.1 Toteut. op.vuodet'!$A:$T,COLUMN('2.1 Toteut. op.vuodet'!S:S),FALSE),0)</f>
        <v>0.7412435330577366</v>
      </c>
      <c r="J101" s="78">
        <f t="shared" si="2"/>
        <v>1085.9000000000001</v>
      </c>
      <c r="K101" s="13">
        <f>IFERROR(Ohj.lask.[[#This Row],[Painotetut opiskelija-vuodet]]/Ohj.lask.[[#Totals],[Painotetut opiskelija-vuodet]],0)</f>
        <v>5.0267749019549737E-3</v>
      </c>
      <c r="L101" s="14">
        <f>ROUND(IFERROR('1.1 Jakotaulu'!L$13*Ohj.lask.[[#This Row],[%-osuus 1]],0),0)</f>
        <v>7055762</v>
      </c>
      <c r="M101" s="157">
        <f>IFERROR(ROUND(VLOOKUP($A101,'2.2 Tutk. ja osien pain. pist.'!$A:$Q,COLUMN('2.2 Tutk. ja osien pain. pist.'!O:O),FALSE),1),0)</f>
        <v>119797.4</v>
      </c>
      <c r="N101" s="13">
        <f>IFERROR(Ohj.lask.[[#This Row],[Painotetut pisteet 2]]/Ohj.lask.[[#Totals],[Painotetut pisteet 2]],0)</f>
        <v>7.7145291292452884E-3</v>
      </c>
      <c r="O101" s="20">
        <f>ROUND(IFERROR('1.1 Jakotaulu'!K$14*Ohj.lask.[[#This Row],[%-osuus 2]],0),0)</f>
        <v>3159732</v>
      </c>
      <c r="P101" s="158">
        <f>IFERROR(ROUND(VLOOKUP($A101,'2.3 Työll. ja jatko-opisk.'!$A:$Z,COLUMN('2.3 Työll. ja jatko-opisk.'!M:M),FALSE),1),0)</f>
        <v>3029.6</v>
      </c>
      <c r="Q101" s="13">
        <f>IFERROR(Ohj.lask.[[#This Row],[Painotetut pisteet 3]]/Ohj.lask.[[#Totals],[Painotetut pisteet 3]],0)</f>
        <v>9.7276445749341044E-3</v>
      </c>
      <c r="R101" s="14">
        <f>ROUND(IFERROR('1.1 Jakotaulu'!L$16*Ohj.lask.[[#This Row],[%-osuus 3]],0),0)</f>
        <v>1394494</v>
      </c>
      <c r="S101" s="157">
        <f>IFERROR(ROUND(VLOOKUP($A101,'2.4 Aloittaneet palaute'!$A:$J,COLUMN('2.4 Aloittaneet palaute'!I:I),FALSE),1),0)</f>
        <v>25483.4</v>
      </c>
      <c r="T101" s="17">
        <f>IFERROR(Ohj.lask.[[#This Row],[Painotetut pisteet 4]]/Ohj.lask.[[#Totals],[Painotetut pisteet 4]],0)</f>
        <v>1.6247381192531284E-2</v>
      </c>
      <c r="U101" s="20">
        <f>ROUND(IFERROR('1.1 Jakotaulu'!M$18*Ohj.lask.[[#This Row],[%-osuus 4]],0),0)</f>
        <v>124774</v>
      </c>
      <c r="V101" s="157">
        <f>IFERROR(ROUND(VLOOKUP($A101,'2.5 Päättäneet palaute'!$A:$Z,COLUMN('2.5 Päättäneet palaute'!Y:Y),FALSE),1),0)</f>
        <v>225681.9</v>
      </c>
      <c r="W101" s="17">
        <f>IFERROR(Ohj.lask.[[#This Row],[Painotetut pisteet 5]]/Ohj.lask.[[#Totals],[Painotetut pisteet 5]],0)</f>
        <v>2.3715660119915445E-2</v>
      </c>
      <c r="X101" s="20">
        <f>ROUND(IFERROR('1.1 Jakotaulu'!M$19*Ohj.lask.[[#This Row],[%-osuus 5]],0),0)</f>
        <v>546385</v>
      </c>
      <c r="Y101" s="157">
        <f>IFERROR(ROUND(VLOOKUP($A101,'2.6 Työpaikkaohjaajakysely'!A:I,COLUMN('2.6 Työpaikkaohjaajakysely'!H:H),FALSE),1),0)</f>
        <v>2519087.7999999998</v>
      </c>
      <c r="Z101" s="13">
        <f>IFERROR(Ohj.lask.[[#This Row],[Painotetut pisteet 6]]/Ohj.lask.[[#Totals],[Painotetut pisteet 6]],0)</f>
        <v>6.3045245060316807E-3</v>
      </c>
      <c r="AA101" s="20">
        <f>ROUND(IFERROR('1.1 Jakotaulu'!M$21*Ohj.lask.[[#This Row],[%-osuus 6]],0),0)</f>
        <v>145250</v>
      </c>
      <c r="AB101" s="157">
        <f>IFERROR(ROUND(VLOOKUP($A101,'2.7 Työpaikkakysely'!A:G,COLUMN('2.7 Työpaikkakysely'!F:F),FALSE),1),0)</f>
        <v>1345393.9</v>
      </c>
      <c r="AC101" s="13">
        <f>IFERROR(Ohj.lask.[[#This Row],[Pisteet 7]]/Ohj.lask.[[#Totals],[Pisteet 7]],0)</f>
        <v>7.0378856143094104E-3</v>
      </c>
      <c r="AD101" s="20">
        <f>ROUND(IFERROR('1.1 Jakotaulu'!M$22*Ohj.lask.[[#This Row],[%-osuus 7]],0),0)</f>
        <v>54049</v>
      </c>
      <c r="AE101" s="16">
        <f>IFERROR(Ohj.lask.[[#This Row],[Jaettava € 8]]/Ohj.lask.[[#Totals],[Jaettava € 8]],"")</f>
        <v>6.1845343603522084E-3</v>
      </c>
      <c r="AF101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12480446</v>
      </c>
      <c r="AG101" s="105">
        <v>0</v>
      </c>
      <c r="AH101" s="105">
        <v>0</v>
      </c>
      <c r="AI101" s="105">
        <v>0</v>
      </c>
      <c r="AJ101" s="105">
        <v>0</v>
      </c>
      <c r="AK101" s="105">
        <v>0</v>
      </c>
      <c r="AL101" s="105">
        <v>0</v>
      </c>
      <c r="AM101" s="105">
        <v>0</v>
      </c>
      <c r="AN101" s="105">
        <v>0</v>
      </c>
      <c r="AO101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0</v>
      </c>
      <c r="AP101" s="14">
        <f>Ohj.lask.[[#This Row],[Jaettava € 1]]+Ohj.lask.[[#This Row],[Harkinnanvarainen korotus 9, €]]</f>
        <v>7055762</v>
      </c>
      <c r="AQ101" s="105">
        <f>Ohj.lask.[[#This Row],[Jaettava € 2]]</f>
        <v>3159732</v>
      </c>
      <c r="AR101" s="14">
        <f>Ohj.lask.[[#This Row],[Jaettava € 3]]+Ohj.lask.[[#This Row],[Jaettava € 4]]+Ohj.lask.[[#This Row],[Jaettava € 5]]+Ohj.lask.[[#This Row],[Jaettava € 6]]+Ohj.lask.[[#This Row],[Jaettava € 7]]</f>
        <v>2264952</v>
      </c>
      <c r="AS101" s="37">
        <f>Ohj.lask.[[#This Row],[Jaettava € 8]]+Ohj.lask.[[#This Row],[Harkinnanvarainen korotus 9, €]]</f>
        <v>12480446</v>
      </c>
      <c r="AT101" s="37">
        <v>1136797</v>
      </c>
      <c r="AU101" s="20">
        <f>Ohj.lask.[[#This Row],[Perus-, suoritus- ja vaikuttavuusrahoitus yhteensä, €]]+Ohj.lask.[[#This Row],[Alv-korvaus, €]]</f>
        <v>13617243</v>
      </c>
    </row>
    <row r="102" spans="1:47" ht="13" x14ac:dyDescent="0.3">
      <c r="A102" s="7" t="s">
        <v>235</v>
      </c>
      <c r="B102" s="11" t="s">
        <v>94</v>
      </c>
      <c r="C102" s="99" t="s">
        <v>187</v>
      </c>
      <c r="D102" s="99" t="s">
        <v>337</v>
      </c>
      <c r="E102" s="99" t="s">
        <v>388</v>
      </c>
      <c r="F102" s="108">
        <v>30</v>
      </c>
      <c r="G102" s="114">
        <f>Ohj.lask.[[#This Row],[Tavoitteelliset opiskelija-vuodet]]-Ohj.lask.[[#This Row],[Järjestämisluvan opisk.vuosien vähimmäismäärä]]</f>
        <v>11</v>
      </c>
      <c r="H102" s="36">
        <v>41</v>
      </c>
      <c r="I102" s="12">
        <f>IFERROR(VLOOKUP($A102,'2.1 Toteut. op.vuodet'!$A:$T,COLUMN('2.1 Toteut. op.vuodet'!S:S),FALSE),0)</f>
        <v>0.7550474840494098</v>
      </c>
      <c r="J102" s="78">
        <f t="shared" ref="J102:J132" si="3">IFERROR(ROUND(H102*I102,1),0)</f>
        <v>31</v>
      </c>
      <c r="K102" s="13">
        <f>IFERROR(Ohj.lask.[[#This Row],[Painotetut opiskelija-vuodet]]/Ohj.lask.[[#Totals],[Painotetut opiskelija-vuodet]],0)</f>
        <v>1.4350310522203167E-4</v>
      </c>
      <c r="L102" s="14">
        <f>ROUND(IFERROR('1.1 Jakotaulu'!L$13*Ohj.lask.[[#This Row],[%-osuus 1]],0),0)</f>
        <v>201426</v>
      </c>
      <c r="M102" s="157">
        <f>IFERROR(ROUND(VLOOKUP($A102,'2.2 Tutk. ja osien pain. pist.'!$A:$Q,COLUMN('2.2 Tutk. ja osien pain. pist.'!O:O),FALSE),1),0)</f>
        <v>2068.3000000000002</v>
      </c>
      <c r="N102" s="13">
        <f>IFERROR(Ohj.lask.[[#This Row],[Painotetut pisteet 2]]/Ohj.lask.[[#Totals],[Painotetut pisteet 2]],0)</f>
        <v>1.3319120947548137E-4</v>
      </c>
      <c r="O102" s="20">
        <f>ROUND(IFERROR('1.1 Jakotaulu'!K$14*Ohj.lask.[[#This Row],[%-osuus 2]],0),0)</f>
        <v>54553</v>
      </c>
      <c r="P102" s="158">
        <f>IFERROR(ROUND(VLOOKUP($A102,'2.3 Työll. ja jatko-opisk.'!$A:$Z,COLUMN('2.3 Työll. ja jatko-opisk.'!M:M),FALSE),1),0)</f>
        <v>96</v>
      </c>
      <c r="Q102" s="17">
        <f>IFERROR(Ohj.lask.[[#This Row],[Painotetut pisteet 3]]/Ohj.lask.[[#Totals],[Painotetut pisteet 3]],0)</f>
        <v>3.0824329257779048E-4</v>
      </c>
      <c r="R102" s="14">
        <f>ROUND(IFERROR('1.1 Jakotaulu'!L$16*Ohj.lask.[[#This Row],[%-osuus 3]],0),0)</f>
        <v>44188</v>
      </c>
      <c r="S102" s="157">
        <f>IFERROR(ROUND(VLOOKUP($A102,'2.4 Aloittaneet palaute'!$A:$J,COLUMN('2.4 Aloittaneet palaute'!I:I),FALSE),1),0)</f>
        <v>368.1</v>
      </c>
      <c r="T102" s="17">
        <f>IFERROR(Ohj.lask.[[#This Row],[Painotetut pisteet 4]]/Ohj.lask.[[#Totals],[Painotetut pisteet 4]],0)</f>
        <v>2.3468850376993515E-4</v>
      </c>
      <c r="U102" s="20">
        <f>ROUND(IFERROR('1.1 Jakotaulu'!M$18*Ohj.lask.[[#This Row],[%-osuus 4]],0),0)</f>
        <v>1802</v>
      </c>
      <c r="V102" s="157">
        <f>IFERROR(ROUND(VLOOKUP($A102,'2.5 Päättäneet palaute'!$A:$Z,COLUMN('2.5 Päättäneet palaute'!Y:Y),FALSE),1),0)</f>
        <v>3318</v>
      </c>
      <c r="W102" s="17">
        <f>IFERROR(Ohj.lask.[[#This Row],[Painotetut pisteet 5]]/Ohj.lask.[[#Totals],[Painotetut pisteet 5]],0)</f>
        <v>3.4867023132063071E-4</v>
      </c>
      <c r="X102" s="20">
        <f>ROUND(IFERROR('1.1 Jakotaulu'!M$19*Ohj.lask.[[#This Row],[%-osuus 5]],0),0)</f>
        <v>8033</v>
      </c>
      <c r="Y102" s="157">
        <f>IFERROR(ROUND(VLOOKUP($A102,'2.6 Työpaikkaohjaajakysely'!A:I,COLUMN('2.6 Työpaikkaohjaajakysely'!H:H),FALSE),1),0)</f>
        <v>206756.6</v>
      </c>
      <c r="Z102" s="13">
        <f>IFERROR(Ohj.lask.[[#This Row],[Painotetut pisteet 6]]/Ohj.lask.[[#Totals],[Painotetut pisteet 6]],0)</f>
        <v>5.1745002753925042E-4</v>
      </c>
      <c r="AA102" s="20">
        <f>ROUND(IFERROR('1.1 Jakotaulu'!M$21*Ohj.lask.[[#This Row],[%-osuus 6]],0),0)</f>
        <v>11922</v>
      </c>
      <c r="AB102" s="157">
        <f>IFERROR(ROUND(VLOOKUP($A102,'2.7 Työpaikkakysely'!A:G,COLUMN('2.7 Työpaikkakysely'!F:F),FALSE),1),0)</f>
        <v>220176</v>
      </c>
      <c r="AC102" s="13">
        <f>IFERROR(Ohj.lask.[[#This Row],[Pisteet 7]]/Ohj.lask.[[#Totals],[Pisteet 7]],0)</f>
        <v>1.1517619509172658E-3</v>
      </c>
      <c r="AD102" s="20">
        <f>ROUND(IFERROR('1.1 Jakotaulu'!M$22*Ohj.lask.[[#This Row],[%-osuus 7]],0),0)</f>
        <v>8845</v>
      </c>
      <c r="AE102" s="16">
        <f>IFERROR(Ohj.lask.[[#This Row],[Jaettava € 8]]/Ohj.lask.[[#Totals],[Jaettava € 8]],"")</f>
        <v>1.639085851450613E-4</v>
      </c>
      <c r="AF102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330769</v>
      </c>
      <c r="AG102" s="105">
        <v>0</v>
      </c>
      <c r="AH102" s="105">
        <v>0</v>
      </c>
      <c r="AI102" s="105">
        <v>0</v>
      </c>
      <c r="AJ102" s="105">
        <v>0</v>
      </c>
      <c r="AK102" s="105">
        <v>0</v>
      </c>
      <c r="AL102" s="105">
        <v>0</v>
      </c>
      <c r="AM102" s="105">
        <v>0</v>
      </c>
      <c r="AN102" s="105">
        <v>0</v>
      </c>
      <c r="AO102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0</v>
      </c>
      <c r="AP102" s="14">
        <f>Ohj.lask.[[#This Row],[Jaettava € 1]]+Ohj.lask.[[#This Row],[Harkinnanvarainen korotus 9, €]]</f>
        <v>201426</v>
      </c>
      <c r="AQ102" s="105">
        <f>Ohj.lask.[[#This Row],[Jaettava € 2]]</f>
        <v>54553</v>
      </c>
      <c r="AR102" s="14">
        <f>Ohj.lask.[[#This Row],[Jaettava € 3]]+Ohj.lask.[[#This Row],[Jaettava € 4]]+Ohj.lask.[[#This Row],[Jaettava € 5]]+Ohj.lask.[[#This Row],[Jaettava € 6]]+Ohj.lask.[[#This Row],[Jaettava € 7]]</f>
        <v>74790</v>
      </c>
      <c r="AS102" s="37">
        <f>Ohj.lask.[[#This Row],[Jaettava € 8]]+Ohj.lask.[[#This Row],[Harkinnanvarainen korotus 9, €]]</f>
        <v>330769</v>
      </c>
      <c r="AT102" s="37">
        <v>11740</v>
      </c>
      <c r="AU102" s="20">
        <f>Ohj.lask.[[#This Row],[Perus-, suoritus- ja vaikuttavuusrahoitus yhteensä, €]]+Ohj.lask.[[#This Row],[Alv-korvaus, €]]</f>
        <v>342509</v>
      </c>
    </row>
    <row r="103" spans="1:47" ht="13" x14ac:dyDescent="0.3">
      <c r="A103" s="7" t="s">
        <v>234</v>
      </c>
      <c r="B103" s="11" t="s">
        <v>95</v>
      </c>
      <c r="C103" s="11" t="s">
        <v>232</v>
      </c>
      <c r="D103" s="11" t="s">
        <v>337</v>
      </c>
      <c r="E103" s="11" t="s">
        <v>388</v>
      </c>
      <c r="F103" s="109">
        <v>50</v>
      </c>
      <c r="G103" s="114">
        <f>Ohj.lask.[[#This Row],[Tavoitteelliset opiskelija-vuodet]]-Ohj.lask.[[#This Row],[Järjestämisluvan opisk.vuosien vähimmäismäärä]]</f>
        <v>5</v>
      </c>
      <c r="H103" s="36">
        <v>55</v>
      </c>
      <c r="I103" s="12">
        <f>IFERROR(VLOOKUP($A103,'2.1 Toteut. op.vuodet'!$A:$T,COLUMN('2.1 Toteut. op.vuodet'!S:S),FALSE),0)</f>
        <v>1.1321699186004155</v>
      </c>
      <c r="J103" s="78">
        <f t="shared" si="3"/>
        <v>62.3</v>
      </c>
      <c r="K103" s="13">
        <f>IFERROR(Ohj.lask.[[#This Row],[Painotetut opiskelija-vuodet]]/Ohj.lask.[[#Totals],[Painotetut opiskelija-vuodet]],0)</f>
        <v>2.8839495017201846E-4</v>
      </c>
      <c r="L103" s="14">
        <f>ROUND(IFERROR('1.1 Jakotaulu'!L$13*Ohj.lask.[[#This Row],[%-osuus 1]],0),0)</f>
        <v>404802</v>
      </c>
      <c r="M103" s="157">
        <f>IFERROR(ROUND(VLOOKUP($A103,'2.2 Tutk. ja osien pain. pist.'!$A:$Q,COLUMN('2.2 Tutk. ja osien pain. pist.'!O:O),FALSE),1),0)</f>
        <v>5517.8</v>
      </c>
      <c r="N103" s="13">
        <f>IFERROR(Ohj.lask.[[#This Row],[Painotetut pisteet 2]]/Ohj.lask.[[#Totals],[Painotetut pisteet 2]],0)</f>
        <v>3.5532681702065035E-4</v>
      </c>
      <c r="O103" s="20">
        <f>ROUND(IFERROR('1.1 Jakotaulu'!K$14*Ohj.lask.[[#This Row],[%-osuus 2]],0),0)</f>
        <v>145535</v>
      </c>
      <c r="P103" s="158">
        <f>IFERROR(ROUND(VLOOKUP($A103,'2.3 Työll. ja jatko-opisk.'!$A:$Z,COLUMN('2.3 Työll. ja jatko-opisk.'!M:M),FALSE),1),0)</f>
        <v>112.1</v>
      </c>
      <c r="Q103" s="13">
        <f>IFERROR(Ohj.lask.[[#This Row],[Painotetut pisteet 3]]/Ohj.lask.[[#Totals],[Painotetut pisteet 3]],0)</f>
        <v>3.5993826143719077E-4</v>
      </c>
      <c r="R103" s="14">
        <f>ROUND(IFERROR('1.1 Jakotaulu'!L$16*Ohj.lask.[[#This Row],[%-osuus 3]],0),0)</f>
        <v>51598</v>
      </c>
      <c r="S103" s="157">
        <f>IFERROR(ROUND(VLOOKUP($A103,'2.4 Aloittaneet palaute'!$A:$J,COLUMN('2.4 Aloittaneet palaute'!I:I),FALSE),1),0)</f>
        <v>659.1</v>
      </c>
      <c r="T103" s="17">
        <f>IFERROR(Ohj.lask.[[#This Row],[Painotetut pisteet 4]]/Ohj.lask.[[#Totals],[Painotetut pisteet 4]],0)</f>
        <v>4.2022057276491239E-4</v>
      </c>
      <c r="U103" s="20">
        <f>ROUND(IFERROR('1.1 Jakotaulu'!M$18*Ohj.lask.[[#This Row],[%-osuus 4]],0),0)</f>
        <v>3227</v>
      </c>
      <c r="V103" s="157">
        <f>IFERROR(ROUND(VLOOKUP($A103,'2.5 Päättäneet palaute'!$A:$Z,COLUMN('2.5 Päättäneet palaute'!Y:Y),FALSE),1),0)</f>
        <v>4127.8999999999996</v>
      </c>
      <c r="W103" s="17">
        <f>IFERROR(Ohj.lask.[[#This Row],[Painotetut pisteet 5]]/Ohj.lask.[[#Totals],[Painotetut pisteet 5]],0)</f>
        <v>4.3377813377589851E-4</v>
      </c>
      <c r="X103" s="20">
        <f>ROUND(IFERROR('1.1 Jakotaulu'!M$19*Ohj.lask.[[#This Row],[%-osuus 5]],0),0)</f>
        <v>9994</v>
      </c>
      <c r="Y103" s="157">
        <f>IFERROR(ROUND(VLOOKUP($A103,'2.6 Työpaikkaohjaajakysely'!A:I,COLUMN('2.6 Työpaikkaohjaajakysely'!H:H),FALSE),1),0)</f>
        <v>117182.5</v>
      </c>
      <c r="Z103" s="13">
        <f>IFERROR(Ohj.lask.[[#This Row],[Painotetut pisteet 6]]/Ohj.lask.[[#Totals],[Painotetut pisteet 6]],0)</f>
        <v>2.9327280411903765E-4</v>
      </c>
      <c r="AA103" s="20">
        <f>ROUND(IFERROR('1.1 Jakotaulu'!M$21*Ohj.lask.[[#This Row],[%-osuus 6]],0),0)</f>
        <v>6757</v>
      </c>
      <c r="AB103" s="157">
        <f>IFERROR(ROUND(VLOOKUP($A103,'2.7 Työpaikkakysely'!A:G,COLUMN('2.7 Työpaikkakysely'!F:F),FALSE),1),0)</f>
        <v>28531</v>
      </c>
      <c r="AC103" s="13">
        <f>IFERROR(Ohj.lask.[[#This Row],[Pisteet 7]]/Ohj.lask.[[#Totals],[Pisteet 7]],0)</f>
        <v>1.4924842045282188E-4</v>
      </c>
      <c r="AD103" s="20">
        <f>ROUND(IFERROR('1.1 Jakotaulu'!M$22*Ohj.lask.[[#This Row],[%-osuus 7]],0),0)</f>
        <v>1146</v>
      </c>
      <c r="AE103" s="16">
        <f>IFERROR(Ohj.lask.[[#This Row],[Jaettava € 8]]/Ohj.lask.[[#Totals],[Jaettava € 8]],"")</f>
        <v>3.0874936633087366E-4</v>
      </c>
      <c r="AF103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623059</v>
      </c>
      <c r="AG103" s="105">
        <v>0</v>
      </c>
      <c r="AH103" s="105">
        <v>0</v>
      </c>
      <c r="AI103" s="105">
        <v>0</v>
      </c>
      <c r="AJ103" s="105">
        <v>0</v>
      </c>
      <c r="AK103" s="105">
        <v>0</v>
      </c>
      <c r="AL103" s="105">
        <v>0</v>
      </c>
      <c r="AM103" s="105">
        <v>0</v>
      </c>
      <c r="AN103" s="105">
        <v>0</v>
      </c>
      <c r="AO103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0</v>
      </c>
      <c r="AP103" s="14">
        <f>Ohj.lask.[[#This Row],[Jaettava € 1]]+Ohj.lask.[[#This Row],[Harkinnanvarainen korotus 9, €]]</f>
        <v>404802</v>
      </c>
      <c r="AQ103" s="105">
        <f>Ohj.lask.[[#This Row],[Jaettava € 2]]</f>
        <v>145535</v>
      </c>
      <c r="AR103" s="14">
        <f>Ohj.lask.[[#This Row],[Jaettava € 3]]+Ohj.lask.[[#This Row],[Jaettava € 4]]+Ohj.lask.[[#This Row],[Jaettava € 5]]+Ohj.lask.[[#This Row],[Jaettava € 6]]+Ohj.lask.[[#This Row],[Jaettava € 7]]</f>
        <v>72722</v>
      </c>
      <c r="AS103" s="37">
        <f>Ohj.lask.[[#This Row],[Jaettava € 8]]+Ohj.lask.[[#This Row],[Harkinnanvarainen korotus 9, €]]</f>
        <v>623059</v>
      </c>
      <c r="AT103" s="37">
        <v>31583</v>
      </c>
      <c r="AU103" s="20">
        <f>Ohj.lask.[[#This Row],[Perus-, suoritus- ja vaikuttavuusrahoitus yhteensä, €]]+Ohj.lask.[[#This Row],[Alv-korvaus, €]]</f>
        <v>654642</v>
      </c>
    </row>
    <row r="104" spans="1:47" ht="13" x14ac:dyDescent="0.3">
      <c r="A104" s="7" t="s">
        <v>233</v>
      </c>
      <c r="B104" s="11" t="s">
        <v>96</v>
      </c>
      <c r="C104" s="11" t="s">
        <v>232</v>
      </c>
      <c r="D104" s="11" t="s">
        <v>336</v>
      </c>
      <c r="E104" s="11" t="s">
        <v>388</v>
      </c>
      <c r="F104" s="109">
        <v>3103</v>
      </c>
      <c r="G104" s="114">
        <f>Ohj.lask.[[#This Row],[Tavoitteelliset opiskelija-vuodet]]-Ohj.lask.[[#This Row],[Järjestämisluvan opisk.vuosien vähimmäismäärä]]</f>
        <v>105</v>
      </c>
      <c r="H104" s="36">
        <v>3208</v>
      </c>
      <c r="I104" s="12">
        <f>IFERROR(VLOOKUP($A104,'2.1 Toteut. op.vuodet'!$A:$T,COLUMN('2.1 Toteut. op.vuodet'!S:S),FALSE),0)</f>
        <v>1.2429230698826279</v>
      </c>
      <c r="J104" s="78">
        <f t="shared" si="3"/>
        <v>3987.3</v>
      </c>
      <c r="K104" s="13">
        <f>IFERROR(Ohj.lask.[[#This Row],[Painotetut opiskelija-vuodet]]/Ohj.lask.[[#Totals],[Painotetut opiskelija-vuodet]],0)</f>
        <v>1.8457739724251833E-2</v>
      </c>
      <c r="L104" s="14">
        <f>ROUND(IFERROR('1.1 Jakotaulu'!L$13*Ohj.lask.[[#This Row],[%-osuus 1]],0),0)</f>
        <v>25907948</v>
      </c>
      <c r="M104" s="157">
        <f>IFERROR(ROUND(VLOOKUP($A104,'2.2 Tutk. ja osien pain. pist.'!$A:$Q,COLUMN('2.2 Tutk. ja osien pain. pist.'!O:O),FALSE),1),0)</f>
        <v>281759.7</v>
      </c>
      <c r="N104" s="13">
        <f>IFERROR(Ohj.lask.[[#This Row],[Painotetut pisteet 2]]/Ohj.lask.[[#Totals],[Painotetut pisteet 2]],0)</f>
        <v>1.8144328784242512E-2</v>
      </c>
      <c r="O104" s="20">
        <f>ROUND(IFERROR('1.1 Jakotaulu'!K$14*Ohj.lask.[[#This Row],[%-osuus 2]],0),0)</f>
        <v>7431590</v>
      </c>
      <c r="P104" s="158">
        <f>IFERROR(ROUND(VLOOKUP($A104,'2.3 Työll. ja jatko-opisk.'!$A:$Z,COLUMN('2.3 Työll. ja jatko-opisk.'!M:M),FALSE),1),0)</f>
        <v>5141.2</v>
      </c>
      <c r="Q104" s="13">
        <f>IFERROR(Ohj.lask.[[#This Row],[Painotetut pisteet 3]]/Ohj.lask.[[#Totals],[Painotetut pisteet 3]],0)</f>
        <v>1.650771266459309E-2</v>
      </c>
      <c r="R104" s="14">
        <f>ROUND(IFERROR('1.1 Jakotaulu'!L$16*Ohj.lask.[[#This Row],[%-osuus 3]],0),0)</f>
        <v>2366442</v>
      </c>
      <c r="S104" s="157">
        <f>IFERROR(ROUND(VLOOKUP($A104,'2.4 Aloittaneet palaute'!$A:$J,COLUMN('2.4 Aloittaneet palaute'!I:I),FALSE),1),0)</f>
        <v>31659.8</v>
      </c>
      <c r="T104" s="17">
        <f>IFERROR(Ohj.lask.[[#This Row],[Painotetut pisteet 4]]/Ohj.lask.[[#Totals],[Painotetut pisteet 4]],0)</f>
        <v>2.0185251539406118E-2</v>
      </c>
      <c r="U104" s="20">
        <f>ROUND(IFERROR('1.1 Jakotaulu'!M$18*Ohj.lask.[[#This Row],[%-osuus 4]],0),0)</f>
        <v>155016</v>
      </c>
      <c r="V104" s="157">
        <f>IFERROR(ROUND(VLOOKUP($A104,'2.5 Päättäneet palaute'!$A:$Z,COLUMN('2.5 Päättäneet palaute'!Y:Y),FALSE),1),0)</f>
        <v>176909.6</v>
      </c>
      <c r="W104" s="17">
        <f>IFERROR(Ohj.lask.[[#This Row],[Painotetut pisteet 5]]/Ohj.lask.[[#Totals],[Painotetut pisteet 5]],0)</f>
        <v>1.8590449413755348E-2</v>
      </c>
      <c r="X104" s="20">
        <f>ROUND(IFERROR('1.1 Jakotaulu'!M$19*Ohj.lask.[[#This Row],[%-osuus 5]],0),0)</f>
        <v>428305</v>
      </c>
      <c r="Y104" s="157">
        <f>IFERROR(ROUND(VLOOKUP($A104,'2.6 Työpaikkaohjaajakysely'!A:I,COLUMN('2.6 Työpaikkaohjaajakysely'!H:H),FALSE),1),0)</f>
        <v>8102962.7999999998</v>
      </c>
      <c r="Z104" s="13">
        <f>IFERROR(Ohj.lask.[[#This Row],[Painotetut pisteet 6]]/Ohj.lask.[[#Totals],[Painotetut pisteet 6]],0)</f>
        <v>2.0279296157943796E-2</v>
      </c>
      <c r="AA104" s="20">
        <f>ROUND(IFERROR('1.1 Jakotaulu'!M$21*Ohj.lask.[[#This Row],[%-osuus 6]],0),0)</f>
        <v>467214</v>
      </c>
      <c r="AB104" s="157">
        <f>IFERROR(ROUND(VLOOKUP($A104,'2.7 Työpaikkakysely'!A:G,COLUMN('2.7 Työpaikkakysely'!F:F),FALSE),1),0)</f>
        <v>3103229.8</v>
      </c>
      <c r="AC104" s="13">
        <f>IFERROR(Ohj.lask.[[#This Row],[Pisteet 7]]/Ohj.lask.[[#Totals],[Pisteet 7]],0)</f>
        <v>1.6233295221062226E-2</v>
      </c>
      <c r="AD104" s="20">
        <f>ROUND(IFERROR('1.1 Jakotaulu'!M$22*Ohj.lask.[[#This Row],[%-osuus 7]],0),0)</f>
        <v>124666</v>
      </c>
      <c r="AE104" s="16">
        <f>IFERROR(Ohj.lask.[[#This Row],[Jaettava € 8]]/Ohj.lask.[[#Totals],[Jaettava € 8]],"")</f>
        <v>1.8276024041518148E-2</v>
      </c>
      <c r="AF104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36881181</v>
      </c>
      <c r="AG104" s="105">
        <v>0</v>
      </c>
      <c r="AH104" s="105">
        <v>0</v>
      </c>
      <c r="AI104" s="105">
        <v>0</v>
      </c>
      <c r="AJ104" s="105">
        <v>0</v>
      </c>
      <c r="AK104" s="105">
        <v>0</v>
      </c>
      <c r="AL104" s="105">
        <v>0</v>
      </c>
      <c r="AM104" s="105">
        <v>48000</v>
      </c>
      <c r="AN104" s="105">
        <v>24000</v>
      </c>
      <c r="AO104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72000</v>
      </c>
      <c r="AP104" s="14">
        <f>Ohj.lask.[[#This Row],[Jaettava € 1]]+Ohj.lask.[[#This Row],[Harkinnanvarainen korotus 9, €]]</f>
        <v>25979948</v>
      </c>
      <c r="AQ104" s="105">
        <f>Ohj.lask.[[#This Row],[Jaettava € 2]]</f>
        <v>7431590</v>
      </c>
      <c r="AR104" s="14">
        <f>Ohj.lask.[[#This Row],[Jaettava € 3]]+Ohj.lask.[[#This Row],[Jaettava € 4]]+Ohj.lask.[[#This Row],[Jaettava € 5]]+Ohj.lask.[[#This Row],[Jaettava € 6]]+Ohj.lask.[[#This Row],[Jaettava € 7]]</f>
        <v>3541643</v>
      </c>
      <c r="AS104" s="37">
        <f>Ohj.lask.[[#This Row],[Jaettava € 8]]+Ohj.lask.[[#This Row],[Harkinnanvarainen korotus 9, €]]</f>
        <v>36953181</v>
      </c>
      <c r="AT104" s="37">
        <v>0</v>
      </c>
      <c r="AU104" s="20">
        <f>Ohj.lask.[[#This Row],[Perus-, suoritus- ja vaikuttavuusrahoitus yhteensä, €]]+Ohj.lask.[[#This Row],[Alv-korvaus, €]]</f>
        <v>36953181</v>
      </c>
    </row>
    <row r="105" spans="1:47" ht="13" x14ac:dyDescent="0.3">
      <c r="A105" s="7" t="s">
        <v>231</v>
      </c>
      <c r="B105" s="11" t="s">
        <v>97</v>
      </c>
      <c r="C105" s="11" t="s">
        <v>194</v>
      </c>
      <c r="D105" s="11" t="s">
        <v>336</v>
      </c>
      <c r="E105" s="11" t="s">
        <v>388</v>
      </c>
      <c r="F105" s="109">
        <v>1889</v>
      </c>
      <c r="G105" s="114">
        <f>Ohj.lask.[[#This Row],[Tavoitteelliset opiskelija-vuodet]]-Ohj.lask.[[#This Row],[Järjestämisluvan opisk.vuosien vähimmäismäärä]]</f>
        <v>81</v>
      </c>
      <c r="H105" s="36">
        <v>1970</v>
      </c>
      <c r="I105" s="12">
        <f>IFERROR(VLOOKUP($A105,'2.1 Toteut. op.vuodet'!$A:$T,COLUMN('2.1 Toteut. op.vuodet'!S:S),FALSE),0)</f>
        <v>1.0792391689592009</v>
      </c>
      <c r="J105" s="78">
        <f t="shared" si="3"/>
        <v>2126.1</v>
      </c>
      <c r="K105" s="13">
        <f>IFERROR(Ohj.lask.[[#This Row],[Painotetut opiskelija-vuodet]]/Ohj.lask.[[#Totals],[Painotetut opiskelija-vuodet]],0)</f>
        <v>9.8419984520181133E-3</v>
      </c>
      <c r="L105" s="14">
        <f>ROUND(IFERROR('1.1 Jakotaulu'!L$13*Ohj.lask.[[#This Row],[%-osuus 1]],0),0)</f>
        <v>13814583</v>
      </c>
      <c r="M105" s="157">
        <f>IFERROR(ROUND(VLOOKUP($A105,'2.2 Tutk. ja osien pain. pist.'!$A:$Q,COLUMN('2.2 Tutk. ja osien pain. pist.'!O:O),FALSE),1),0)</f>
        <v>169274.5</v>
      </c>
      <c r="N105" s="13">
        <f>IFERROR(Ohj.lask.[[#This Row],[Painotetut pisteet 2]]/Ohj.lask.[[#Totals],[Painotetut pisteet 2]],0)</f>
        <v>1.0900679489608553E-2</v>
      </c>
      <c r="O105" s="20">
        <f>ROUND(IFERROR('1.1 Jakotaulu'!K$14*Ohj.lask.[[#This Row],[%-osuus 2]],0),0)</f>
        <v>4464722</v>
      </c>
      <c r="P105" s="158">
        <f>IFERROR(ROUND(VLOOKUP($A105,'2.3 Työll. ja jatko-opisk.'!$A:$Z,COLUMN('2.3 Työll. ja jatko-opisk.'!M:M),FALSE),1),0)</f>
        <v>3791.1</v>
      </c>
      <c r="Q105" s="13">
        <f>IFERROR(Ohj.lask.[[#This Row],[Painotetut pisteet 3]]/Ohj.lask.[[#Totals],[Painotetut pisteet 3]],0)</f>
        <v>1.2172720275954807E-2</v>
      </c>
      <c r="R105" s="14">
        <f>ROUND(IFERROR('1.1 Jakotaulu'!L$16*Ohj.lask.[[#This Row],[%-osuus 3]],0),0)</f>
        <v>1745004</v>
      </c>
      <c r="S105" s="157">
        <f>IFERROR(ROUND(VLOOKUP($A105,'2.4 Aloittaneet palaute'!$A:$J,COLUMN('2.4 Aloittaneet palaute'!I:I),FALSE),1),0)</f>
        <v>15990.2</v>
      </c>
      <c r="T105" s="17">
        <f>IFERROR(Ohj.lask.[[#This Row],[Painotetut pisteet 4]]/Ohj.lask.[[#Totals],[Painotetut pisteet 4]],0)</f>
        <v>1.0194827799462149E-2</v>
      </c>
      <c r="U105" s="20">
        <f>ROUND(IFERROR('1.1 Jakotaulu'!M$18*Ohj.lask.[[#This Row],[%-osuus 4]],0),0)</f>
        <v>78293</v>
      </c>
      <c r="V105" s="157">
        <f>IFERROR(ROUND(VLOOKUP($A105,'2.5 Päättäneet palaute'!$A:$Z,COLUMN('2.5 Päättäneet palaute'!Y:Y),FALSE),1),0)</f>
        <v>110484.5</v>
      </c>
      <c r="W105" s="17">
        <f>IFERROR(Ohj.lask.[[#This Row],[Painotetut pisteet 5]]/Ohj.lask.[[#Totals],[Painotetut pisteet 5]],0)</f>
        <v>1.1610203789133279E-2</v>
      </c>
      <c r="X105" s="20">
        <f>ROUND(IFERROR('1.1 Jakotaulu'!M$19*Ohj.lask.[[#This Row],[%-osuus 5]],0),0)</f>
        <v>267487</v>
      </c>
      <c r="Y105" s="157">
        <f>IFERROR(ROUND(VLOOKUP($A105,'2.6 Työpaikkaohjaajakysely'!A:I,COLUMN('2.6 Työpaikkaohjaajakysely'!H:H),FALSE),1),0)</f>
        <v>4157207.1</v>
      </c>
      <c r="Z105" s="13">
        <f>IFERROR(Ohj.lask.[[#This Row],[Painotetut pisteet 6]]/Ohj.lask.[[#Totals],[Painotetut pisteet 6]],0)</f>
        <v>1.0404247933954067E-2</v>
      </c>
      <c r="AA105" s="20">
        <f>ROUND(IFERROR('1.1 Jakotaulu'!M$21*Ohj.lask.[[#This Row],[%-osuus 6]],0),0)</f>
        <v>239703</v>
      </c>
      <c r="AB105" s="157">
        <f>IFERROR(ROUND(VLOOKUP($A105,'2.7 Työpaikkakysely'!A:G,COLUMN('2.7 Työpaikkakysely'!F:F),FALSE),1),0)</f>
        <v>888952</v>
      </c>
      <c r="AC105" s="13">
        <f>IFERROR(Ohj.lask.[[#This Row],[Pisteet 7]]/Ohj.lask.[[#Totals],[Pisteet 7]],0)</f>
        <v>4.6501938893966886E-3</v>
      </c>
      <c r="AD105" s="20">
        <f>ROUND(IFERROR('1.1 Jakotaulu'!M$22*Ohj.lask.[[#This Row],[%-osuus 7]],0),0)</f>
        <v>35712</v>
      </c>
      <c r="AE105" s="16">
        <f>IFERROR(Ohj.lask.[[#This Row],[Jaettava € 8]]/Ohj.lask.[[#Totals],[Jaettava € 8]],"")</f>
        <v>1.0230630289557677E-2</v>
      </c>
      <c r="AF105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20645504</v>
      </c>
      <c r="AG105" s="105">
        <v>0</v>
      </c>
      <c r="AH105" s="105">
        <v>0</v>
      </c>
      <c r="AI105" s="105">
        <v>0</v>
      </c>
      <c r="AJ105" s="105">
        <v>0</v>
      </c>
      <c r="AK105" s="105">
        <v>0</v>
      </c>
      <c r="AL105" s="105">
        <v>0</v>
      </c>
      <c r="AM105" s="105">
        <v>0</v>
      </c>
      <c r="AN105" s="105">
        <v>0</v>
      </c>
      <c r="AO105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0</v>
      </c>
      <c r="AP105" s="14">
        <f>Ohj.lask.[[#This Row],[Jaettava € 1]]+Ohj.lask.[[#This Row],[Harkinnanvarainen korotus 9, €]]</f>
        <v>13814583</v>
      </c>
      <c r="AQ105" s="105">
        <f>Ohj.lask.[[#This Row],[Jaettava € 2]]</f>
        <v>4464722</v>
      </c>
      <c r="AR105" s="14">
        <f>Ohj.lask.[[#This Row],[Jaettava € 3]]+Ohj.lask.[[#This Row],[Jaettava € 4]]+Ohj.lask.[[#This Row],[Jaettava € 5]]+Ohj.lask.[[#This Row],[Jaettava € 6]]+Ohj.lask.[[#This Row],[Jaettava € 7]]</f>
        <v>2366199</v>
      </c>
      <c r="AS105" s="37">
        <f>Ohj.lask.[[#This Row],[Jaettava € 8]]+Ohj.lask.[[#This Row],[Harkinnanvarainen korotus 9, €]]</f>
        <v>20645504</v>
      </c>
      <c r="AT105" s="37">
        <v>0</v>
      </c>
      <c r="AU105" s="20">
        <f>Ohj.lask.[[#This Row],[Perus-, suoritus- ja vaikuttavuusrahoitus yhteensä, €]]+Ohj.lask.[[#This Row],[Alv-korvaus, €]]</f>
        <v>20645504</v>
      </c>
    </row>
    <row r="106" spans="1:47" ht="13" x14ac:dyDescent="0.3">
      <c r="A106" s="7" t="s">
        <v>230</v>
      </c>
      <c r="B106" s="11" t="s">
        <v>98</v>
      </c>
      <c r="C106" s="11" t="s">
        <v>189</v>
      </c>
      <c r="D106" s="11" t="s">
        <v>336</v>
      </c>
      <c r="E106" s="11" t="s">
        <v>388</v>
      </c>
      <c r="F106" s="109">
        <v>3324</v>
      </c>
      <c r="G106" s="114">
        <f>Ohj.lask.[[#This Row],[Tavoitteelliset opiskelija-vuodet]]-Ohj.lask.[[#This Row],[Järjestämisluvan opisk.vuosien vähimmäismäärä]]</f>
        <v>587</v>
      </c>
      <c r="H106" s="36">
        <v>3911</v>
      </c>
      <c r="I106" s="12">
        <f>IFERROR(VLOOKUP($A106,'2.1 Toteut. op.vuodet'!$A:$T,COLUMN('2.1 Toteut. op.vuodet'!S:S),FALSE),0)</f>
        <v>1.0434192099534212</v>
      </c>
      <c r="J106" s="78">
        <f t="shared" si="3"/>
        <v>4080.8</v>
      </c>
      <c r="K106" s="13">
        <f>IFERROR(Ohj.lask.[[#This Row],[Painotetut opiskelija-vuodet]]/Ohj.lask.[[#Totals],[Painotetut opiskelija-vuodet]],0)</f>
        <v>1.8890563606131189E-2</v>
      </c>
      <c r="L106" s="14">
        <f>ROUND(IFERROR('1.1 Jakotaulu'!L$13*Ohj.lask.[[#This Row],[%-osuus 1]],0),0)</f>
        <v>26515475</v>
      </c>
      <c r="M106" s="157">
        <f>IFERROR(ROUND(VLOOKUP($A106,'2.2 Tutk. ja osien pain. pist.'!$A:$Q,COLUMN('2.2 Tutk. ja osien pain. pist.'!O:O),FALSE),1),0)</f>
        <v>304182.90000000002</v>
      </c>
      <c r="N106" s="13">
        <f>IFERROR(Ohj.lask.[[#This Row],[Painotetut pisteet 2]]/Ohj.lask.[[#Totals],[Painotetut pisteet 2]],0)</f>
        <v>1.9588303608161002E-2</v>
      </c>
      <c r="O106" s="20">
        <f>ROUND(IFERROR('1.1 Jakotaulu'!K$14*Ohj.lask.[[#This Row],[%-osuus 2]],0),0)</f>
        <v>8023017</v>
      </c>
      <c r="P106" s="158">
        <f>IFERROR(ROUND(VLOOKUP($A106,'2.3 Työll. ja jatko-opisk.'!$A:$Z,COLUMN('2.3 Työll. ja jatko-opisk.'!M:M),FALSE),1),0)</f>
        <v>6062.9</v>
      </c>
      <c r="Q106" s="13">
        <f>IFERROR(Ohj.lask.[[#This Row],[Painotetut pisteet 3]]/Ohj.lask.[[#Totals],[Painotetut pisteet 3]],0)</f>
        <v>1.9467169360102978E-2</v>
      </c>
      <c r="R106" s="14">
        <f>ROUND(IFERROR('1.1 Jakotaulu'!L$16*Ohj.lask.[[#This Row],[%-osuus 3]],0),0)</f>
        <v>2790691</v>
      </c>
      <c r="S106" s="157">
        <f>IFERROR(ROUND(VLOOKUP($A106,'2.4 Aloittaneet palaute'!$A:$J,COLUMN('2.4 Aloittaneet palaute'!I:I),FALSE),1),0)</f>
        <v>24677.599999999999</v>
      </c>
      <c r="T106" s="17">
        <f>IFERROR(Ohj.lask.[[#This Row],[Painotetut pisteet 4]]/Ohj.lask.[[#Totals],[Painotetut pisteet 4]],0)</f>
        <v>1.5733629504571994E-2</v>
      </c>
      <c r="U106" s="20">
        <f>ROUND(IFERROR('1.1 Jakotaulu'!M$18*Ohj.lask.[[#This Row],[%-osuus 4]],0),0)</f>
        <v>120829</v>
      </c>
      <c r="V106" s="157">
        <f>IFERROR(ROUND(VLOOKUP($A106,'2.5 Päättäneet palaute'!$A:$Z,COLUMN('2.5 Päättäneet palaute'!Y:Y),FALSE),1),0)</f>
        <v>151374.1</v>
      </c>
      <c r="W106" s="17">
        <f>IFERROR(Ohj.lask.[[#This Row],[Painotetut pisteet 5]]/Ohj.lask.[[#Totals],[Painotetut pisteet 5]],0)</f>
        <v>1.5907065238985017E-2</v>
      </c>
      <c r="X106" s="20">
        <f>ROUND(IFERROR('1.1 Jakotaulu'!M$19*Ohj.lask.[[#This Row],[%-osuus 5]],0),0)</f>
        <v>366483</v>
      </c>
      <c r="Y106" s="157">
        <f>IFERROR(ROUND(VLOOKUP($A106,'2.6 Työpaikkaohjaajakysely'!A:I,COLUMN('2.6 Työpaikkaohjaajakysely'!H:H),FALSE),1),0)</f>
        <v>11016612.699999999</v>
      </c>
      <c r="Z106" s="13">
        <f>IFERROR(Ohj.lask.[[#This Row],[Painotetut pisteet 6]]/Ohj.lask.[[#Totals],[Painotetut pisteet 6]],0)</f>
        <v>2.7571291774986899E-2</v>
      </c>
      <c r="AA106" s="20">
        <f>ROUND(IFERROR('1.1 Jakotaulu'!M$21*Ohj.lask.[[#This Row],[%-osuus 6]],0),0)</f>
        <v>635215</v>
      </c>
      <c r="AB106" s="157">
        <f>IFERROR(ROUND(VLOOKUP($A106,'2.7 Työpaikkakysely'!A:G,COLUMN('2.7 Työpaikkakysely'!F:F),FALSE),1),0)</f>
        <v>2642181.4</v>
      </c>
      <c r="AC106" s="13">
        <f>IFERROR(Ohj.lask.[[#This Row],[Pisteet 7]]/Ohj.lask.[[#Totals],[Pisteet 7]],0)</f>
        <v>1.3821506449119397E-2</v>
      </c>
      <c r="AD106" s="20">
        <f>ROUND(IFERROR('1.1 Jakotaulu'!M$22*Ohj.lask.[[#This Row],[%-osuus 7]],0),0)</f>
        <v>106145</v>
      </c>
      <c r="AE106" s="16">
        <f>IFERROR(Ohj.lask.[[#This Row],[Jaettava € 8]]/Ohj.lask.[[#Totals],[Jaettava € 8]],"")</f>
        <v>1.9106879602618223E-2</v>
      </c>
      <c r="AF106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38557855</v>
      </c>
      <c r="AG106" s="105">
        <v>0</v>
      </c>
      <c r="AH106" s="105">
        <v>0</v>
      </c>
      <c r="AI106" s="105">
        <v>0</v>
      </c>
      <c r="AJ106" s="105">
        <v>0</v>
      </c>
      <c r="AK106" s="105">
        <v>0</v>
      </c>
      <c r="AL106" s="105">
        <v>0</v>
      </c>
      <c r="AM106" s="105">
        <v>89000</v>
      </c>
      <c r="AN106" s="105">
        <v>0</v>
      </c>
      <c r="AO106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89000</v>
      </c>
      <c r="AP106" s="14">
        <f>Ohj.lask.[[#This Row],[Jaettava € 1]]+Ohj.lask.[[#This Row],[Harkinnanvarainen korotus 9, €]]</f>
        <v>26604475</v>
      </c>
      <c r="AQ106" s="105">
        <f>Ohj.lask.[[#This Row],[Jaettava € 2]]</f>
        <v>8023017</v>
      </c>
      <c r="AR106" s="14">
        <f>Ohj.lask.[[#This Row],[Jaettava € 3]]+Ohj.lask.[[#This Row],[Jaettava € 4]]+Ohj.lask.[[#This Row],[Jaettava € 5]]+Ohj.lask.[[#This Row],[Jaettava € 6]]+Ohj.lask.[[#This Row],[Jaettava € 7]]</f>
        <v>4019363</v>
      </c>
      <c r="AS106" s="37">
        <f>Ohj.lask.[[#This Row],[Jaettava € 8]]+Ohj.lask.[[#This Row],[Harkinnanvarainen korotus 9, €]]</f>
        <v>38646855</v>
      </c>
      <c r="AT106" s="37">
        <v>0</v>
      </c>
      <c r="AU106" s="20">
        <f>Ohj.lask.[[#This Row],[Perus-, suoritus- ja vaikuttavuusrahoitus yhteensä, €]]+Ohj.lask.[[#This Row],[Alv-korvaus, €]]</f>
        <v>38646855</v>
      </c>
    </row>
    <row r="107" spans="1:47" ht="13" x14ac:dyDescent="0.3">
      <c r="A107" s="7" t="s">
        <v>229</v>
      </c>
      <c r="B107" s="11" t="s">
        <v>99</v>
      </c>
      <c r="C107" s="99" t="s">
        <v>224</v>
      </c>
      <c r="D107" s="99" t="s">
        <v>336</v>
      </c>
      <c r="E107" s="99" t="s">
        <v>388</v>
      </c>
      <c r="F107" s="108">
        <v>1814</v>
      </c>
      <c r="G107" s="114">
        <f>Ohj.lask.[[#This Row],[Tavoitteelliset opiskelija-vuodet]]-Ohj.lask.[[#This Row],[Järjestämisluvan opisk.vuosien vähimmäismäärä]]</f>
        <v>679</v>
      </c>
      <c r="H107" s="36">
        <v>2493</v>
      </c>
      <c r="I107" s="12">
        <f>IFERROR(VLOOKUP($A107,'2.1 Toteut. op.vuodet'!$A:$T,COLUMN('2.1 Toteut. op.vuodet'!S:S),FALSE),0)</f>
        <v>1.0389371154483498</v>
      </c>
      <c r="J107" s="78">
        <f t="shared" si="3"/>
        <v>2590.1</v>
      </c>
      <c r="K107" s="13">
        <f>IFERROR(Ohj.lask.[[#This Row],[Painotetut opiskelija-vuodet]]/Ohj.lask.[[#Totals],[Painotetut opiskelija-vuodet]],0)</f>
        <v>1.198991589792207E-2</v>
      </c>
      <c r="L107" s="14">
        <f>ROUND(IFERROR('1.1 Jakotaulu'!L$13*Ohj.lask.[[#This Row],[%-osuus 1]],0),0)</f>
        <v>16829478</v>
      </c>
      <c r="M107" s="157">
        <f>IFERROR(ROUND(VLOOKUP($A107,'2.2 Tutk. ja osien pain. pist.'!$A:$Q,COLUMN('2.2 Tutk. ja osien pain. pist.'!O:O),FALSE),1),0)</f>
        <v>238390.6</v>
      </c>
      <c r="N107" s="13">
        <f>IFERROR(Ohj.lask.[[#This Row],[Painotetut pisteet 2]]/Ohj.lask.[[#Totals],[Painotetut pisteet 2]],0)</f>
        <v>1.5351512034804277E-2</v>
      </c>
      <c r="O107" s="20">
        <f>ROUND(IFERROR('1.1 Jakotaulu'!K$14*Ohj.lask.[[#This Row],[%-osuus 2]],0),0)</f>
        <v>6287703</v>
      </c>
      <c r="P107" s="158">
        <f>IFERROR(ROUND(VLOOKUP($A107,'2.3 Työll. ja jatko-opisk.'!$A:$Z,COLUMN('2.3 Työll. ja jatko-opisk.'!M:M),FALSE),1),0)</f>
        <v>3762.3</v>
      </c>
      <c r="Q107" s="17">
        <f>IFERROR(Ohj.lask.[[#This Row],[Painotetut pisteet 3]]/Ohj.lask.[[#Totals],[Painotetut pisteet 3]],0)</f>
        <v>1.2080247288181472E-2</v>
      </c>
      <c r="R107" s="14">
        <f>ROUND(IFERROR('1.1 Jakotaulu'!L$16*Ohj.lask.[[#This Row],[%-osuus 3]],0),0)</f>
        <v>1731748</v>
      </c>
      <c r="S107" s="157">
        <f>IFERROR(ROUND(VLOOKUP($A107,'2.4 Aloittaneet palaute'!$A:$J,COLUMN('2.4 Aloittaneet palaute'!I:I),FALSE),1),0)</f>
        <v>25968.9</v>
      </c>
      <c r="T107" s="17">
        <f>IFERROR(Ohj.lask.[[#This Row],[Painotetut pisteet 4]]/Ohj.lask.[[#Totals],[Painotetut pisteet 4]],0)</f>
        <v>1.6556920091146614E-2</v>
      </c>
      <c r="U107" s="20">
        <f>ROUND(IFERROR('1.1 Jakotaulu'!M$18*Ohj.lask.[[#This Row],[%-osuus 4]],0),0)</f>
        <v>127152</v>
      </c>
      <c r="V107" s="157">
        <f>IFERROR(ROUND(VLOOKUP($A107,'2.5 Päättäneet palaute'!$A:$Z,COLUMN('2.5 Päättäneet palaute'!Y:Y),FALSE),1),0)</f>
        <v>162082.4</v>
      </c>
      <c r="W107" s="17">
        <f>IFERROR(Ohj.lask.[[#This Row],[Painotetut pisteet 5]]/Ohj.lask.[[#Totals],[Painotetut pisteet 5]],0)</f>
        <v>1.7032341139542793E-2</v>
      </c>
      <c r="X107" s="20">
        <f>ROUND(IFERROR('1.1 Jakotaulu'!M$19*Ohj.lask.[[#This Row],[%-osuus 5]],0),0)</f>
        <v>392408</v>
      </c>
      <c r="Y107" s="157">
        <f>IFERROR(ROUND(VLOOKUP($A107,'2.6 Työpaikkaohjaajakysely'!A:I,COLUMN('2.6 Työpaikkaohjaajakysely'!H:H),FALSE),1),0)</f>
        <v>10561452</v>
      </c>
      <c r="Z107" s="13">
        <f>IFERROR(Ohj.lask.[[#This Row],[Painotetut pisteet 6]]/Ohj.lask.[[#Totals],[Painotetut pisteet 6]],0)</f>
        <v>2.6432160464306687E-2</v>
      </c>
      <c r="AA107" s="20">
        <f>ROUND(IFERROR('1.1 Jakotaulu'!M$21*Ohj.lask.[[#This Row],[%-osuus 6]],0),0)</f>
        <v>608970</v>
      </c>
      <c r="AB107" s="157">
        <f>IFERROR(ROUND(VLOOKUP($A107,'2.7 Työpaikkakysely'!A:G,COLUMN('2.7 Työpaikkakysely'!F:F),FALSE),1),0)</f>
        <v>5282421.5999999996</v>
      </c>
      <c r="AC107" s="13">
        <f>IFERROR(Ohj.lask.[[#This Row],[Pisteet 7]]/Ohj.lask.[[#Totals],[Pisteet 7]],0)</f>
        <v>2.7632858293290385E-2</v>
      </c>
      <c r="AD107" s="20">
        <f>ROUND(IFERROR('1.1 Jakotaulu'!M$22*Ohj.lask.[[#This Row],[%-osuus 7]],0),0)</f>
        <v>212211</v>
      </c>
      <c r="AE107" s="16">
        <f>IFERROR(Ohj.lask.[[#This Row],[Jaettava € 8]]/Ohj.lask.[[#Totals],[Jaettava € 8]],"")</f>
        <v>1.2977974825682146E-2</v>
      </c>
      <c r="AF107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26189670</v>
      </c>
      <c r="AG107" s="105">
        <v>0</v>
      </c>
      <c r="AH107" s="105">
        <v>0</v>
      </c>
      <c r="AI107" s="105">
        <v>0</v>
      </c>
      <c r="AJ107" s="105">
        <v>0</v>
      </c>
      <c r="AK107" s="105">
        <v>0</v>
      </c>
      <c r="AL107" s="105">
        <v>0</v>
      </c>
      <c r="AM107" s="105">
        <v>50000</v>
      </c>
      <c r="AN107" s="105">
        <v>0</v>
      </c>
      <c r="AO107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50000</v>
      </c>
      <c r="AP107" s="14">
        <f>Ohj.lask.[[#This Row],[Jaettava € 1]]+Ohj.lask.[[#This Row],[Harkinnanvarainen korotus 9, €]]</f>
        <v>16879478</v>
      </c>
      <c r="AQ107" s="105">
        <f>Ohj.lask.[[#This Row],[Jaettava € 2]]</f>
        <v>6287703</v>
      </c>
      <c r="AR107" s="14">
        <f>Ohj.lask.[[#This Row],[Jaettava € 3]]+Ohj.lask.[[#This Row],[Jaettava € 4]]+Ohj.lask.[[#This Row],[Jaettava € 5]]+Ohj.lask.[[#This Row],[Jaettava € 6]]+Ohj.lask.[[#This Row],[Jaettava € 7]]</f>
        <v>3072489</v>
      </c>
      <c r="AS107" s="37">
        <f>Ohj.lask.[[#This Row],[Jaettava € 8]]+Ohj.lask.[[#This Row],[Harkinnanvarainen korotus 9, €]]</f>
        <v>26239670</v>
      </c>
      <c r="AT107" s="37">
        <v>0</v>
      </c>
      <c r="AU107" s="20">
        <f>Ohj.lask.[[#This Row],[Perus-, suoritus- ja vaikuttavuusrahoitus yhteensä, €]]+Ohj.lask.[[#This Row],[Alv-korvaus, €]]</f>
        <v>26239670</v>
      </c>
    </row>
    <row r="108" spans="1:47" ht="13" x14ac:dyDescent="0.3">
      <c r="A108" s="7" t="s">
        <v>228</v>
      </c>
      <c r="B108" s="11" t="s">
        <v>100</v>
      </c>
      <c r="C108" s="11" t="s">
        <v>184</v>
      </c>
      <c r="D108" s="11" t="s">
        <v>336</v>
      </c>
      <c r="E108" s="11" t="s">
        <v>388</v>
      </c>
      <c r="F108" s="109">
        <v>5625</v>
      </c>
      <c r="G108" s="114">
        <f>Ohj.lask.[[#This Row],[Tavoitteelliset opiskelija-vuodet]]-Ohj.lask.[[#This Row],[Järjestämisluvan opisk.vuosien vähimmäismäärä]]</f>
        <v>491</v>
      </c>
      <c r="H108" s="36">
        <v>6116</v>
      </c>
      <c r="I108" s="12">
        <f>IFERROR(VLOOKUP($A108,'2.1 Toteut. op.vuodet'!$A:$T,COLUMN('2.1 Toteut. op.vuodet'!S:S),FALSE),0)</f>
        <v>1.1105317792016782</v>
      </c>
      <c r="J108" s="78">
        <f t="shared" si="3"/>
        <v>6792</v>
      </c>
      <c r="K108" s="13">
        <f>IFERROR(Ohj.lask.[[#This Row],[Painotetut opiskelija-vuodet]]/Ohj.lask.[[#Totals],[Painotetut opiskelija-vuodet]],0)</f>
        <v>3.1441067440904483E-2</v>
      </c>
      <c r="L108" s="14">
        <f>ROUND(IFERROR('1.1 Jakotaulu'!L$13*Ohj.lask.[[#This Row],[%-osuus 1]],0),0)</f>
        <v>44131814</v>
      </c>
      <c r="M108" s="157">
        <f>IFERROR(ROUND(VLOOKUP($A108,'2.2 Tutk. ja osien pain. pist.'!$A:$Q,COLUMN('2.2 Tutk. ja osien pain. pist.'!O:O),FALSE),1),0)</f>
        <v>473897.3</v>
      </c>
      <c r="N108" s="13">
        <f>IFERROR(Ohj.lask.[[#This Row],[Painotetut pisteet 2]]/Ohj.lask.[[#Totals],[Painotetut pisteet 2]],0)</f>
        <v>3.051731110291787E-2</v>
      </c>
      <c r="O108" s="20">
        <f>ROUND(IFERROR('1.1 Jakotaulu'!K$14*Ohj.lask.[[#This Row],[%-osuus 2]],0),0)</f>
        <v>12499341</v>
      </c>
      <c r="P108" s="158">
        <f>IFERROR(ROUND(VLOOKUP($A108,'2.3 Työll. ja jatko-opisk.'!$A:$Z,COLUMN('2.3 Työll. ja jatko-opisk.'!M:M),FALSE),1),0)</f>
        <v>10747.5</v>
      </c>
      <c r="Q108" s="13">
        <f>IFERROR(Ohj.lask.[[#This Row],[Painotetut pisteet 3]]/Ohj.lask.[[#Totals],[Painotetut pisteet 3]],0)</f>
        <v>3.4508799864372955E-2</v>
      </c>
      <c r="R108" s="14">
        <f>ROUND(IFERROR('1.1 Jakotaulu'!L$16*Ohj.lask.[[#This Row],[%-osuus 3]],0),0)</f>
        <v>4946964</v>
      </c>
      <c r="S108" s="157">
        <f>IFERROR(ROUND(VLOOKUP($A108,'2.4 Aloittaneet palaute'!$A:$J,COLUMN('2.4 Aloittaneet palaute'!I:I),FALSE),1),0)</f>
        <v>68447.7</v>
      </c>
      <c r="T108" s="17">
        <f>IFERROR(Ohj.lask.[[#This Row],[Painotetut pisteet 4]]/Ohj.lask.[[#Totals],[Painotetut pisteet 4]],0)</f>
        <v>4.3640011680231967E-2</v>
      </c>
      <c r="U108" s="20">
        <f>ROUND(IFERROR('1.1 Jakotaulu'!M$18*Ohj.lask.[[#This Row],[%-osuus 4]],0),0)</f>
        <v>335141</v>
      </c>
      <c r="V108" s="157">
        <f>IFERROR(ROUND(VLOOKUP($A108,'2.5 Päättäneet palaute'!$A:$Z,COLUMN('2.5 Päättäneet palaute'!Y:Y),FALSE),1),0)</f>
        <v>338929.7</v>
      </c>
      <c r="W108" s="17">
        <f>IFERROR(Ohj.lask.[[#This Row],[Painotetut pisteet 5]]/Ohj.lask.[[#Totals],[Painotetut pisteet 5]],0)</f>
        <v>3.5616243791570815E-2</v>
      </c>
      <c r="X108" s="20">
        <f>ROUND(IFERROR('1.1 Jakotaulu'!M$19*Ohj.lask.[[#This Row],[%-osuus 5]],0),0)</f>
        <v>820562</v>
      </c>
      <c r="Y108" s="157">
        <f>IFERROR(ROUND(VLOOKUP($A108,'2.6 Työpaikkaohjaajakysely'!A:I,COLUMN('2.6 Työpaikkaohjaajakysely'!H:H),FALSE),1),0)</f>
        <v>20293576.5</v>
      </c>
      <c r="Z108" s="13">
        <f>IFERROR(Ohj.lask.[[#This Row],[Painotetut pisteet 6]]/Ohj.lask.[[#Totals],[Painotetut pisteet 6]],0)</f>
        <v>5.0788761852317586E-2</v>
      </c>
      <c r="AA108" s="20">
        <f>ROUND(IFERROR('1.1 Jakotaulu'!M$21*Ohj.lask.[[#This Row],[%-osuus 6]],0),0)</f>
        <v>1170122</v>
      </c>
      <c r="AB108" s="157">
        <f>IFERROR(ROUND(VLOOKUP($A108,'2.7 Työpaikkakysely'!A:G,COLUMN('2.7 Työpaikkakysely'!F:F),FALSE),1),0)</f>
        <v>8186200</v>
      </c>
      <c r="AC108" s="13">
        <f>IFERROR(Ohj.lask.[[#This Row],[Pisteet 7]]/Ohj.lask.[[#Totals],[Pisteet 7]],0)</f>
        <v>4.2822803950471083E-2</v>
      </c>
      <c r="AD108" s="20">
        <f>ROUND(IFERROR('1.1 Jakotaulu'!M$22*Ohj.lask.[[#This Row],[%-osuus 7]],0),0)</f>
        <v>328865</v>
      </c>
      <c r="AE108" s="16">
        <f>IFERROR(Ohj.lask.[[#This Row],[Jaettava € 8]]/Ohj.lask.[[#Totals],[Jaettava € 8]],"")</f>
        <v>3.1829793127780899E-2</v>
      </c>
      <c r="AF108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64232809</v>
      </c>
      <c r="AG108" s="105">
        <v>0</v>
      </c>
      <c r="AH108" s="105">
        <v>0</v>
      </c>
      <c r="AI108" s="105">
        <v>0</v>
      </c>
      <c r="AJ108" s="105">
        <v>0</v>
      </c>
      <c r="AK108" s="105">
        <v>0</v>
      </c>
      <c r="AL108" s="105">
        <v>0</v>
      </c>
      <c r="AM108" s="105">
        <v>80000</v>
      </c>
      <c r="AN108" s="105">
        <v>42000</v>
      </c>
      <c r="AO108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122000</v>
      </c>
      <c r="AP108" s="14">
        <f>Ohj.lask.[[#This Row],[Jaettava € 1]]+Ohj.lask.[[#This Row],[Harkinnanvarainen korotus 9, €]]</f>
        <v>44253814</v>
      </c>
      <c r="AQ108" s="105">
        <f>Ohj.lask.[[#This Row],[Jaettava € 2]]</f>
        <v>12499341</v>
      </c>
      <c r="AR108" s="14">
        <f>Ohj.lask.[[#This Row],[Jaettava € 3]]+Ohj.lask.[[#This Row],[Jaettava € 4]]+Ohj.lask.[[#This Row],[Jaettava € 5]]+Ohj.lask.[[#This Row],[Jaettava € 6]]+Ohj.lask.[[#This Row],[Jaettava € 7]]</f>
        <v>7601654</v>
      </c>
      <c r="AS108" s="37">
        <f>Ohj.lask.[[#This Row],[Jaettava € 8]]+Ohj.lask.[[#This Row],[Harkinnanvarainen korotus 9, €]]</f>
        <v>64354809</v>
      </c>
      <c r="AT108" s="37">
        <v>0</v>
      </c>
      <c r="AU108" s="20">
        <f>Ohj.lask.[[#This Row],[Perus-, suoritus- ja vaikuttavuusrahoitus yhteensä, €]]+Ohj.lask.[[#This Row],[Alv-korvaus, €]]</f>
        <v>64354809</v>
      </c>
    </row>
    <row r="109" spans="1:47" ht="13" x14ac:dyDescent="0.3">
      <c r="A109" s="7" t="s">
        <v>227</v>
      </c>
      <c r="B109" s="11" t="s">
        <v>101</v>
      </c>
      <c r="C109" s="11" t="s">
        <v>209</v>
      </c>
      <c r="D109" s="11" t="s">
        <v>336</v>
      </c>
      <c r="E109" s="11" t="s">
        <v>388</v>
      </c>
      <c r="F109" s="109">
        <v>4109</v>
      </c>
      <c r="G109" s="114">
        <f>Ohj.lask.[[#This Row],[Tavoitteelliset opiskelija-vuodet]]-Ohj.lask.[[#This Row],[Järjestämisluvan opisk.vuosien vähimmäismäärä]]</f>
        <v>668</v>
      </c>
      <c r="H109" s="36">
        <v>4777</v>
      </c>
      <c r="I109" s="12">
        <f>IFERROR(VLOOKUP($A109,'2.1 Toteut. op.vuodet'!$A:$T,COLUMN('2.1 Toteut. op.vuodet'!S:S),FALSE),0)</f>
        <v>1.1408997068937785</v>
      </c>
      <c r="J109" s="78">
        <f t="shared" si="3"/>
        <v>5450.1</v>
      </c>
      <c r="K109" s="13">
        <f>IFERROR(Ohj.lask.[[#This Row],[Painotetut opiskelija-vuodet]]/Ohj.lask.[[#Totals],[Painotetut opiskelija-vuodet]],0)</f>
        <v>2.5229234637761121E-2</v>
      </c>
      <c r="L109" s="14">
        <f>ROUND(IFERROR('1.1 Jakotaulu'!L$13*Ohj.lask.[[#This Row],[%-osuus 1]],0),0)</f>
        <v>35412662</v>
      </c>
      <c r="M109" s="157">
        <f>IFERROR(ROUND(VLOOKUP($A109,'2.2 Tutk. ja osien pain. pist.'!$A:$Q,COLUMN('2.2 Tutk. ja osien pain. pist.'!O:O),FALSE),1),0)</f>
        <v>407068</v>
      </c>
      <c r="N109" s="13">
        <f>IFERROR(Ohj.lask.[[#This Row],[Painotetut pisteet 2]]/Ohj.lask.[[#Totals],[Painotetut pisteet 2]],0)</f>
        <v>2.6213740394896892E-2</v>
      </c>
      <c r="O109" s="20">
        <f>ROUND(IFERROR('1.1 Jakotaulu'!K$14*Ohj.lask.[[#This Row],[%-osuus 2]],0),0)</f>
        <v>10736676</v>
      </c>
      <c r="P109" s="158">
        <f>IFERROR(ROUND(VLOOKUP($A109,'2.3 Työll. ja jatko-opisk.'!$A:$Z,COLUMN('2.3 Työll. ja jatko-opisk.'!M:M),FALSE),1),0)</f>
        <v>8362.1</v>
      </c>
      <c r="Q109" s="13">
        <f>IFERROR(Ohj.lask.[[#This Row],[Painotetut pisteet 3]]/Ohj.lask.[[#Totals],[Painotetut pisteet 3]],0)</f>
        <v>2.6849596217341062E-2</v>
      </c>
      <c r="R109" s="14">
        <f>ROUND(IFERROR('1.1 Jakotaulu'!L$16*Ohj.lask.[[#This Row],[%-osuus 3]],0),0)</f>
        <v>3848989</v>
      </c>
      <c r="S109" s="157">
        <f>IFERROR(ROUND(VLOOKUP($A109,'2.4 Aloittaneet palaute'!$A:$J,COLUMN('2.4 Aloittaneet palaute'!I:I),FALSE),1),0)</f>
        <v>41899.599999999999</v>
      </c>
      <c r="T109" s="17">
        <f>IFERROR(Ohj.lask.[[#This Row],[Painotetut pisteet 4]]/Ohj.lask.[[#Totals],[Painotetut pisteet 4]],0)</f>
        <v>2.671381263938814E-2</v>
      </c>
      <c r="U109" s="20">
        <f>ROUND(IFERROR('1.1 Jakotaulu'!M$18*Ohj.lask.[[#This Row],[%-osuus 4]],0),0)</f>
        <v>205153</v>
      </c>
      <c r="V109" s="157">
        <f>IFERROR(ROUND(VLOOKUP($A109,'2.5 Päättäneet palaute'!$A:$Z,COLUMN('2.5 Päättäneet palaute'!Y:Y),FALSE),1),0)</f>
        <v>247091.7</v>
      </c>
      <c r="W109" s="17">
        <f>IFERROR(Ohj.lask.[[#This Row],[Painotetut pisteet 5]]/Ohj.lask.[[#Totals],[Painotetut pisteet 5]],0)</f>
        <v>2.5965497346717267E-2</v>
      </c>
      <c r="X109" s="20">
        <f>ROUND(IFERROR('1.1 Jakotaulu'!M$19*Ohj.lask.[[#This Row],[%-osuus 5]],0),0)</f>
        <v>598219</v>
      </c>
      <c r="Y109" s="157">
        <f>IFERROR(ROUND(VLOOKUP($A109,'2.6 Työpaikkaohjaajakysely'!A:I,COLUMN('2.6 Työpaikkaohjaajakysely'!H:H),FALSE),1),0)</f>
        <v>11100195.5</v>
      </c>
      <c r="Z109" s="13">
        <f>IFERROR(Ohj.lask.[[#This Row],[Painotetut pisteet 6]]/Ohj.lask.[[#Totals],[Painotetut pisteet 6]],0)</f>
        <v>2.7780474563646646E-2</v>
      </c>
      <c r="AA109" s="20">
        <f>ROUND(IFERROR('1.1 Jakotaulu'!M$21*Ohj.lask.[[#This Row],[%-osuus 6]],0),0)</f>
        <v>640034</v>
      </c>
      <c r="AB109" s="157">
        <f>IFERROR(ROUND(VLOOKUP($A109,'2.7 Työpaikkakysely'!A:G,COLUMN('2.7 Työpaikkakysely'!F:F),FALSE),1),0)</f>
        <v>5142834</v>
      </c>
      <c r="AC109" s="13">
        <f>IFERROR(Ohj.lask.[[#This Row],[Pisteet 7]]/Ohj.lask.[[#Totals],[Pisteet 7]],0)</f>
        <v>2.6902662057098164E-2</v>
      </c>
      <c r="AD109" s="20">
        <f>ROUND(IFERROR('1.1 Jakotaulu'!M$22*Ohj.lask.[[#This Row],[%-osuus 7]],0),0)</f>
        <v>206603</v>
      </c>
      <c r="AE109" s="16">
        <f>IFERROR(Ohj.lask.[[#This Row],[Jaettava € 8]]/Ohj.lask.[[#Totals],[Jaettava € 8]],"")</f>
        <v>2.5593709443317646E-2</v>
      </c>
      <c r="AF109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51648336</v>
      </c>
      <c r="AG109" s="105">
        <v>0</v>
      </c>
      <c r="AH109" s="105">
        <v>0</v>
      </c>
      <c r="AI109" s="105">
        <v>0</v>
      </c>
      <c r="AJ109" s="105">
        <v>0</v>
      </c>
      <c r="AK109" s="105">
        <v>0</v>
      </c>
      <c r="AL109" s="105">
        <v>0</v>
      </c>
      <c r="AM109" s="105">
        <v>30000</v>
      </c>
      <c r="AN109" s="105">
        <v>7000</v>
      </c>
      <c r="AO109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37000</v>
      </c>
      <c r="AP109" s="14">
        <f>Ohj.lask.[[#This Row],[Jaettava € 1]]+Ohj.lask.[[#This Row],[Harkinnanvarainen korotus 9, €]]</f>
        <v>35449662</v>
      </c>
      <c r="AQ109" s="105">
        <f>Ohj.lask.[[#This Row],[Jaettava € 2]]</f>
        <v>10736676</v>
      </c>
      <c r="AR109" s="14">
        <f>Ohj.lask.[[#This Row],[Jaettava € 3]]+Ohj.lask.[[#This Row],[Jaettava € 4]]+Ohj.lask.[[#This Row],[Jaettava € 5]]+Ohj.lask.[[#This Row],[Jaettava € 6]]+Ohj.lask.[[#This Row],[Jaettava € 7]]</f>
        <v>5498998</v>
      </c>
      <c r="AS109" s="37">
        <f>Ohj.lask.[[#This Row],[Jaettava € 8]]+Ohj.lask.[[#This Row],[Harkinnanvarainen korotus 9, €]]</f>
        <v>51685336</v>
      </c>
      <c r="AT109" s="37">
        <v>0</v>
      </c>
      <c r="AU109" s="20">
        <f>Ohj.lask.[[#This Row],[Perus-, suoritus- ja vaikuttavuusrahoitus yhteensä, €]]+Ohj.lask.[[#This Row],[Alv-korvaus, €]]</f>
        <v>51685336</v>
      </c>
    </row>
    <row r="110" spans="1:47" ht="13" x14ac:dyDescent="0.3">
      <c r="A110" s="7" t="s">
        <v>226</v>
      </c>
      <c r="B110" s="11" t="s">
        <v>102</v>
      </c>
      <c r="C110" s="11" t="s">
        <v>180</v>
      </c>
      <c r="D110" s="11" t="s">
        <v>337</v>
      </c>
      <c r="E110" s="11" t="s">
        <v>388</v>
      </c>
      <c r="F110" s="109">
        <v>1564</v>
      </c>
      <c r="G110" s="114">
        <f>Ohj.lask.[[#This Row],[Tavoitteelliset opiskelija-vuodet]]-Ohj.lask.[[#This Row],[Järjestämisluvan opisk.vuosien vähimmäismäärä]]</f>
        <v>677</v>
      </c>
      <c r="H110" s="36">
        <v>2241</v>
      </c>
      <c r="I110" s="12">
        <f>IFERROR(VLOOKUP($A110,'2.1 Toteut. op.vuodet'!$A:$T,COLUMN('2.1 Toteut. op.vuodet'!S:S),FALSE),0)</f>
        <v>1.0734543493985176</v>
      </c>
      <c r="J110" s="78">
        <f t="shared" si="3"/>
        <v>2405.6</v>
      </c>
      <c r="K110" s="13">
        <f>IFERROR(Ohj.lask.[[#This Row],[Painotetut opiskelija-vuodet]]/Ohj.lask.[[#Totals],[Painotetut opiskelija-vuodet]],0)</f>
        <v>1.1135840965229656E-2</v>
      </c>
      <c r="L110" s="14">
        <f>ROUND(IFERROR('1.1 Jakotaulu'!L$13*Ohj.lask.[[#This Row],[%-osuus 1]],0),0)</f>
        <v>15630667</v>
      </c>
      <c r="M110" s="157">
        <f>IFERROR(ROUND(VLOOKUP($A110,'2.2 Tutk. ja osien pain. pist.'!$A:$Q,COLUMN('2.2 Tutk. ja osien pain. pist.'!O:O),FALSE),1),0)</f>
        <v>179067.9</v>
      </c>
      <c r="N110" s="13">
        <f>IFERROR(Ohj.lask.[[#This Row],[Painotetut pisteet 2]]/Ohj.lask.[[#Totals],[Painotetut pisteet 2]],0)</f>
        <v>1.1531339834276724E-2</v>
      </c>
      <c r="O110" s="20">
        <f>ROUND(IFERROR('1.1 Jakotaulu'!K$14*Ohj.lask.[[#This Row],[%-osuus 2]],0),0)</f>
        <v>4723029</v>
      </c>
      <c r="P110" s="158">
        <f>IFERROR(ROUND(VLOOKUP($A110,'2.3 Työll. ja jatko-opisk.'!$A:$Z,COLUMN('2.3 Työll. ja jatko-opisk.'!M:M),FALSE),1),0)</f>
        <v>4123.1000000000004</v>
      </c>
      <c r="Q110" s="13">
        <f>IFERROR(Ohj.lask.[[#This Row],[Painotetut pisteet 3]]/Ohj.lask.[[#Totals],[Painotetut pisteet 3]],0)</f>
        <v>1.3238728329453001E-2</v>
      </c>
      <c r="R110" s="14">
        <f>ROUND(IFERROR('1.1 Jakotaulu'!L$16*Ohj.lask.[[#This Row],[%-osuus 3]],0),0)</f>
        <v>1897821</v>
      </c>
      <c r="S110" s="157">
        <f>IFERROR(ROUND(VLOOKUP($A110,'2.4 Aloittaneet palaute'!$A:$J,COLUMN('2.4 Aloittaneet palaute'!I:I),FALSE),1),0)</f>
        <v>22210.400000000001</v>
      </c>
      <c r="T110" s="17">
        <f>IFERROR(Ohj.lask.[[#This Row],[Painotetut pisteet 4]]/Ohj.lask.[[#Totals],[Painotetut pisteet 4]],0)</f>
        <v>1.4160623591773343E-2</v>
      </c>
      <c r="U110" s="20">
        <f>ROUND(IFERROR('1.1 Jakotaulu'!M$18*Ohj.lask.[[#This Row],[%-osuus 4]],0),0)</f>
        <v>108749</v>
      </c>
      <c r="V110" s="157">
        <f>IFERROR(ROUND(VLOOKUP($A110,'2.5 Päättäneet palaute'!$A:$Z,COLUMN('2.5 Päättäneet palaute'!Y:Y),FALSE),1),0)</f>
        <v>133747.4</v>
      </c>
      <c r="W110" s="17">
        <f>IFERROR(Ohj.lask.[[#This Row],[Painotetut pisteet 5]]/Ohj.lask.[[#Totals],[Painotetut pisteet 5]],0)</f>
        <v>1.4054773024874298E-2</v>
      </c>
      <c r="X110" s="20">
        <f>ROUND(IFERROR('1.1 Jakotaulu'!M$19*Ohj.lask.[[#This Row],[%-osuus 5]],0),0)</f>
        <v>323808</v>
      </c>
      <c r="Y110" s="157">
        <f>IFERROR(ROUND(VLOOKUP($A110,'2.6 Työpaikkaohjaajakysely'!A:I,COLUMN('2.6 Työpaikkaohjaajakysely'!H:H),FALSE),1),0)</f>
        <v>5034282.4000000004</v>
      </c>
      <c r="Z110" s="13">
        <f>IFERROR(Ohj.lask.[[#This Row],[Painotetut pisteet 6]]/Ohj.lask.[[#Totals],[Painotetut pisteet 6]],0)</f>
        <v>1.2599305495062137E-2</v>
      </c>
      <c r="AA110" s="20">
        <f>ROUND(IFERROR('1.1 Jakotaulu'!M$21*Ohj.lask.[[#This Row],[%-osuus 6]],0),0)</f>
        <v>290275</v>
      </c>
      <c r="AB110" s="157">
        <f>IFERROR(ROUND(VLOOKUP($A110,'2.7 Työpaikkakysely'!A:G,COLUMN('2.7 Työpaikkakysely'!F:F),FALSE),1),0)</f>
        <v>4305111</v>
      </c>
      <c r="AC110" s="13">
        <f>IFERROR(Ohj.lask.[[#This Row],[Pisteet 7]]/Ohj.lask.[[#Totals],[Pisteet 7]],0)</f>
        <v>2.2520452021452753E-2</v>
      </c>
      <c r="AD110" s="20">
        <f>ROUND(IFERROR('1.1 Jakotaulu'!M$22*Ohj.lask.[[#This Row],[%-osuus 7]],0),0)</f>
        <v>172949</v>
      </c>
      <c r="AE110" s="16">
        <f>IFERROR(Ohj.lask.[[#This Row],[Jaettava € 8]]/Ohj.lask.[[#Totals],[Jaettava € 8]],"")</f>
        <v>1.1470364106403886E-2</v>
      </c>
      <c r="AF110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23147298</v>
      </c>
      <c r="AG110" s="105">
        <v>0</v>
      </c>
      <c r="AH110" s="105">
        <v>0</v>
      </c>
      <c r="AI110" s="105">
        <v>0</v>
      </c>
      <c r="AJ110" s="105">
        <v>0</v>
      </c>
      <c r="AK110" s="105">
        <v>0</v>
      </c>
      <c r="AL110" s="105">
        <v>0</v>
      </c>
      <c r="AM110" s="105">
        <v>63000</v>
      </c>
      <c r="AN110" s="105">
        <v>0</v>
      </c>
      <c r="AO110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63000</v>
      </c>
      <c r="AP110" s="14">
        <f>Ohj.lask.[[#This Row],[Jaettava € 1]]+Ohj.lask.[[#This Row],[Harkinnanvarainen korotus 9, €]]</f>
        <v>15693667</v>
      </c>
      <c r="AQ110" s="105">
        <f>Ohj.lask.[[#This Row],[Jaettava € 2]]</f>
        <v>4723029</v>
      </c>
      <c r="AR110" s="14">
        <f>Ohj.lask.[[#This Row],[Jaettava € 3]]+Ohj.lask.[[#This Row],[Jaettava € 4]]+Ohj.lask.[[#This Row],[Jaettava € 5]]+Ohj.lask.[[#This Row],[Jaettava € 6]]+Ohj.lask.[[#This Row],[Jaettava € 7]]</f>
        <v>2793602</v>
      </c>
      <c r="AS110" s="37">
        <f>Ohj.lask.[[#This Row],[Jaettava € 8]]+Ohj.lask.[[#This Row],[Harkinnanvarainen korotus 9, €]]</f>
        <v>23210298</v>
      </c>
      <c r="AT110" s="37">
        <v>723834</v>
      </c>
      <c r="AU110" s="20">
        <f>Ohj.lask.[[#This Row],[Perus-, suoritus- ja vaikuttavuusrahoitus yhteensä, €]]+Ohj.lask.[[#This Row],[Alv-korvaus, €]]</f>
        <v>23934132</v>
      </c>
    </row>
    <row r="111" spans="1:47" ht="13" x14ac:dyDescent="0.3">
      <c r="A111" s="7" t="s">
        <v>225</v>
      </c>
      <c r="B111" s="11" t="s">
        <v>151</v>
      </c>
      <c r="C111" s="11" t="s">
        <v>224</v>
      </c>
      <c r="D111" s="11" t="s">
        <v>337</v>
      </c>
      <c r="E111" s="11" t="s">
        <v>388</v>
      </c>
      <c r="F111" s="109">
        <v>49</v>
      </c>
      <c r="G111" s="114">
        <f>Ohj.lask.[[#This Row],[Tavoitteelliset opiskelija-vuodet]]-Ohj.lask.[[#This Row],[Järjestämisluvan opisk.vuosien vähimmäismäärä]]</f>
        <v>3</v>
      </c>
      <c r="H111" s="36">
        <v>52</v>
      </c>
      <c r="I111" s="12">
        <f>IFERROR(VLOOKUP($A111,'2.1 Toteut. op.vuodet'!$A:$T,COLUMN('2.1 Toteut. op.vuodet'!S:S),FALSE),0)</f>
        <v>1.0834725007161286</v>
      </c>
      <c r="J111" s="78">
        <f t="shared" si="3"/>
        <v>56.3</v>
      </c>
      <c r="K111" s="13">
        <f>IFERROR(Ohj.lask.[[#This Row],[Painotetut opiskelija-vuodet]]/Ohj.lask.[[#Totals],[Painotetut opiskelija-vuodet]],0)</f>
        <v>2.6062015561291555E-4</v>
      </c>
      <c r="L111" s="14">
        <f>ROUND(IFERROR('1.1 Jakotaulu'!L$13*Ohj.lask.[[#This Row],[%-osuus 1]],0),0)</f>
        <v>365816</v>
      </c>
      <c r="M111" s="157">
        <f>IFERROR(ROUND(VLOOKUP($A111,'2.2 Tutk. ja osien pain. pist.'!$A:$Q,COLUMN('2.2 Tutk. ja osien pain. pist.'!O:O),FALSE),1),0)</f>
        <v>0</v>
      </c>
      <c r="N111" s="13">
        <f>IFERROR(Ohj.lask.[[#This Row],[Painotetut pisteet 2]]/Ohj.lask.[[#Totals],[Painotetut pisteet 2]],0)</f>
        <v>0</v>
      </c>
      <c r="O111" s="20">
        <f>ROUND(IFERROR('1.1 Jakotaulu'!K$14*Ohj.lask.[[#This Row],[%-osuus 2]],0),0)</f>
        <v>0</v>
      </c>
      <c r="P111" s="158">
        <f>IFERROR(ROUND(VLOOKUP($A111,'2.3 Työll. ja jatko-opisk.'!$A:$Z,COLUMN('2.3 Työll. ja jatko-opisk.'!M:M),FALSE),1),0)</f>
        <v>0</v>
      </c>
      <c r="Q111" s="13">
        <f>IFERROR(Ohj.lask.[[#This Row],[Painotetut pisteet 3]]/Ohj.lask.[[#Totals],[Painotetut pisteet 3]],0)</f>
        <v>0</v>
      </c>
      <c r="R111" s="14">
        <f>ROUND(IFERROR('1.1 Jakotaulu'!L$16*Ohj.lask.[[#This Row],[%-osuus 3]],0),0)</f>
        <v>0</v>
      </c>
      <c r="S111" s="157">
        <f>IFERROR(ROUND(VLOOKUP($A111,'2.4 Aloittaneet palaute'!$A:$J,COLUMN('2.4 Aloittaneet palaute'!I:I),FALSE),1),0)</f>
        <v>0</v>
      </c>
      <c r="T111" s="17">
        <f>IFERROR(Ohj.lask.[[#This Row],[Painotetut pisteet 4]]/Ohj.lask.[[#Totals],[Painotetut pisteet 4]],0)</f>
        <v>0</v>
      </c>
      <c r="U111" s="20">
        <f>ROUND(IFERROR('1.1 Jakotaulu'!M$18*Ohj.lask.[[#This Row],[%-osuus 4]],0),0)</f>
        <v>0</v>
      </c>
      <c r="V111" s="157">
        <f>IFERROR(ROUND(VLOOKUP($A111,'2.5 Päättäneet palaute'!$A:$Z,COLUMN('2.5 Päättäneet palaute'!Y:Y),FALSE),1),0)</f>
        <v>0</v>
      </c>
      <c r="W111" s="17">
        <f>IFERROR(Ohj.lask.[[#This Row],[Painotetut pisteet 5]]/Ohj.lask.[[#Totals],[Painotetut pisteet 5]],0)</f>
        <v>0</v>
      </c>
      <c r="X111" s="20">
        <f>ROUND(IFERROR('1.1 Jakotaulu'!M$19*Ohj.lask.[[#This Row],[%-osuus 5]],0),0)</f>
        <v>0</v>
      </c>
      <c r="Y111" s="157">
        <f>IFERROR(ROUND(VLOOKUP($A111,'2.6 Työpaikkaohjaajakysely'!A:I,COLUMN('2.6 Työpaikkaohjaajakysely'!H:H),FALSE),1),0)</f>
        <v>0</v>
      </c>
      <c r="Z111" s="13">
        <f>IFERROR(Ohj.lask.[[#This Row],[Painotetut pisteet 6]]/Ohj.lask.[[#Totals],[Painotetut pisteet 6]],0)</f>
        <v>0</v>
      </c>
      <c r="AA111" s="20">
        <f>ROUND(IFERROR('1.1 Jakotaulu'!M$21*Ohj.lask.[[#This Row],[%-osuus 6]],0),0)</f>
        <v>0</v>
      </c>
      <c r="AB111" s="157">
        <f>IFERROR(ROUND(VLOOKUP($A111,'2.7 Työpaikkakysely'!A:G,COLUMN('2.7 Työpaikkakysely'!F:F),FALSE),1),0)</f>
        <v>0</v>
      </c>
      <c r="AC111" s="13">
        <f>IFERROR(Ohj.lask.[[#This Row],[Pisteet 7]]/Ohj.lask.[[#Totals],[Pisteet 7]],0)</f>
        <v>0</v>
      </c>
      <c r="AD111" s="20">
        <f>ROUND(IFERROR('1.1 Jakotaulu'!M$22*Ohj.lask.[[#This Row],[%-osuus 7]],0),0)</f>
        <v>0</v>
      </c>
      <c r="AE111" s="16">
        <f>IFERROR(Ohj.lask.[[#This Row],[Jaettava € 8]]/Ohj.lask.[[#Totals],[Jaettava € 8]],"")</f>
        <v>1.8127570293294035E-4</v>
      </c>
      <c r="AF111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365816</v>
      </c>
      <c r="AG111" s="105">
        <v>6685000</v>
      </c>
      <c r="AH111" s="105">
        <v>0</v>
      </c>
      <c r="AI111" s="105">
        <v>0</v>
      </c>
      <c r="AJ111" s="105">
        <v>0</v>
      </c>
      <c r="AK111" s="105">
        <v>0</v>
      </c>
      <c r="AL111" s="105">
        <v>0</v>
      </c>
      <c r="AM111" s="105">
        <v>0</v>
      </c>
      <c r="AN111" s="105">
        <v>0</v>
      </c>
      <c r="AO111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6685000</v>
      </c>
      <c r="AP111" s="14">
        <f>Ohj.lask.[[#This Row],[Jaettava € 1]]+Ohj.lask.[[#This Row],[Harkinnanvarainen korotus 9, €]]</f>
        <v>7050816</v>
      </c>
      <c r="AQ111" s="105">
        <f>Ohj.lask.[[#This Row],[Jaettava € 2]]</f>
        <v>0</v>
      </c>
      <c r="AR111" s="14">
        <f>Ohj.lask.[[#This Row],[Jaettava € 3]]+Ohj.lask.[[#This Row],[Jaettava € 4]]+Ohj.lask.[[#This Row],[Jaettava € 5]]+Ohj.lask.[[#This Row],[Jaettava € 6]]+Ohj.lask.[[#This Row],[Jaettava € 7]]</f>
        <v>0</v>
      </c>
      <c r="AS111" s="37">
        <f>Ohj.lask.[[#This Row],[Jaettava € 8]]+Ohj.lask.[[#This Row],[Harkinnanvarainen korotus 9, €]]</f>
        <v>7050816</v>
      </c>
      <c r="AT111" s="37">
        <v>835665</v>
      </c>
      <c r="AU111" s="20">
        <f>Ohj.lask.[[#This Row],[Perus-, suoritus- ja vaikuttavuusrahoitus yhteensä, €]]+Ohj.lask.[[#This Row],[Alv-korvaus, €]]</f>
        <v>7886481</v>
      </c>
    </row>
    <row r="112" spans="1:47" ht="13" x14ac:dyDescent="0.3">
      <c r="A112" s="7" t="s">
        <v>223</v>
      </c>
      <c r="B112" s="11" t="s">
        <v>103</v>
      </c>
      <c r="C112" s="11" t="s">
        <v>180</v>
      </c>
      <c r="D112" s="11" t="s">
        <v>337</v>
      </c>
      <c r="E112" s="11" t="s">
        <v>388</v>
      </c>
      <c r="F112" s="109">
        <v>27</v>
      </c>
      <c r="G112" s="114">
        <f>Ohj.lask.[[#This Row],[Tavoitteelliset opiskelija-vuodet]]-Ohj.lask.[[#This Row],[Järjestämisluvan opisk.vuosien vähimmäismäärä]]</f>
        <v>0</v>
      </c>
      <c r="H112" s="36">
        <v>27</v>
      </c>
      <c r="I112" s="12">
        <f>IFERROR(VLOOKUP($A112,'2.1 Toteut. op.vuodet'!$A:$T,COLUMN('2.1 Toteut. op.vuodet'!S:S),FALSE),0)</f>
        <v>1.1192826628693475</v>
      </c>
      <c r="J112" s="78">
        <f t="shared" si="3"/>
        <v>30.2</v>
      </c>
      <c r="K112" s="13">
        <f>IFERROR(Ohj.lask.[[#This Row],[Painotetut opiskelija-vuodet]]/Ohj.lask.[[#Totals],[Painotetut opiskelija-vuodet]],0)</f>
        <v>1.3979979928081793E-4</v>
      </c>
      <c r="L112" s="14">
        <f>ROUND(IFERROR('1.1 Jakotaulu'!L$13*Ohj.lask.[[#This Row],[%-osuus 1]],0),0)</f>
        <v>196228</v>
      </c>
      <c r="M112" s="157">
        <f>IFERROR(ROUND(VLOOKUP($A112,'2.2 Tutk. ja osien pain. pist.'!$A:$Q,COLUMN('2.2 Tutk. ja osien pain. pist.'!O:O),FALSE),1),0)</f>
        <v>2205.1999999999998</v>
      </c>
      <c r="N112" s="13">
        <f>IFERROR(Ohj.lask.[[#This Row],[Painotetut pisteet 2]]/Ohj.lask.[[#Totals],[Painotetut pisteet 2]],0)</f>
        <v>1.4200708559460981E-4</v>
      </c>
      <c r="O112" s="20">
        <f>ROUND(IFERROR('1.1 Jakotaulu'!K$14*Ohj.lask.[[#This Row],[%-osuus 2]],0),0)</f>
        <v>58164</v>
      </c>
      <c r="P112" s="158">
        <f>IFERROR(ROUND(VLOOKUP($A112,'2.3 Työll. ja jatko-opisk.'!$A:$Z,COLUMN('2.3 Työll. ja jatko-opisk.'!M:M),FALSE),1),0)</f>
        <v>87.3</v>
      </c>
      <c r="Q112" s="13">
        <f>IFERROR(Ohj.lask.[[#This Row],[Painotetut pisteet 3]]/Ohj.lask.[[#Totals],[Painotetut pisteet 3]],0)</f>
        <v>2.8030874418792824E-4</v>
      </c>
      <c r="R112" s="14">
        <f>ROUND(IFERROR('1.1 Jakotaulu'!L$16*Ohj.lask.[[#This Row],[%-osuus 3]],0),0)</f>
        <v>40183</v>
      </c>
      <c r="S112" s="157">
        <f>IFERROR(ROUND(VLOOKUP($A112,'2.4 Aloittaneet palaute'!$A:$J,COLUMN('2.4 Aloittaneet palaute'!I:I),FALSE),1),0)</f>
        <v>159.4</v>
      </c>
      <c r="T112" s="17">
        <f>IFERROR(Ohj.lask.[[#This Row],[Painotetut pisteet 4]]/Ohj.lask.[[#Totals],[Painotetut pisteet 4]],0)</f>
        <v>1.0162821923642396E-4</v>
      </c>
      <c r="U112" s="20">
        <f>ROUND(IFERROR('1.1 Jakotaulu'!M$18*Ohj.lask.[[#This Row],[%-osuus 4]],0),0)</f>
        <v>780</v>
      </c>
      <c r="V112" s="157">
        <f>IFERROR(ROUND(VLOOKUP($A112,'2.5 Päättäneet palaute'!$A:$Z,COLUMN('2.5 Päättäneet palaute'!Y:Y),FALSE),1),0)</f>
        <v>631.70000000000005</v>
      </c>
      <c r="W112" s="17">
        <f>IFERROR(Ohj.lask.[[#This Row],[Painotetut pisteet 5]]/Ohj.lask.[[#Totals],[Painotetut pisteet 5]],0)</f>
        <v>6.638185205703509E-5</v>
      </c>
      <c r="X112" s="20">
        <f>ROUND(IFERROR('1.1 Jakotaulu'!M$19*Ohj.lask.[[#This Row],[%-osuus 5]],0),0)</f>
        <v>1529</v>
      </c>
      <c r="Y112" s="157">
        <f>IFERROR(ROUND(VLOOKUP($A112,'2.6 Työpaikkaohjaajakysely'!A:I,COLUMN('2.6 Työpaikkaohjaajakysely'!H:H),FALSE),1),0)</f>
        <v>0</v>
      </c>
      <c r="Z112" s="13">
        <f>IFERROR(Ohj.lask.[[#This Row],[Painotetut pisteet 6]]/Ohj.lask.[[#Totals],[Painotetut pisteet 6]],0)</f>
        <v>0</v>
      </c>
      <c r="AA112" s="20">
        <f>ROUND(IFERROR('1.1 Jakotaulu'!M$21*Ohj.lask.[[#This Row],[%-osuus 6]],0),0)</f>
        <v>0</v>
      </c>
      <c r="AB112" s="157">
        <f>IFERROR(ROUND(VLOOKUP($A112,'2.7 Työpaikkakysely'!A:G,COLUMN('2.7 Työpaikkakysely'!F:F),FALSE),1),0)</f>
        <v>0</v>
      </c>
      <c r="AC112" s="13">
        <f>IFERROR(Ohj.lask.[[#This Row],[Pisteet 7]]/Ohj.lask.[[#Totals],[Pisteet 7]],0)</f>
        <v>0</v>
      </c>
      <c r="AD112" s="20">
        <f>ROUND(IFERROR('1.1 Jakotaulu'!M$22*Ohj.lask.[[#This Row],[%-osuus 7]],0),0)</f>
        <v>0</v>
      </c>
      <c r="AE112" s="16">
        <f>IFERROR(Ohj.lask.[[#This Row],[Jaettava € 8]]/Ohj.lask.[[#Totals],[Jaettava € 8]],"")</f>
        <v>1.4711728243035587E-4</v>
      </c>
      <c r="AF112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296884</v>
      </c>
      <c r="AG112" s="105">
        <v>240000</v>
      </c>
      <c r="AH112" s="105">
        <v>0</v>
      </c>
      <c r="AI112" s="105">
        <v>0</v>
      </c>
      <c r="AJ112" s="105">
        <v>0</v>
      </c>
      <c r="AK112" s="105">
        <v>0</v>
      </c>
      <c r="AL112" s="105">
        <v>0</v>
      </c>
      <c r="AM112" s="105">
        <v>0</v>
      </c>
      <c r="AN112" s="105">
        <v>0</v>
      </c>
      <c r="AO112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240000</v>
      </c>
      <c r="AP112" s="14">
        <f>Ohj.lask.[[#This Row],[Jaettava € 1]]+Ohj.lask.[[#This Row],[Harkinnanvarainen korotus 9, €]]</f>
        <v>436228</v>
      </c>
      <c r="AQ112" s="105">
        <f>Ohj.lask.[[#This Row],[Jaettava € 2]]</f>
        <v>58164</v>
      </c>
      <c r="AR112" s="14">
        <f>Ohj.lask.[[#This Row],[Jaettava € 3]]+Ohj.lask.[[#This Row],[Jaettava € 4]]+Ohj.lask.[[#This Row],[Jaettava € 5]]+Ohj.lask.[[#This Row],[Jaettava € 6]]+Ohj.lask.[[#This Row],[Jaettava € 7]]</f>
        <v>42492</v>
      </c>
      <c r="AS112" s="37">
        <f>Ohj.lask.[[#This Row],[Jaettava € 8]]+Ohj.lask.[[#This Row],[Harkinnanvarainen korotus 9, €]]</f>
        <v>536884</v>
      </c>
      <c r="AT112" s="37">
        <v>53884</v>
      </c>
      <c r="AU112" s="20">
        <f>Ohj.lask.[[#This Row],[Perus-, suoritus- ja vaikuttavuusrahoitus yhteensä, €]]+Ohj.lask.[[#This Row],[Alv-korvaus, €]]</f>
        <v>590768</v>
      </c>
    </row>
    <row r="113" spans="1:47" ht="13" x14ac:dyDescent="0.3">
      <c r="A113" s="7" t="s">
        <v>222</v>
      </c>
      <c r="B113" s="11" t="s">
        <v>133</v>
      </c>
      <c r="C113" s="11" t="s">
        <v>180</v>
      </c>
      <c r="D113" s="11" t="s">
        <v>337</v>
      </c>
      <c r="E113" s="11" t="s">
        <v>388</v>
      </c>
      <c r="F113" s="109">
        <v>20</v>
      </c>
      <c r="G113" s="114">
        <f>Ohj.lask.[[#This Row],[Tavoitteelliset opiskelija-vuodet]]-Ohj.lask.[[#This Row],[Järjestämisluvan opisk.vuosien vähimmäismäärä]]</f>
        <v>1</v>
      </c>
      <c r="H113" s="36">
        <v>21</v>
      </c>
      <c r="I113" s="12">
        <f>IFERROR(VLOOKUP($A113,'2.1 Toteut. op.vuodet'!$A:$T,COLUMN('2.1 Toteut. op.vuodet'!S:S),FALSE),0)</f>
        <v>0.99509999999999765</v>
      </c>
      <c r="J113" s="78">
        <f t="shared" si="3"/>
        <v>20.9</v>
      </c>
      <c r="K113" s="13">
        <f>IFERROR(Ohj.lask.[[#This Row],[Painotetut opiskelija-vuodet]]/Ohj.lask.[[#Totals],[Painotetut opiskelija-vuodet]],0)</f>
        <v>9.6748867714208431E-5</v>
      </c>
      <c r="L113" s="14">
        <f>ROUND(IFERROR('1.1 Jakotaulu'!L$13*Ohj.lask.[[#This Row],[%-osuus 1]],0),0)</f>
        <v>135800</v>
      </c>
      <c r="M113" s="157">
        <f>IFERROR(ROUND(VLOOKUP($A113,'2.2 Tutk. ja osien pain. pist.'!$A:$Q,COLUMN('2.2 Tutk. ja osien pain. pist.'!O:O),FALSE),1),0)</f>
        <v>2165.8000000000002</v>
      </c>
      <c r="N113" s="13">
        <f>IFERROR(Ohj.lask.[[#This Row],[Painotetut pisteet 2]]/Ohj.lask.[[#Totals],[Painotetut pisteet 2]],0)</f>
        <v>1.3946986485616089E-4</v>
      </c>
      <c r="O113" s="20">
        <f>ROUND(IFERROR('1.1 Jakotaulu'!K$14*Ohj.lask.[[#This Row],[%-osuus 2]],0),0)</f>
        <v>57124</v>
      </c>
      <c r="P113" s="158">
        <f>IFERROR(ROUND(VLOOKUP($A113,'2.3 Työll. ja jatko-opisk.'!$A:$Z,COLUMN('2.3 Työll. ja jatko-opisk.'!M:M),FALSE),1),0)</f>
        <v>50.3</v>
      </c>
      <c r="Q113" s="13">
        <f>IFERROR(Ohj.lask.[[#This Row],[Painotetut pisteet 3]]/Ohj.lask.[[#Totals],[Painotetut pisteet 3]],0)</f>
        <v>1.6150664184023814E-4</v>
      </c>
      <c r="R113" s="14">
        <f>ROUND(IFERROR('1.1 Jakotaulu'!L$16*Ohj.lask.[[#This Row],[%-osuus 3]],0),0)</f>
        <v>23153</v>
      </c>
      <c r="S113" s="157">
        <f>IFERROR(ROUND(VLOOKUP($A113,'2.4 Aloittaneet palaute'!$A:$J,COLUMN('2.4 Aloittaneet palaute'!I:I),FALSE),1),0)</f>
        <v>609.6</v>
      </c>
      <c r="T113" s="13">
        <f>IFERROR(Ohj.lask.[[#This Row],[Painotetut pisteet 4]]/Ohj.lask.[[#Totals],[Painotetut pisteet 4]],0)</f>
        <v>3.8866099401834413E-4</v>
      </c>
      <c r="U113" s="20">
        <f>ROUND(IFERROR('1.1 Jakotaulu'!M$18*Ohj.lask.[[#This Row],[%-osuus 4]],0),0)</f>
        <v>2985</v>
      </c>
      <c r="V113" s="157">
        <f>IFERROR(ROUND(VLOOKUP($A113,'2.5 Päättäneet palaute'!$A:$Z,COLUMN('2.5 Päättäneet palaute'!Y:Y),FALSE),1),0)</f>
        <v>3419.3</v>
      </c>
      <c r="W113" s="13">
        <f>IFERROR(Ohj.lask.[[#This Row],[Painotetut pisteet 5]]/Ohj.lask.[[#Totals],[Painotetut pisteet 5]],0)</f>
        <v>3.5931528690615809E-4</v>
      </c>
      <c r="X113" s="20">
        <f>ROUND(IFERROR('1.1 Jakotaulu'!M$19*Ohj.lask.[[#This Row],[%-osuus 5]],0),0)</f>
        <v>8278</v>
      </c>
      <c r="Y113" s="157">
        <f>IFERROR(ROUND(VLOOKUP($A113,'2.6 Työpaikkaohjaajakysely'!A:I,COLUMN('2.6 Työpaikkaohjaajakysely'!H:H),FALSE),1),0)</f>
        <v>5159.1000000000004</v>
      </c>
      <c r="Z113" s="13">
        <f>IFERROR(Ohj.lask.[[#This Row],[Painotetut pisteet 6]]/Ohj.lask.[[#Totals],[Painotetut pisteet 6]],0)</f>
        <v>1.2911686674465275E-5</v>
      </c>
      <c r="AA113" s="20">
        <f>ROUND(IFERROR('1.1 Jakotaulu'!M$21*Ohj.lask.[[#This Row],[%-osuus 6]],0),0)</f>
        <v>297</v>
      </c>
      <c r="AB113" s="157">
        <f>IFERROR(ROUND(VLOOKUP($A113,'2.7 Työpaikkakysely'!A:G,COLUMN('2.7 Työpaikkakysely'!F:F),FALSE),1),0)</f>
        <v>11118</v>
      </c>
      <c r="AC113" s="13">
        <f>IFERROR(Ohj.lask.[[#This Row],[Pisteet 7]]/Ohj.lask.[[#Totals],[Pisteet 7]],0)</f>
        <v>5.8159333307436599E-5</v>
      </c>
      <c r="AD113" s="20">
        <f>ROUND(IFERROR('1.1 Jakotaulu'!M$22*Ohj.lask.[[#This Row],[%-osuus 7]],0),0)</f>
        <v>447</v>
      </c>
      <c r="AE113" s="16">
        <f>IFERROR(Ohj.lask.[[#This Row],[Jaettava € 8]]/Ohj.lask.[[#Totals],[Jaettava € 8]],"")</f>
        <v>1.1302427293436254E-4</v>
      </c>
      <c r="AF113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228084</v>
      </c>
      <c r="AG113" s="105">
        <v>0</v>
      </c>
      <c r="AH113" s="105">
        <v>0</v>
      </c>
      <c r="AI113" s="105">
        <v>0</v>
      </c>
      <c r="AJ113" s="105">
        <v>0</v>
      </c>
      <c r="AK113" s="105">
        <v>0</v>
      </c>
      <c r="AL113" s="105">
        <v>0</v>
      </c>
      <c r="AM113" s="105">
        <v>0</v>
      </c>
      <c r="AN113" s="105">
        <v>0</v>
      </c>
      <c r="AO113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0</v>
      </c>
      <c r="AP113" s="14">
        <f>Ohj.lask.[[#This Row],[Jaettava € 1]]+Ohj.lask.[[#This Row],[Harkinnanvarainen korotus 9, €]]</f>
        <v>135800</v>
      </c>
      <c r="AQ113" s="105">
        <f>Ohj.lask.[[#This Row],[Jaettava € 2]]</f>
        <v>57124</v>
      </c>
      <c r="AR113" s="14">
        <f>Ohj.lask.[[#This Row],[Jaettava € 3]]+Ohj.lask.[[#This Row],[Jaettava € 4]]+Ohj.lask.[[#This Row],[Jaettava € 5]]+Ohj.lask.[[#This Row],[Jaettava € 6]]+Ohj.lask.[[#This Row],[Jaettava € 7]]</f>
        <v>35160</v>
      </c>
      <c r="AS113" s="37">
        <f>Ohj.lask.[[#This Row],[Jaettava € 8]]+Ohj.lask.[[#This Row],[Harkinnanvarainen korotus 9, €]]</f>
        <v>228084</v>
      </c>
      <c r="AT113" s="37">
        <v>14138</v>
      </c>
      <c r="AU113" s="20">
        <f>Ohj.lask.[[#This Row],[Perus-, suoritus- ja vaikuttavuusrahoitus yhteensä, €]]+Ohj.lask.[[#This Row],[Alv-korvaus, €]]</f>
        <v>242222</v>
      </c>
    </row>
    <row r="114" spans="1:47" ht="13" x14ac:dyDescent="0.3">
      <c r="A114" s="7" t="s">
        <v>221</v>
      </c>
      <c r="B114" s="11" t="s">
        <v>104</v>
      </c>
      <c r="C114" s="99" t="s">
        <v>210</v>
      </c>
      <c r="D114" s="99" t="s">
        <v>337</v>
      </c>
      <c r="E114" s="99" t="s">
        <v>388</v>
      </c>
      <c r="F114" s="108">
        <v>102</v>
      </c>
      <c r="G114" s="114">
        <f>Ohj.lask.[[#This Row],[Tavoitteelliset opiskelija-vuodet]]-Ohj.lask.[[#This Row],[Järjestämisluvan opisk.vuosien vähimmäismäärä]]</f>
        <v>3</v>
      </c>
      <c r="H114" s="36">
        <v>105</v>
      </c>
      <c r="I114" s="12">
        <f>IFERROR(VLOOKUP($A114,'2.1 Toteut. op.vuodet'!$A:$T,COLUMN('2.1 Toteut. op.vuodet'!S:S),FALSE),0)</f>
        <v>1.4759425422054819</v>
      </c>
      <c r="J114" s="78">
        <f t="shared" si="3"/>
        <v>155</v>
      </c>
      <c r="K114" s="13">
        <f>IFERROR(Ohj.lask.[[#This Row],[Painotetut opiskelija-vuodet]]/Ohj.lask.[[#Totals],[Painotetut opiskelija-vuodet]],0)</f>
        <v>7.1751552611015832E-4</v>
      </c>
      <c r="L114" s="14">
        <f>ROUND(IFERROR('1.1 Jakotaulu'!L$13*Ohj.lask.[[#This Row],[%-osuus 1]],0),0)</f>
        <v>1007131</v>
      </c>
      <c r="M114" s="157">
        <f>IFERROR(ROUND(VLOOKUP($A114,'2.2 Tutk. ja osien pain. pist.'!$A:$Q,COLUMN('2.2 Tutk. ja osien pain. pist.'!O:O),FALSE),1),0)</f>
        <v>11637</v>
      </c>
      <c r="N114" s="13">
        <f>IFERROR(Ohj.lask.[[#This Row],[Painotetut pisteet 2]]/Ohj.lask.[[#Totals],[Painotetut pisteet 2]],0)</f>
        <v>7.493816683586407E-4</v>
      </c>
      <c r="O114" s="20">
        <f>ROUND(IFERROR('1.1 Jakotaulu'!K$14*Ohj.lask.[[#This Row],[%-osuus 2]],0),0)</f>
        <v>306933</v>
      </c>
      <c r="P114" s="158">
        <f>IFERROR(ROUND(VLOOKUP($A114,'2.3 Työll. ja jatko-opisk.'!$A:$Z,COLUMN('2.3 Työll. ja jatko-opisk.'!M:M),FALSE),1),0)</f>
        <v>223.3</v>
      </c>
      <c r="Q114" s="17">
        <f>IFERROR(Ohj.lask.[[#This Row],[Painotetut pisteet 3]]/Ohj.lask.[[#Totals],[Painotetut pisteet 3]],0)</f>
        <v>7.1698674200646481E-4</v>
      </c>
      <c r="R114" s="14">
        <f>ROUND(IFERROR('1.1 Jakotaulu'!L$16*Ohj.lask.[[#This Row],[%-osuus 3]],0),0)</f>
        <v>102783</v>
      </c>
      <c r="S114" s="157">
        <f>IFERROR(ROUND(VLOOKUP($A114,'2.4 Aloittaneet palaute'!$A:$J,COLUMN('2.4 Aloittaneet palaute'!I:I),FALSE),1),0)</f>
        <v>775.1</v>
      </c>
      <c r="T114" s="17">
        <f>IFERROR(Ohj.lask.[[#This Row],[Painotetut pisteet 4]]/Ohj.lask.[[#Totals],[Painotetut pisteet 4]],0)</f>
        <v>4.9417837346394115E-4</v>
      </c>
      <c r="U114" s="20">
        <f>ROUND(IFERROR('1.1 Jakotaulu'!M$18*Ohj.lask.[[#This Row],[%-osuus 4]],0),0)</f>
        <v>3795</v>
      </c>
      <c r="V114" s="157">
        <f>IFERROR(ROUND(VLOOKUP($A114,'2.5 Päättäneet palaute'!$A:$Z,COLUMN('2.5 Päättäneet palaute'!Y:Y),FALSE),1),0)</f>
        <v>3420.8</v>
      </c>
      <c r="W114" s="17">
        <f>IFERROR(Ohj.lask.[[#This Row],[Painotetut pisteet 5]]/Ohj.lask.[[#Totals],[Painotetut pisteet 5]],0)</f>
        <v>3.594729135930119E-4</v>
      </c>
      <c r="X114" s="20">
        <f>ROUND(IFERROR('1.1 Jakotaulu'!M$19*Ohj.lask.[[#This Row],[%-osuus 5]],0),0)</f>
        <v>8282</v>
      </c>
      <c r="Y114" s="157">
        <f>IFERROR(ROUND(VLOOKUP($A114,'2.6 Työpaikkaohjaajakysely'!A:I,COLUMN('2.6 Työpaikkaohjaajakysely'!H:H),FALSE),1),0)</f>
        <v>407248.2</v>
      </c>
      <c r="Z114" s="13">
        <f>IFERROR(Ohj.lask.[[#This Row],[Painotetut pisteet 6]]/Ohj.lask.[[#Totals],[Painotetut pisteet 6]],0)</f>
        <v>1.019220630951129E-3</v>
      </c>
      <c r="AA114" s="20">
        <f>ROUND(IFERROR('1.1 Jakotaulu'!M$21*Ohj.lask.[[#This Row],[%-osuus 6]],0),0)</f>
        <v>23482</v>
      </c>
      <c r="AB114" s="157">
        <f>IFERROR(ROUND(VLOOKUP($A114,'2.7 Työpaikkakysely'!A:G,COLUMN('2.7 Työpaikkakysely'!F:F),FALSE),1),0)</f>
        <v>161392</v>
      </c>
      <c r="AC114" s="13">
        <f>IFERROR(Ohj.lask.[[#This Row],[Pisteet 7]]/Ohj.lask.[[#Totals],[Pisteet 7]],0)</f>
        <v>8.4425716146373524E-4</v>
      </c>
      <c r="AD114" s="20">
        <f>ROUND(IFERROR('1.1 Jakotaulu'!M$22*Ohj.lask.[[#This Row],[%-osuus 7]],0),0)</f>
        <v>6484</v>
      </c>
      <c r="AE114" s="16">
        <f>IFERROR(Ohj.lask.[[#This Row],[Jaettava € 8]]/Ohj.lask.[[#Totals],[Jaettava € 8]],"")</f>
        <v>7.229353288315364E-4</v>
      </c>
      <c r="AF114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1458890</v>
      </c>
      <c r="AG114" s="105">
        <v>0</v>
      </c>
      <c r="AH114" s="105">
        <v>0</v>
      </c>
      <c r="AI114" s="105">
        <v>0</v>
      </c>
      <c r="AJ114" s="105">
        <v>0</v>
      </c>
      <c r="AK114" s="105">
        <v>0</v>
      </c>
      <c r="AL114" s="105">
        <v>0</v>
      </c>
      <c r="AM114" s="105">
        <v>0</v>
      </c>
      <c r="AN114" s="105">
        <v>0</v>
      </c>
      <c r="AO114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0</v>
      </c>
      <c r="AP114" s="14">
        <f>Ohj.lask.[[#This Row],[Jaettava € 1]]+Ohj.lask.[[#This Row],[Harkinnanvarainen korotus 9, €]]</f>
        <v>1007131</v>
      </c>
      <c r="AQ114" s="105">
        <f>Ohj.lask.[[#This Row],[Jaettava € 2]]</f>
        <v>306933</v>
      </c>
      <c r="AR114" s="14">
        <f>Ohj.lask.[[#This Row],[Jaettava € 3]]+Ohj.lask.[[#This Row],[Jaettava € 4]]+Ohj.lask.[[#This Row],[Jaettava € 5]]+Ohj.lask.[[#This Row],[Jaettava € 6]]+Ohj.lask.[[#This Row],[Jaettava € 7]]</f>
        <v>144826</v>
      </c>
      <c r="AS114" s="37">
        <f>Ohj.lask.[[#This Row],[Jaettava € 8]]+Ohj.lask.[[#This Row],[Harkinnanvarainen korotus 9, €]]</f>
        <v>1458890</v>
      </c>
      <c r="AT114" s="37">
        <v>108252</v>
      </c>
      <c r="AU114" s="20">
        <f>Ohj.lask.[[#This Row],[Perus-, suoritus- ja vaikuttavuusrahoitus yhteensä, €]]+Ohj.lask.[[#This Row],[Alv-korvaus, €]]</f>
        <v>1567142</v>
      </c>
    </row>
    <row r="115" spans="1:47" ht="13" x14ac:dyDescent="0.3">
      <c r="A115" s="7" t="s">
        <v>220</v>
      </c>
      <c r="B115" s="11" t="s">
        <v>105</v>
      </c>
      <c r="C115" s="99" t="s">
        <v>192</v>
      </c>
      <c r="D115" s="99" t="s">
        <v>337</v>
      </c>
      <c r="E115" s="99" t="s">
        <v>388</v>
      </c>
      <c r="F115" s="108">
        <v>218</v>
      </c>
      <c r="G115" s="114">
        <f>Ohj.lask.[[#This Row],[Tavoitteelliset opiskelija-vuodet]]-Ohj.lask.[[#This Row],[Järjestämisluvan opisk.vuosien vähimmäismäärä]]</f>
        <v>65</v>
      </c>
      <c r="H115" s="36">
        <v>283</v>
      </c>
      <c r="I115" s="12">
        <f>IFERROR(VLOOKUP($A115,'2.1 Toteut. op.vuodet'!$A:$T,COLUMN('2.1 Toteut. op.vuodet'!S:S),FALSE),0)</f>
        <v>1.2665633277809805</v>
      </c>
      <c r="J115" s="78">
        <f t="shared" si="3"/>
        <v>358.4</v>
      </c>
      <c r="K115" s="13">
        <f>IFERROR(Ohj.lask.[[#This Row],[Painotetut opiskelija-vuodet]]/Ohj.lask.[[#Totals],[Painotetut opiskelija-vuodet]],0)</f>
        <v>1.6590810616637466E-3</v>
      </c>
      <c r="L115" s="14">
        <f>ROUND(IFERROR('1.1 Jakotaulu'!L$13*Ohj.lask.[[#This Row],[%-osuus 1]],0),0)</f>
        <v>2328746</v>
      </c>
      <c r="M115" s="157">
        <f>IFERROR(ROUND(VLOOKUP($A115,'2.2 Tutk. ja osien pain. pist.'!$A:$Q,COLUMN('2.2 Tutk. ja osien pain. pist.'!O:O),FALSE),1),0)</f>
        <v>34914.199999999997</v>
      </c>
      <c r="N115" s="13">
        <f>IFERROR(Ohj.lask.[[#This Row],[Painotetut pisteet 2]]/Ohj.lask.[[#Totals],[Painotetut pisteet 2]],0)</f>
        <v>2.2483510737653389E-3</v>
      </c>
      <c r="O115" s="20">
        <f>ROUND(IFERROR('1.1 Jakotaulu'!K$14*Ohj.lask.[[#This Row],[%-osuus 2]],0),0)</f>
        <v>920884</v>
      </c>
      <c r="P115" s="158">
        <f>IFERROR(ROUND(VLOOKUP($A115,'2.3 Työll. ja jatko-opisk.'!$A:$Z,COLUMN('2.3 Työll. ja jatko-opisk.'!M:M),FALSE),1),0)</f>
        <v>472.4</v>
      </c>
      <c r="Q115" s="17">
        <f>IFERROR(Ohj.lask.[[#This Row],[Painotetut pisteet 3]]/Ohj.lask.[[#Totals],[Painotetut pisteet 3]],0)</f>
        <v>1.5168138688932107E-3</v>
      </c>
      <c r="R115" s="14">
        <f>ROUND(IFERROR('1.1 Jakotaulu'!L$16*Ohj.lask.[[#This Row],[%-osuus 3]],0),0)</f>
        <v>217441</v>
      </c>
      <c r="S115" s="157">
        <f>IFERROR(ROUND(VLOOKUP($A115,'2.4 Aloittaneet palaute'!$A:$J,COLUMN('2.4 Aloittaneet palaute'!I:I),FALSE),1),0)</f>
        <v>3073</v>
      </c>
      <c r="T115" s="17">
        <f>IFERROR(Ohj.lask.[[#This Row],[Painotetut pisteet 4]]/Ohj.lask.[[#Totals],[Painotetut pisteet 4]],0)</f>
        <v>1.9592441512768558E-3</v>
      </c>
      <c r="U115" s="20">
        <f>ROUND(IFERROR('1.1 Jakotaulu'!M$18*Ohj.lask.[[#This Row],[%-osuus 4]],0),0)</f>
        <v>15046</v>
      </c>
      <c r="V115" s="157">
        <f>IFERROR(ROUND(VLOOKUP($A115,'2.5 Päättäneet palaute'!$A:$Z,COLUMN('2.5 Päättäneet palaute'!Y:Y),FALSE),1),0)</f>
        <v>18272.8</v>
      </c>
      <c r="W115" s="17">
        <f>IFERROR(Ohj.lask.[[#This Row],[Painotetut pisteet 5]]/Ohj.lask.[[#Totals],[Painotetut pisteet 5]],0)</f>
        <v>1.9201872823615491E-3</v>
      </c>
      <c r="X115" s="20">
        <f>ROUND(IFERROR('1.1 Jakotaulu'!M$19*Ohj.lask.[[#This Row],[%-osuus 5]],0),0)</f>
        <v>44239</v>
      </c>
      <c r="Y115" s="157">
        <f>IFERROR(ROUND(VLOOKUP($A115,'2.6 Työpaikkaohjaajakysely'!A:I,COLUMN('2.6 Työpaikkaohjaajakysely'!H:H),FALSE),1),0)</f>
        <v>492770.1</v>
      </c>
      <c r="Z115" s="13">
        <f>IFERROR(Ohj.lask.[[#This Row],[Painotetut pisteet 6]]/Ohj.lask.[[#Totals],[Painotetut pisteet 6]],0)</f>
        <v>1.2332564078511602E-3</v>
      </c>
      <c r="AA115" s="20">
        <f>ROUND(IFERROR('1.1 Jakotaulu'!M$21*Ohj.lask.[[#This Row],[%-osuus 6]],0),0)</f>
        <v>28413</v>
      </c>
      <c r="AB115" s="157">
        <f>IFERROR(ROUND(VLOOKUP($A115,'2.7 Työpaikkakysely'!A:G,COLUMN('2.7 Työpaikkakysely'!F:F),FALSE),1),0)</f>
        <v>380127</v>
      </c>
      <c r="AC115" s="13">
        <f>IFERROR(Ohj.lask.[[#This Row],[Pisteet 7]]/Ohj.lask.[[#Totals],[Pisteet 7]],0)</f>
        <v>1.988481102010789E-3</v>
      </c>
      <c r="AD115" s="20">
        <f>ROUND(IFERROR('1.1 Jakotaulu'!M$22*Ohj.lask.[[#This Row],[%-osuus 7]],0),0)</f>
        <v>15271</v>
      </c>
      <c r="AE115" s="16">
        <f>IFERROR(Ohj.lask.[[#This Row],[Jaettava € 8]]/Ohj.lask.[[#Totals],[Jaettava € 8]],"")</f>
        <v>1.7690902270505236E-3</v>
      </c>
      <c r="AF115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3570040</v>
      </c>
      <c r="AG115" s="105">
        <v>0</v>
      </c>
      <c r="AH115" s="105">
        <v>0</v>
      </c>
      <c r="AI115" s="105">
        <v>0</v>
      </c>
      <c r="AJ115" s="105">
        <v>0</v>
      </c>
      <c r="AK115" s="105">
        <v>0</v>
      </c>
      <c r="AL115" s="105">
        <v>0</v>
      </c>
      <c r="AM115" s="105">
        <v>6000</v>
      </c>
      <c r="AN115" s="105">
        <v>0</v>
      </c>
      <c r="AO115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6000</v>
      </c>
      <c r="AP115" s="14">
        <f>Ohj.lask.[[#This Row],[Jaettava € 1]]+Ohj.lask.[[#This Row],[Harkinnanvarainen korotus 9, €]]</f>
        <v>2334746</v>
      </c>
      <c r="AQ115" s="105">
        <f>Ohj.lask.[[#This Row],[Jaettava € 2]]</f>
        <v>920884</v>
      </c>
      <c r="AR115" s="14">
        <f>Ohj.lask.[[#This Row],[Jaettava € 3]]+Ohj.lask.[[#This Row],[Jaettava € 4]]+Ohj.lask.[[#This Row],[Jaettava € 5]]+Ohj.lask.[[#This Row],[Jaettava € 6]]+Ohj.lask.[[#This Row],[Jaettava € 7]]</f>
        <v>320410</v>
      </c>
      <c r="AS115" s="37">
        <f>Ohj.lask.[[#This Row],[Jaettava € 8]]+Ohj.lask.[[#This Row],[Harkinnanvarainen korotus 9, €]]</f>
        <v>3576040</v>
      </c>
      <c r="AT115" s="37">
        <v>450703</v>
      </c>
      <c r="AU115" s="20">
        <f>Ohj.lask.[[#This Row],[Perus-, suoritus- ja vaikuttavuusrahoitus yhteensä, €]]+Ohj.lask.[[#This Row],[Alv-korvaus, €]]</f>
        <v>4026743</v>
      </c>
    </row>
    <row r="116" spans="1:47" ht="13" x14ac:dyDescent="0.3">
      <c r="A116" s="7" t="s">
        <v>219</v>
      </c>
      <c r="B116" s="11" t="s">
        <v>106</v>
      </c>
      <c r="C116" s="11" t="s">
        <v>180</v>
      </c>
      <c r="D116" s="11" t="s">
        <v>337</v>
      </c>
      <c r="E116" s="11" t="s">
        <v>388</v>
      </c>
      <c r="F116" s="109">
        <v>169</v>
      </c>
      <c r="G116" s="114">
        <f>Ohj.lask.[[#This Row],[Tavoitteelliset opiskelija-vuodet]]-Ohj.lask.[[#This Row],[Järjestämisluvan opisk.vuosien vähimmäismäärä]]</f>
        <v>89</v>
      </c>
      <c r="H116" s="36">
        <v>258</v>
      </c>
      <c r="I116" s="12">
        <f>IFERROR(VLOOKUP($A116,'2.1 Toteut. op.vuodet'!$A:$T,COLUMN('2.1 Toteut. op.vuodet'!S:S),FALSE),0)</f>
        <v>0.73627606085858799</v>
      </c>
      <c r="J116" s="78">
        <f t="shared" si="3"/>
        <v>190</v>
      </c>
      <c r="K116" s="13">
        <f>IFERROR(Ohj.lask.[[#This Row],[Painotetut opiskelija-vuodet]]/Ohj.lask.[[#Totals],[Painotetut opiskelija-vuodet]],0)</f>
        <v>8.7953516103825855E-4</v>
      </c>
      <c r="L116" s="14">
        <f>ROUND(IFERROR('1.1 Jakotaulu'!L$13*Ohj.lask.[[#This Row],[%-osuus 1]],0),0)</f>
        <v>1234547</v>
      </c>
      <c r="M116" s="157">
        <f>IFERROR(ROUND(VLOOKUP($A116,'2.2 Tutk. ja osien pain. pist.'!$A:$Q,COLUMN('2.2 Tutk. ja osien pain. pist.'!O:O),FALSE),1),0)</f>
        <v>16341.6</v>
      </c>
      <c r="N116" s="13">
        <f>IFERROR(Ohj.lask.[[#This Row],[Painotetut pisteet 2]]/Ohj.lask.[[#Totals],[Painotetut pisteet 2]],0)</f>
        <v>1.0523412796811518E-3</v>
      </c>
      <c r="O116" s="20">
        <f>ROUND(IFERROR('1.1 Jakotaulu'!K$14*Ohj.lask.[[#This Row],[%-osuus 2]],0),0)</f>
        <v>431020</v>
      </c>
      <c r="P116" s="158">
        <f>IFERROR(ROUND(VLOOKUP($A116,'2.3 Työll. ja jatko-opisk.'!$A:$Z,COLUMN('2.3 Työll. ja jatko-opisk.'!M:M),FALSE),1),0)</f>
        <v>396</v>
      </c>
      <c r="Q116" s="13">
        <f>IFERROR(Ohj.lask.[[#This Row],[Painotetut pisteet 3]]/Ohj.lask.[[#Totals],[Painotetut pisteet 3]],0)</f>
        <v>1.2715035818833859E-3</v>
      </c>
      <c r="R116" s="14">
        <f>ROUND(IFERROR('1.1 Jakotaulu'!L$16*Ohj.lask.[[#This Row],[%-osuus 3]],0),0)</f>
        <v>182275</v>
      </c>
      <c r="S116" s="157">
        <f>IFERROR(ROUND(VLOOKUP($A116,'2.4 Aloittaneet palaute'!$A:$J,COLUMN('2.4 Aloittaneet palaute'!I:I),FALSE),1),0)</f>
        <v>3553.2</v>
      </c>
      <c r="T116" s="17">
        <f>IFERROR(Ohj.lask.[[#This Row],[Painotetut pisteet 4]]/Ohj.lask.[[#Totals],[Painotetut pisteet 4]],0)</f>
        <v>2.2654039434809384E-3</v>
      </c>
      <c r="U116" s="20">
        <f>ROUND(IFERROR('1.1 Jakotaulu'!M$18*Ohj.lask.[[#This Row],[%-osuus 4]],0),0)</f>
        <v>17398</v>
      </c>
      <c r="V116" s="157">
        <f>IFERROR(ROUND(VLOOKUP($A116,'2.5 Päättäneet palaute'!$A:$Z,COLUMN('2.5 Päättäneet palaute'!Y:Y),FALSE),1),0)</f>
        <v>27659.4</v>
      </c>
      <c r="W116" s="17">
        <f>IFERROR(Ohj.lask.[[#This Row],[Painotetut pisteet 5]]/Ohj.lask.[[#Totals],[Painotetut pisteet 5]],0)</f>
        <v>2.90657305490954E-3</v>
      </c>
      <c r="X116" s="20">
        <f>ROUND(IFERROR('1.1 Jakotaulu'!M$19*Ohj.lask.[[#This Row],[%-osuus 5]],0),0)</f>
        <v>66965</v>
      </c>
      <c r="Y116" s="157">
        <f>IFERROR(ROUND(VLOOKUP($A116,'2.6 Työpaikkaohjaajakysely'!A:I,COLUMN('2.6 Työpaikkaohjaajakysely'!H:H),FALSE),1),0)</f>
        <v>873868.2</v>
      </c>
      <c r="Z116" s="13">
        <f>IFERROR(Ohj.lask.[[#This Row],[Painotetut pisteet 6]]/Ohj.lask.[[#Totals],[Painotetut pisteet 6]],0)</f>
        <v>2.1870311475216519E-3</v>
      </c>
      <c r="AA116" s="20">
        <f>ROUND(IFERROR('1.1 Jakotaulu'!M$21*Ohj.lask.[[#This Row],[%-osuus 6]],0),0)</f>
        <v>50387</v>
      </c>
      <c r="AB116" s="157">
        <f>IFERROR(ROUND(VLOOKUP($A116,'2.7 Työpaikkakysely'!A:G,COLUMN('2.7 Työpaikkakysely'!F:F),FALSE),1),0)</f>
        <v>411301.5</v>
      </c>
      <c r="AC116" s="13">
        <f>IFERROR(Ohj.lask.[[#This Row],[Pisteet 7]]/Ohj.lask.[[#Totals],[Pisteet 7]],0)</f>
        <v>2.1515579266368624E-3</v>
      </c>
      <c r="AD116" s="20">
        <f>ROUND(IFERROR('1.1 Jakotaulu'!M$22*Ohj.lask.[[#This Row],[%-osuus 7]],0),0)</f>
        <v>16523</v>
      </c>
      <c r="AE116" s="16">
        <f>IFERROR(Ohj.lask.[[#This Row],[Jaettava € 8]]/Ohj.lask.[[#Totals],[Jaettava € 8]],"")</f>
        <v>9.9063730637474865E-4</v>
      </c>
      <c r="AF116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1999115</v>
      </c>
      <c r="AG116" s="105">
        <v>0</v>
      </c>
      <c r="AH116" s="105">
        <v>0</v>
      </c>
      <c r="AI116" s="105">
        <v>0</v>
      </c>
      <c r="AJ116" s="105">
        <v>0</v>
      </c>
      <c r="AK116" s="105">
        <v>0</v>
      </c>
      <c r="AL116" s="105">
        <v>0</v>
      </c>
      <c r="AM116" s="105">
        <v>9000</v>
      </c>
      <c r="AN116" s="105">
        <v>0</v>
      </c>
      <c r="AO116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9000</v>
      </c>
      <c r="AP116" s="14">
        <f>Ohj.lask.[[#This Row],[Jaettava € 1]]+Ohj.lask.[[#This Row],[Harkinnanvarainen korotus 9, €]]</f>
        <v>1243547</v>
      </c>
      <c r="AQ116" s="105">
        <f>Ohj.lask.[[#This Row],[Jaettava € 2]]</f>
        <v>431020</v>
      </c>
      <c r="AR116" s="14">
        <f>Ohj.lask.[[#This Row],[Jaettava € 3]]+Ohj.lask.[[#This Row],[Jaettava € 4]]+Ohj.lask.[[#This Row],[Jaettava € 5]]+Ohj.lask.[[#This Row],[Jaettava € 6]]+Ohj.lask.[[#This Row],[Jaettava € 7]]</f>
        <v>333548</v>
      </c>
      <c r="AS116" s="37">
        <f>Ohj.lask.[[#This Row],[Jaettava € 8]]+Ohj.lask.[[#This Row],[Harkinnanvarainen korotus 9, €]]</f>
        <v>2008115</v>
      </c>
      <c r="AT116" s="37">
        <v>83046</v>
      </c>
      <c r="AU116" s="20">
        <f>Ohj.lask.[[#This Row],[Perus-, suoritus- ja vaikuttavuusrahoitus yhteensä, €]]+Ohj.lask.[[#This Row],[Alv-korvaus, €]]</f>
        <v>2091161</v>
      </c>
    </row>
    <row r="117" spans="1:47" ht="13" x14ac:dyDescent="0.3">
      <c r="A117" s="7" t="s">
        <v>218</v>
      </c>
      <c r="B117" s="11" t="s">
        <v>453</v>
      </c>
      <c r="C117" s="11" t="s">
        <v>209</v>
      </c>
      <c r="D117" s="11" t="s">
        <v>337</v>
      </c>
      <c r="E117" s="11" t="s">
        <v>388</v>
      </c>
      <c r="F117" s="109">
        <v>488</v>
      </c>
      <c r="G117" s="114">
        <f>Ohj.lask.[[#This Row],[Tavoitteelliset opiskelija-vuodet]]-Ohj.lask.[[#This Row],[Järjestämisluvan opisk.vuosien vähimmäismäärä]]</f>
        <v>236</v>
      </c>
      <c r="H117" s="36">
        <v>724</v>
      </c>
      <c r="I117" s="12">
        <f>IFERROR(VLOOKUP($A117,'2.1 Toteut. op.vuodet'!$A:$T,COLUMN('2.1 Toteut. op.vuodet'!S:S),FALSE),0)</f>
        <v>0.8136705799053856</v>
      </c>
      <c r="J117" s="78">
        <f t="shared" si="3"/>
        <v>589.1</v>
      </c>
      <c r="K117" s="13">
        <f>IFERROR(Ohj.lask.[[#This Row],[Painotetut opiskelija-vuodet]]/Ohj.lask.[[#Totals],[Painotetut opiskelija-vuodet]],0)</f>
        <v>2.7270219124612533E-3</v>
      </c>
      <c r="L117" s="14">
        <f>ROUND(IFERROR('1.1 Jakotaulu'!L$13*Ohj.lask.[[#This Row],[%-osuus 1]],0),0)</f>
        <v>3827746</v>
      </c>
      <c r="M117" s="157">
        <f>IFERROR(ROUND(VLOOKUP($A117,'2.2 Tutk. ja osien pain. pist.'!$A:$Q,COLUMN('2.2 Tutk. ja osien pain. pist.'!O:O),FALSE),1),0)</f>
        <v>63374.6</v>
      </c>
      <c r="N117" s="13">
        <f>IFERROR(Ohj.lask.[[#This Row],[Painotetut pisteet 2]]/Ohj.lask.[[#Totals],[Painotetut pisteet 2]],0)</f>
        <v>4.0811002388555047E-3</v>
      </c>
      <c r="O117" s="20">
        <f>ROUND(IFERROR('1.1 Jakotaulu'!K$14*Ohj.lask.[[#This Row],[%-osuus 2]],0),0)</f>
        <v>1671545</v>
      </c>
      <c r="P117" s="158">
        <f>IFERROR(ROUND(VLOOKUP($A117,'2.3 Työll. ja jatko-opisk.'!$A:$Z,COLUMN('2.3 Työll. ja jatko-opisk.'!M:M),FALSE),1),0)</f>
        <v>1417</v>
      </c>
      <c r="Q117" s="13">
        <f>IFERROR(Ohj.lask.[[#This Row],[Painotetut pisteet 3]]/Ohj.lask.[[#Totals],[Painotetut pisteet 3]],0)</f>
        <v>4.5497994331534283E-3</v>
      </c>
      <c r="R117" s="14">
        <f>ROUND(IFERROR('1.1 Jakotaulu'!L$16*Ohj.lask.[[#This Row],[%-osuus 3]],0),0)</f>
        <v>652231</v>
      </c>
      <c r="S117" s="157">
        <f>IFERROR(ROUND(VLOOKUP($A117,'2.4 Aloittaneet palaute'!$A:$J,COLUMN('2.4 Aloittaneet palaute'!I:I),FALSE),1),0)</f>
        <v>15928.1</v>
      </c>
      <c r="T117" s="17">
        <f>IFERROR(Ohj.lask.[[#This Row],[Painotetut pisteet 4]]/Ohj.lask.[[#Totals],[Painotetut pisteet 4]],0)</f>
        <v>1.0155234873398271E-2</v>
      </c>
      <c r="U117" s="20">
        <f>ROUND(IFERROR('1.1 Jakotaulu'!M$18*Ohj.lask.[[#This Row],[%-osuus 4]],0),0)</f>
        <v>77989</v>
      </c>
      <c r="V117" s="157">
        <f>IFERROR(ROUND(VLOOKUP($A117,'2.5 Päättäneet palaute'!$A:$Z,COLUMN('2.5 Päättäneet palaute'!Y:Y),FALSE),1),0)</f>
        <v>91705.4</v>
      </c>
      <c r="W117" s="17">
        <f>IFERROR(Ohj.lask.[[#This Row],[Painotetut pisteet 5]]/Ohj.lask.[[#Totals],[Painotetut pisteet 5]],0)</f>
        <v>9.6368122457356729E-3</v>
      </c>
      <c r="X117" s="20">
        <f>ROUND(IFERROR('1.1 Jakotaulu'!M$19*Ohj.lask.[[#This Row],[%-osuus 5]],0),0)</f>
        <v>222022</v>
      </c>
      <c r="Y117" s="157">
        <f>IFERROR(ROUND(VLOOKUP($A117,'2.6 Työpaikkaohjaajakysely'!A:I,COLUMN('2.6 Työpaikkaohjaajakysely'!H:H),FALSE),1),0)</f>
        <v>475295.5</v>
      </c>
      <c r="Z117" s="13">
        <f>IFERROR(Ohj.lask.[[#This Row],[Painotetut pisteet 6]]/Ohj.lask.[[#Totals],[Painotetut pisteet 6]],0)</f>
        <v>1.1895227023673335E-3</v>
      </c>
      <c r="AA117" s="20">
        <f>ROUND(IFERROR('1.1 Jakotaulu'!M$21*Ohj.lask.[[#This Row],[%-osuus 6]],0),0)</f>
        <v>27405</v>
      </c>
      <c r="AB117" s="157">
        <f>IFERROR(ROUND(VLOOKUP($A117,'2.7 Työpaikkakysely'!A:G,COLUMN('2.7 Työpaikkakysely'!F:F),FALSE),1),0)</f>
        <v>24480</v>
      </c>
      <c r="AC117" s="13">
        <f>IFERROR(Ohj.lask.[[#This Row],[Pisteet 7]]/Ohj.lask.[[#Totals],[Pisteet 7]],0)</f>
        <v>1.2805724764940169E-4</v>
      </c>
      <c r="AD117" s="20">
        <f>ROUND(IFERROR('1.1 Jakotaulu'!M$22*Ohj.lask.[[#This Row],[%-osuus 7]],0),0)</f>
        <v>983</v>
      </c>
      <c r="AE117" s="16">
        <f>IFERROR(Ohj.lask.[[#This Row],[Jaettava € 8]]/Ohj.lask.[[#Totals],[Jaettava € 8]],"")</f>
        <v>3.2110466306146303E-3</v>
      </c>
      <c r="AF117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6479921</v>
      </c>
      <c r="AG117" s="105">
        <v>0</v>
      </c>
      <c r="AH117" s="105">
        <v>0</v>
      </c>
      <c r="AI117" s="105">
        <v>0</v>
      </c>
      <c r="AJ117" s="105">
        <v>0</v>
      </c>
      <c r="AK117" s="105">
        <v>0</v>
      </c>
      <c r="AL117" s="105">
        <v>0</v>
      </c>
      <c r="AM117" s="105">
        <v>0</v>
      </c>
      <c r="AN117" s="105">
        <v>0</v>
      </c>
      <c r="AO117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0</v>
      </c>
      <c r="AP117" s="14">
        <f>Ohj.lask.[[#This Row],[Jaettava € 1]]+Ohj.lask.[[#This Row],[Harkinnanvarainen korotus 9, €]]</f>
        <v>3827746</v>
      </c>
      <c r="AQ117" s="105">
        <f>Ohj.lask.[[#This Row],[Jaettava € 2]]</f>
        <v>1671545</v>
      </c>
      <c r="AR117" s="14">
        <f>Ohj.lask.[[#This Row],[Jaettava € 3]]+Ohj.lask.[[#This Row],[Jaettava € 4]]+Ohj.lask.[[#This Row],[Jaettava € 5]]+Ohj.lask.[[#This Row],[Jaettava € 6]]+Ohj.lask.[[#This Row],[Jaettava € 7]]</f>
        <v>980630</v>
      </c>
      <c r="AS117" s="37">
        <f>Ohj.lask.[[#This Row],[Jaettava € 8]]+Ohj.lask.[[#This Row],[Harkinnanvarainen korotus 9, €]]</f>
        <v>6479921</v>
      </c>
      <c r="AT117" s="37">
        <v>235307</v>
      </c>
      <c r="AU117" s="20">
        <f>Ohj.lask.[[#This Row],[Perus-, suoritus- ja vaikuttavuusrahoitus yhteensä, €]]+Ohj.lask.[[#This Row],[Alv-korvaus, €]]</f>
        <v>6715228</v>
      </c>
    </row>
    <row r="118" spans="1:47" ht="13" x14ac:dyDescent="0.3">
      <c r="A118" s="7" t="s">
        <v>217</v>
      </c>
      <c r="B118" s="11" t="s">
        <v>107</v>
      </c>
      <c r="C118" s="11" t="s">
        <v>209</v>
      </c>
      <c r="D118" s="11" t="s">
        <v>336</v>
      </c>
      <c r="E118" s="11" t="s">
        <v>388</v>
      </c>
      <c r="F118" s="109">
        <v>514</v>
      </c>
      <c r="G118" s="114">
        <f>Ohj.lask.[[#This Row],[Tavoitteelliset opiskelija-vuodet]]-Ohj.lask.[[#This Row],[Järjestämisluvan opisk.vuosien vähimmäismäärä]]</f>
        <v>0</v>
      </c>
      <c r="H118" s="36">
        <v>514</v>
      </c>
      <c r="I118" s="12">
        <f>IFERROR(VLOOKUP($A118,'2.1 Toteut. op.vuodet'!$A:$T,COLUMN('2.1 Toteut. op.vuodet'!S:S),FALSE),0)</f>
        <v>1.2795529712207863</v>
      </c>
      <c r="J118" s="78">
        <f t="shared" si="3"/>
        <v>657.7</v>
      </c>
      <c r="K118" s="13">
        <f>IFERROR(Ohj.lask.[[#This Row],[Painotetut opiskelija-vuodet]]/Ohj.lask.[[#Totals],[Painotetut opiskelija-vuodet]],0)</f>
        <v>3.0445803969203298E-3</v>
      </c>
      <c r="L118" s="14">
        <f>ROUND(IFERROR('1.1 Jakotaulu'!L$13*Ohj.lask.[[#This Row],[%-osuus 1]],0),0)</f>
        <v>4273483</v>
      </c>
      <c r="M118" s="157">
        <f>IFERROR(ROUND(VLOOKUP($A118,'2.2 Tutk. ja osien pain. pist.'!$A:$Q,COLUMN('2.2 Tutk. ja osien pain. pist.'!O:O),FALSE),1),0)</f>
        <v>36365.800000000003</v>
      </c>
      <c r="N118" s="13">
        <f>IFERROR(Ohj.lask.[[#This Row],[Painotetut pisteet 2]]/Ohj.lask.[[#Totals],[Painotetut pisteet 2]],0)</f>
        <v>2.341828983002205E-3</v>
      </c>
      <c r="O118" s="20">
        <f>ROUND(IFERROR('1.1 Jakotaulu'!K$14*Ohj.lask.[[#This Row],[%-osuus 2]],0),0)</f>
        <v>959171</v>
      </c>
      <c r="P118" s="158">
        <f>IFERROR(ROUND(VLOOKUP($A118,'2.3 Työll. ja jatko-opisk.'!$A:$Z,COLUMN('2.3 Työll. ja jatko-opisk.'!M:M),FALSE),1),0)</f>
        <v>937.2</v>
      </c>
      <c r="Q118" s="13">
        <f>IFERROR(Ohj.lask.[[#This Row],[Painotetut pisteet 3]]/Ohj.lask.[[#Totals],[Painotetut pisteet 3]],0)</f>
        <v>3.0092251437906798E-3</v>
      </c>
      <c r="R118" s="14">
        <f>ROUND(IFERROR('1.1 Jakotaulu'!L$16*Ohj.lask.[[#This Row],[%-osuus 3]],0),0)</f>
        <v>431384</v>
      </c>
      <c r="S118" s="157">
        <f>IFERROR(ROUND(VLOOKUP($A118,'2.4 Aloittaneet palaute'!$A:$J,COLUMN('2.4 Aloittaneet palaute'!I:I),FALSE),1),0)</f>
        <v>3825.3</v>
      </c>
      <c r="T118" s="17">
        <f>IFERROR(Ohj.lask.[[#This Row],[Painotetut pisteet 4]]/Ohj.lask.[[#Totals],[Painotetut pisteet 4]],0)</f>
        <v>2.4388859914999538E-3</v>
      </c>
      <c r="U118" s="20">
        <f>ROUND(IFERROR('1.1 Jakotaulu'!M$18*Ohj.lask.[[#This Row],[%-osuus 4]],0),0)</f>
        <v>18730</v>
      </c>
      <c r="V118" s="157">
        <f>IFERROR(ROUND(VLOOKUP($A118,'2.5 Päättäneet palaute'!$A:$Z,COLUMN('2.5 Päättäneet palaute'!Y:Y),FALSE),1),0)</f>
        <v>22412.2</v>
      </c>
      <c r="W118" s="17">
        <f>IFERROR(Ohj.lask.[[#This Row],[Painotetut pisteet 5]]/Ohj.lask.[[#Totals],[Painotetut pisteet 5]],0)</f>
        <v>2.3551738874033269E-3</v>
      </c>
      <c r="X118" s="20">
        <f>ROUND(IFERROR('1.1 Jakotaulu'!M$19*Ohj.lask.[[#This Row],[%-osuus 5]],0),0)</f>
        <v>54261</v>
      </c>
      <c r="Y118" s="157">
        <f>IFERROR(ROUND(VLOOKUP($A118,'2.6 Työpaikkaohjaajakysely'!A:I,COLUMN('2.6 Työpaikkaohjaajakysely'!H:H),FALSE),1),0)</f>
        <v>539897.80000000005</v>
      </c>
      <c r="Z118" s="13">
        <f>IFERROR(Ohj.lask.[[#This Row],[Painotetut pisteet 6]]/Ohj.lask.[[#Totals],[Painotetut pisteet 6]],0)</f>
        <v>1.3512029675395163E-3</v>
      </c>
      <c r="AA118" s="20">
        <f>ROUND(IFERROR('1.1 Jakotaulu'!M$21*Ohj.lask.[[#This Row],[%-osuus 6]],0),0)</f>
        <v>31130</v>
      </c>
      <c r="AB118" s="157">
        <f>IFERROR(ROUND(VLOOKUP($A118,'2.7 Työpaikkakysely'!A:G,COLUMN('2.7 Työpaikkakysely'!F:F),FALSE),1),0)</f>
        <v>328260</v>
      </c>
      <c r="AC118" s="13">
        <f>IFERROR(Ohj.lask.[[#This Row],[Pisteet 7]]/Ohj.lask.[[#Totals],[Pisteet 7]],0)</f>
        <v>1.7171598085536192E-3</v>
      </c>
      <c r="AD118" s="20">
        <f>ROUND(IFERROR('1.1 Jakotaulu'!M$22*Ohj.lask.[[#This Row],[%-osuus 7]],0),0)</f>
        <v>13187</v>
      </c>
      <c r="AE118" s="16">
        <f>IFERROR(Ohj.lask.[[#This Row],[Jaettava € 8]]/Ohj.lask.[[#Totals],[Jaettava € 8]],"")</f>
        <v>2.8648762220584746E-3</v>
      </c>
      <c r="AF118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5781346</v>
      </c>
      <c r="AG118" s="105">
        <v>0</v>
      </c>
      <c r="AH118" s="105">
        <v>0</v>
      </c>
      <c r="AI118" s="105">
        <v>0</v>
      </c>
      <c r="AJ118" s="105">
        <v>0</v>
      </c>
      <c r="AK118" s="105">
        <v>0</v>
      </c>
      <c r="AL118" s="105">
        <v>0</v>
      </c>
      <c r="AM118" s="105">
        <v>5000</v>
      </c>
      <c r="AN118" s="105">
        <v>0</v>
      </c>
      <c r="AO118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5000</v>
      </c>
      <c r="AP118" s="14">
        <f>Ohj.lask.[[#This Row],[Jaettava € 1]]+Ohj.lask.[[#This Row],[Harkinnanvarainen korotus 9, €]]</f>
        <v>4278483</v>
      </c>
      <c r="AQ118" s="105">
        <f>Ohj.lask.[[#This Row],[Jaettava € 2]]</f>
        <v>959171</v>
      </c>
      <c r="AR118" s="14">
        <f>Ohj.lask.[[#This Row],[Jaettava € 3]]+Ohj.lask.[[#This Row],[Jaettava € 4]]+Ohj.lask.[[#This Row],[Jaettava € 5]]+Ohj.lask.[[#This Row],[Jaettava € 6]]+Ohj.lask.[[#This Row],[Jaettava € 7]]</f>
        <v>548692</v>
      </c>
      <c r="AS118" s="37">
        <f>Ohj.lask.[[#This Row],[Jaettava € 8]]+Ohj.lask.[[#This Row],[Harkinnanvarainen korotus 9, €]]</f>
        <v>5786346</v>
      </c>
      <c r="AT118" s="37">
        <v>0</v>
      </c>
      <c r="AU118" s="20">
        <f>Ohj.lask.[[#This Row],[Perus-, suoritus- ja vaikuttavuusrahoitus yhteensä, €]]+Ohj.lask.[[#This Row],[Alv-korvaus, €]]</f>
        <v>5786346</v>
      </c>
    </row>
    <row r="119" spans="1:47" ht="13" x14ac:dyDescent="0.3">
      <c r="A119" s="7" t="s">
        <v>216</v>
      </c>
      <c r="B119" s="11" t="s">
        <v>108</v>
      </c>
      <c r="C119" s="11" t="s">
        <v>180</v>
      </c>
      <c r="D119" s="11" t="s">
        <v>337</v>
      </c>
      <c r="E119" s="11" t="s">
        <v>389</v>
      </c>
      <c r="F119" s="109">
        <v>1087</v>
      </c>
      <c r="G119" s="114">
        <f>Ohj.lask.[[#This Row],[Tavoitteelliset opiskelija-vuodet]]-Ohj.lask.[[#This Row],[Järjestämisluvan opisk.vuosien vähimmäismäärä]]</f>
        <v>0</v>
      </c>
      <c r="H119" s="36">
        <v>1087</v>
      </c>
      <c r="I119" s="12">
        <f>IFERROR(VLOOKUP($A119,'2.1 Toteut. op.vuodet'!$A:$T,COLUMN('2.1 Toteut. op.vuodet'!S:S),FALSE),0)</f>
        <v>1.0777056964294713</v>
      </c>
      <c r="J119" s="78">
        <f t="shared" si="3"/>
        <v>1171.5</v>
      </c>
      <c r="K119" s="13">
        <f>IFERROR(Ohj.lask.[[#This Row],[Painotetut opiskelija-vuodet]]/Ohj.lask.[[#Totals],[Painotetut opiskelija-vuodet]],0)</f>
        <v>5.4230286376648418E-3</v>
      </c>
      <c r="L119" s="14">
        <f>ROUND(IFERROR('1.1 Jakotaulu'!L$13*Ohj.lask.[[#This Row],[%-osuus 1]],0),0)</f>
        <v>7611958</v>
      </c>
      <c r="M119" s="157">
        <f>IFERROR(ROUND(VLOOKUP($A119,'2.2 Tutk. ja osien pain. pist.'!$A:$Q,COLUMN('2.2 Tutk. ja osien pain. pist.'!O:O),FALSE),1),0)</f>
        <v>74997.600000000006</v>
      </c>
      <c r="N119" s="13">
        <f>IFERROR(Ohj.lask.[[#This Row],[Painotetut pisteet 2]]/Ohj.lask.[[#Totals],[Painotetut pisteet 2]],0)</f>
        <v>4.8295803566979455E-3</v>
      </c>
      <c r="O119" s="20">
        <f>ROUND(IFERROR('1.1 Jakotaulu'!K$14*Ohj.lask.[[#This Row],[%-osuus 2]],0),0)</f>
        <v>1978109</v>
      </c>
      <c r="P119" s="158">
        <f>IFERROR(ROUND(VLOOKUP($A119,'2.3 Työll. ja jatko-opisk.'!$A:$Z,COLUMN('2.3 Työll. ja jatko-opisk.'!M:M),FALSE),1),0)</f>
        <v>1852.6</v>
      </c>
      <c r="Q119" s="13">
        <f>IFERROR(Ohj.lask.[[#This Row],[Painotetut pisteet 3]]/Ohj.lask.[[#Totals],[Painotetut pisteet 3]],0)</f>
        <v>5.9484533732251524E-3</v>
      </c>
      <c r="R119" s="14">
        <f>ROUND(IFERROR('1.1 Jakotaulu'!L$16*Ohj.lask.[[#This Row],[%-osuus 3]],0),0)</f>
        <v>852733</v>
      </c>
      <c r="S119" s="157">
        <f>IFERROR(ROUND(VLOOKUP($A119,'2.4 Aloittaneet palaute'!$A:$J,COLUMN('2.4 Aloittaneet palaute'!I:I),FALSE),1),0)</f>
        <v>5817.6</v>
      </c>
      <c r="T119" s="17">
        <f>IFERROR(Ohj.lask.[[#This Row],[Painotetut pisteet 4]]/Ohj.lask.[[#Totals],[Painotetut pisteet 4]],0)</f>
        <v>3.7091112185057722E-3</v>
      </c>
      <c r="U119" s="20">
        <f>ROUND(IFERROR('1.1 Jakotaulu'!M$18*Ohj.lask.[[#This Row],[%-osuus 4]],0),0)</f>
        <v>28485</v>
      </c>
      <c r="V119" s="157">
        <f>IFERROR(ROUND(VLOOKUP($A119,'2.5 Päättäneet palaute'!$A:$Z,COLUMN('2.5 Päättäneet palaute'!Y:Y),FALSE),1),0)</f>
        <v>41635.800000000003</v>
      </c>
      <c r="W119" s="17">
        <f>IFERROR(Ohj.lask.[[#This Row],[Painotetut pisteet 5]]/Ohj.lask.[[#Totals],[Painotetut pisteet 5]],0)</f>
        <v>4.3752754723386123E-3</v>
      </c>
      <c r="X119" s="20">
        <f>ROUND(IFERROR('1.1 Jakotaulu'!M$19*Ohj.lask.[[#This Row],[%-osuus 5]],0),0)</f>
        <v>100802</v>
      </c>
      <c r="Y119" s="157">
        <f>IFERROR(ROUND(VLOOKUP($A119,'2.6 Työpaikkaohjaajakysely'!A:I,COLUMN('2.6 Työpaikkaohjaajakysely'!H:H),FALSE),1),0)</f>
        <v>1037748.4</v>
      </c>
      <c r="Z119" s="13">
        <f>IFERROR(Ohj.lask.[[#This Row],[Painotetut pisteet 6]]/Ohj.lask.[[#Totals],[Painotetut pisteet 6]],0)</f>
        <v>2.5971743497369038E-3</v>
      </c>
      <c r="AA119" s="20">
        <f>ROUND(IFERROR('1.1 Jakotaulu'!M$21*Ohj.lask.[[#This Row],[%-osuus 6]],0),0)</f>
        <v>59836</v>
      </c>
      <c r="AB119" s="157">
        <f>IFERROR(ROUND(VLOOKUP($A119,'2.7 Työpaikkakysely'!A:G,COLUMN('2.7 Työpaikkakysely'!F:F),FALSE),1),0)</f>
        <v>334259</v>
      </c>
      <c r="AC119" s="13">
        <f>IFERROR(Ohj.lask.[[#This Row],[Pisteet 7]]/Ohj.lask.[[#Totals],[Pisteet 7]],0)</f>
        <v>1.7485411577631274E-3</v>
      </c>
      <c r="AD119" s="20">
        <f>ROUND(IFERROR('1.1 Jakotaulu'!M$22*Ohj.lask.[[#This Row],[%-osuus 7]],0),0)</f>
        <v>13428</v>
      </c>
      <c r="AE119" s="16">
        <f>IFERROR(Ohj.lask.[[#This Row],[Jaettava € 8]]/Ohj.lask.[[#Totals],[Jaettava € 8]],"")</f>
        <v>5.2751751850462509E-3</v>
      </c>
      <c r="AF119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10645351</v>
      </c>
      <c r="AG119" s="105">
        <v>0</v>
      </c>
      <c r="AH119" s="105">
        <v>0</v>
      </c>
      <c r="AI119" s="105">
        <v>0</v>
      </c>
      <c r="AJ119" s="105">
        <v>0</v>
      </c>
      <c r="AK119" s="105">
        <v>0</v>
      </c>
      <c r="AL119" s="105">
        <v>0</v>
      </c>
      <c r="AM119" s="105">
        <v>10000</v>
      </c>
      <c r="AN119" s="105">
        <v>13000</v>
      </c>
      <c r="AO119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23000</v>
      </c>
      <c r="AP119" s="14">
        <f>Ohj.lask.[[#This Row],[Jaettava € 1]]+Ohj.lask.[[#This Row],[Harkinnanvarainen korotus 9, €]]</f>
        <v>7634958</v>
      </c>
      <c r="AQ119" s="105">
        <f>Ohj.lask.[[#This Row],[Jaettava € 2]]</f>
        <v>1978109</v>
      </c>
      <c r="AR119" s="14">
        <f>Ohj.lask.[[#This Row],[Jaettava € 3]]+Ohj.lask.[[#This Row],[Jaettava € 4]]+Ohj.lask.[[#This Row],[Jaettava € 5]]+Ohj.lask.[[#This Row],[Jaettava € 6]]+Ohj.lask.[[#This Row],[Jaettava € 7]]</f>
        <v>1055284</v>
      </c>
      <c r="AS119" s="37">
        <f>Ohj.lask.[[#This Row],[Jaettava € 8]]+Ohj.lask.[[#This Row],[Harkinnanvarainen korotus 9, €]]</f>
        <v>10668351</v>
      </c>
      <c r="AT119" s="37">
        <v>790039</v>
      </c>
      <c r="AU119" s="20">
        <f>Ohj.lask.[[#This Row],[Perus-, suoritus- ja vaikuttavuusrahoitus yhteensä, €]]+Ohj.lask.[[#This Row],[Alv-korvaus, €]]</f>
        <v>11458390</v>
      </c>
    </row>
    <row r="120" spans="1:47" ht="13" x14ac:dyDescent="0.3">
      <c r="A120" s="7" t="s">
        <v>215</v>
      </c>
      <c r="B120" s="11" t="s">
        <v>109</v>
      </c>
      <c r="C120" s="11" t="s">
        <v>186</v>
      </c>
      <c r="D120" s="11" t="s">
        <v>336</v>
      </c>
      <c r="E120" s="11" t="s">
        <v>389</v>
      </c>
      <c r="F120" s="109">
        <v>1394</v>
      </c>
      <c r="G120" s="114">
        <f>Ohj.lask.[[#This Row],[Tavoitteelliset opiskelija-vuodet]]-Ohj.lask.[[#This Row],[Järjestämisluvan opisk.vuosien vähimmäismäärä]]</f>
        <v>94</v>
      </c>
      <c r="H120" s="36">
        <v>1488</v>
      </c>
      <c r="I120" s="12">
        <f>IFERROR(VLOOKUP($A120,'2.1 Toteut. op.vuodet'!$A:$T,COLUMN('2.1 Toteut. op.vuodet'!S:S),FALSE),0)</f>
        <v>1.1368066592245865</v>
      </c>
      <c r="J120" s="78">
        <f t="shared" si="3"/>
        <v>1691.6</v>
      </c>
      <c r="K120" s="13">
        <f>IFERROR(Ohj.lask.[[#This Row],[Painotetut opiskelija-vuodet]]/Ohj.lask.[[#Totals],[Painotetut opiskelija-vuodet]],0)</f>
        <v>7.8306404126964116E-3</v>
      </c>
      <c r="L120" s="14">
        <f>ROUND(IFERROR('1.1 Jakotaulu'!L$13*Ohj.lask.[[#This Row],[%-osuus 1]],0),0)</f>
        <v>10991369</v>
      </c>
      <c r="M120" s="157">
        <f>IFERROR(ROUND(VLOOKUP($A120,'2.2 Tutk. ja osien pain. pist.'!$A:$Q,COLUMN('2.2 Tutk. ja osien pain. pist.'!O:O),FALSE),1),0)</f>
        <v>123285.4</v>
      </c>
      <c r="N120" s="13">
        <f>IFERROR(Ohj.lask.[[#This Row],[Painotetut pisteet 2]]/Ohj.lask.[[#Totals],[Painotetut pisteet 2]],0)</f>
        <v>7.9391440007100071E-3</v>
      </c>
      <c r="O120" s="20">
        <f>ROUND(IFERROR('1.1 Jakotaulu'!K$14*Ohj.lask.[[#This Row],[%-osuus 2]],0),0)</f>
        <v>3251730</v>
      </c>
      <c r="P120" s="158">
        <f>IFERROR(ROUND(VLOOKUP($A120,'2.3 Työll. ja jatko-opisk.'!$A:$Z,COLUMN('2.3 Työll. ja jatko-opisk.'!M:M),FALSE),1),0)</f>
        <v>3055.8</v>
      </c>
      <c r="Q120" s="13">
        <f>IFERROR(Ohj.lask.[[#This Row],[Painotetut pisteet 3]]/Ohj.lask.[[#Totals],[Painotetut pisteet 3]],0)</f>
        <v>9.8117693068667938E-3</v>
      </c>
      <c r="R120" s="14">
        <f>ROUND(IFERROR('1.1 Jakotaulu'!L$16*Ohj.lask.[[#This Row],[%-osuus 3]],0),0)</f>
        <v>1406553</v>
      </c>
      <c r="S120" s="157">
        <f>IFERROR(ROUND(VLOOKUP($A120,'2.4 Aloittaneet palaute'!$A:$J,COLUMN('2.4 Aloittaneet palaute'!I:I),FALSE),1),0)</f>
        <v>12811.7</v>
      </c>
      <c r="T120" s="17">
        <f>IFERROR(Ohj.lask.[[#This Row],[Painotetut pisteet 4]]/Ohj.lask.[[#Totals],[Painotetut pisteet 4]],0)</f>
        <v>8.1683203035840205E-3</v>
      </c>
      <c r="U120" s="20">
        <f>ROUND(IFERROR('1.1 Jakotaulu'!M$18*Ohj.lask.[[#This Row],[%-osuus 4]],0),0)</f>
        <v>62730</v>
      </c>
      <c r="V120" s="157">
        <f>IFERROR(ROUND(VLOOKUP($A120,'2.5 Päättäneet palaute'!$A:$Z,COLUMN('2.5 Päättäneet palaute'!Y:Y),FALSE),1),0)</f>
        <v>71960.800000000003</v>
      </c>
      <c r="W120" s="17">
        <f>IFERROR(Ohj.lask.[[#This Row],[Painotetut pisteet 5]]/Ohj.lask.[[#Totals],[Painotetut pisteet 5]],0)</f>
        <v>7.5619616582331649E-3</v>
      </c>
      <c r="X120" s="20">
        <f>ROUND(IFERROR('1.1 Jakotaulu'!M$19*Ohj.lask.[[#This Row],[%-osuus 5]],0),0)</f>
        <v>174220</v>
      </c>
      <c r="Y120" s="157">
        <f>IFERROR(ROUND(VLOOKUP($A120,'2.6 Työpaikkaohjaajakysely'!A:I,COLUMN('2.6 Työpaikkaohjaajakysely'!H:H),FALSE),1),0)</f>
        <v>4765521.2</v>
      </c>
      <c r="Z120" s="13">
        <f>IFERROR(Ohj.lask.[[#This Row],[Painotetut pisteet 6]]/Ohj.lask.[[#Totals],[Painotetut pisteet 6]],0)</f>
        <v>1.1926676469717928E-2</v>
      </c>
      <c r="AA120" s="20">
        <f>ROUND(IFERROR('1.1 Jakotaulu'!M$21*Ohj.lask.[[#This Row],[%-osuus 6]],0),0)</f>
        <v>274779</v>
      </c>
      <c r="AB120" s="157">
        <f>IFERROR(ROUND(VLOOKUP($A120,'2.7 Työpaikkakysely'!A:G,COLUMN('2.7 Työpaikkakysely'!F:F),FALSE),1),0)</f>
        <v>1782729.8</v>
      </c>
      <c r="AC120" s="13">
        <f>IFERROR(Ohj.lask.[[#This Row],[Pisteet 7]]/Ohj.lask.[[#Totals],[Pisteet 7]],0)</f>
        <v>9.3256320053336748E-3</v>
      </c>
      <c r="AD120" s="20">
        <f>ROUND(IFERROR('1.1 Jakotaulu'!M$22*Ohj.lask.[[#This Row],[%-osuus 7]],0),0)</f>
        <v>71618</v>
      </c>
      <c r="AE120" s="16">
        <f>IFERROR(Ohj.lask.[[#This Row],[Jaettava € 8]]/Ohj.lask.[[#Totals],[Jaettava € 8]],"")</f>
        <v>8.0440667013873569E-3</v>
      </c>
      <c r="AF120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16232999</v>
      </c>
      <c r="AG120" s="105">
        <v>0</v>
      </c>
      <c r="AH120" s="105">
        <v>0</v>
      </c>
      <c r="AI120" s="105">
        <v>0</v>
      </c>
      <c r="AJ120" s="105">
        <v>0</v>
      </c>
      <c r="AK120" s="105">
        <v>0</v>
      </c>
      <c r="AL120" s="105">
        <v>0</v>
      </c>
      <c r="AM120" s="105">
        <v>29000</v>
      </c>
      <c r="AN120" s="105">
        <v>0</v>
      </c>
      <c r="AO120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29000</v>
      </c>
      <c r="AP120" s="14">
        <f>Ohj.lask.[[#This Row],[Jaettava € 1]]+Ohj.lask.[[#This Row],[Harkinnanvarainen korotus 9, €]]</f>
        <v>11020369</v>
      </c>
      <c r="AQ120" s="105">
        <f>Ohj.lask.[[#This Row],[Jaettava € 2]]</f>
        <v>3251730</v>
      </c>
      <c r="AR120" s="14">
        <f>Ohj.lask.[[#This Row],[Jaettava € 3]]+Ohj.lask.[[#This Row],[Jaettava € 4]]+Ohj.lask.[[#This Row],[Jaettava € 5]]+Ohj.lask.[[#This Row],[Jaettava € 6]]+Ohj.lask.[[#This Row],[Jaettava € 7]]</f>
        <v>1989900</v>
      </c>
      <c r="AS120" s="37">
        <f>Ohj.lask.[[#This Row],[Jaettava € 8]]+Ohj.lask.[[#This Row],[Harkinnanvarainen korotus 9, €]]</f>
        <v>16261999</v>
      </c>
      <c r="AT120" s="37">
        <v>0</v>
      </c>
      <c r="AU120" s="20">
        <f>Ohj.lask.[[#This Row],[Perus-, suoritus- ja vaikuttavuusrahoitus yhteensä, €]]+Ohj.lask.[[#This Row],[Alv-korvaus, €]]</f>
        <v>16261999</v>
      </c>
    </row>
    <row r="121" spans="1:47" ht="13" x14ac:dyDescent="0.3">
      <c r="A121" s="7" t="s">
        <v>214</v>
      </c>
      <c r="B121" s="11" t="s">
        <v>110</v>
      </c>
      <c r="C121" s="99" t="s">
        <v>189</v>
      </c>
      <c r="D121" s="99" t="s">
        <v>337</v>
      </c>
      <c r="E121" s="99" t="s">
        <v>388</v>
      </c>
      <c r="F121" s="108">
        <v>956</v>
      </c>
      <c r="G121" s="114">
        <f>Ohj.lask.[[#This Row],[Tavoitteelliset opiskelija-vuodet]]-Ohj.lask.[[#This Row],[Järjestämisluvan opisk.vuosien vähimmäismäärä]]</f>
        <v>1522</v>
      </c>
      <c r="H121" s="36">
        <v>2478</v>
      </c>
      <c r="I121" s="12">
        <f>IFERROR(VLOOKUP($A121,'2.1 Toteut. op.vuodet'!$A:$T,COLUMN('2.1 Toteut. op.vuodet'!S:S),FALSE),0)</f>
        <v>0.90865995366304841</v>
      </c>
      <c r="J121" s="78">
        <f t="shared" si="3"/>
        <v>2251.6999999999998</v>
      </c>
      <c r="K121" s="13">
        <f>IFERROR(Ohj.lask.[[#This Row],[Painotetut opiskelija-vuodet]]/Ohj.lask.[[#Totals],[Painotetut opiskelija-vuodet]],0)</f>
        <v>1.0423417484788667E-2</v>
      </c>
      <c r="L121" s="14">
        <f>ROUND(IFERROR('1.1 Jakotaulu'!L$13*Ohj.lask.[[#This Row],[%-osuus 1]],0),0)</f>
        <v>14630684</v>
      </c>
      <c r="M121" s="157">
        <f>IFERROR(ROUND(VLOOKUP($A121,'2.2 Tutk. ja osien pain. pist.'!$A:$Q,COLUMN('2.2 Tutk. ja osien pain. pist.'!O:O),FALSE),1),0)</f>
        <v>230163.6</v>
      </c>
      <c r="N121" s="13">
        <f>IFERROR(Ohj.lask.[[#This Row],[Painotetut pisteet 2]]/Ohj.lask.[[#Totals],[Painotetut pisteet 2]],0)</f>
        <v>1.4821722313605812E-2</v>
      </c>
      <c r="O121" s="20">
        <f>ROUND(IFERROR('1.1 Jakotaulu'!K$14*Ohj.lask.[[#This Row],[%-osuus 2]],0),0)</f>
        <v>6070711</v>
      </c>
      <c r="P121" s="158">
        <f>IFERROR(ROUND(VLOOKUP($A121,'2.3 Työll. ja jatko-opisk.'!$A:$Z,COLUMN('2.3 Työll. ja jatko-opisk.'!M:M),FALSE),1),0)</f>
        <v>3977.6</v>
      </c>
      <c r="Q121" s="17">
        <f>IFERROR(Ohj.lask.[[#This Row],[Painotetut pisteet 3]]/Ohj.lask.[[#Totals],[Painotetut pisteet 3]],0)</f>
        <v>1.2771547089139787E-2</v>
      </c>
      <c r="R121" s="14">
        <f>ROUND(IFERROR('1.1 Jakotaulu'!L$16*Ohj.lask.[[#This Row],[%-osuus 3]],0),0)</f>
        <v>1830849</v>
      </c>
      <c r="S121" s="157">
        <f>IFERROR(ROUND(VLOOKUP($A121,'2.4 Aloittaneet palaute'!$A:$J,COLUMN('2.4 Aloittaneet palaute'!I:I),FALSE),1),0)</f>
        <v>29611.8</v>
      </c>
      <c r="T121" s="17">
        <f>IFERROR(Ohj.lask.[[#This Row],[Painotetut pisteet 4]]/Ohj.lask.[[#Totals],[Painotetut pisteet 4]],0)</f>
        <v>1.8879513816719817E-2</v>
      </c>
      <c r="U121" s="20">
        <f>ROUND(IFERROR('1.1 Jakotaulu'!M$18*Ohj.lask.[[#This Row],[%-osuus 4]],0),0)</f>
        <v>144988</v>
      </c>
      <c r="V121" s="157">
        <f>IFERROR(ROUND(VLOOKUP($A121,'2.5 Päättäneet palaute'!$A:$Z,COLUMN('2.5 Päättäneet palaute'!Y:Y),FALSE),1),0)</f>
        <v>201966.5</v>
      </c>
      <c r="W121" s="17">
        <f>IFERROR(Ohj.lask.[[#This Row],[Painotetut pisteet 5]]/Ohj.lask.[[#Totals],[Painotetut pisteet 5]],0)</f>
        <v>2.1223540166973524E-2</v>
      </c>
      <c r="X121" s="20">
        <f>ROUND(IFERROR('1.1 Jakotaulu'!M$19*Ohj.lask.[[#This Row],[%-osuus 5]],0),0)</f>
        <v>488969</v>
      </c>
      <c r="Y121" s="157">
        <f>IFERROR(ROUND(VLOOKUP($A121,'2.6 Työpaikkaohjaajakysely'!A:I,COLUMN('2.6 Työpaikkaohjaajakysely'!H:H),FALSE),1),0)</f>
        <v>2799346.4</v>
      </c>
      <c r="Z121" s="13">
        <f>IFERROR(Ohj.lask.[[#This Row],[Painotetut pisteet 6]]/Ohj.lask.[[#Totals],[Painotetut pisteet 6]],0)</f>
        <v>7.0059280901886645E-3</v>
      </c>
      <c r="AA121" s="20">
        <f>ROUND(IFERROR('1.1 Jakotaulu'!M$21*Ohj.lask.[[#This Row],[%-osuus 6]],0),0)</f>
        <v>161409</v>
      </c>
      <c r="AB121" s="157">
        <f>IFERROR(ROUND(VLOOKUP($A121,'2.7 Työpaikkakysely'!A:G,COLUMN('2.7 Työpaikkakysely'!F:F),FALSE),1),0)</f>
        <v>1899620</v>
      </c>
      <c r="AC121" s="13">
        <f>IFERROR(Ohj.lask.[[#This Row],[Pisteet 7]]/Ohj.lask.[[#Totals],[Pisteet 7]],0)</f>
        <v>9.9370959468854745E-3</v>
      </c>
      <c r="AD121" s="20">
        <f>ROUND(IFERROR('1.1 Jakotaulu'!M$22*Ohj.lask.[[#This Row],[%-osuus 7]],0),0)</f>
        <v>76314</v>
      </c>
      <c r="AE121" s="16">
        <f>IFERROR(Ohj.lask.[[#This Row],[Jaettava € 8]]/Ohj.lask.[[#Totals],[Jaettava € 8]],"")</f>
        <v>1.1597532022899799E-2</v>
      </c>
      <c r="AF121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23403924</v>
      </c>
      <c r="AG121" s="105">
        <v>0</v>
      </c>
      <c r="AH121" s="105">
        <v>215000</v>
      </c>
      <c r="AI121" s="105">
        <v>0</v>
      </c>
      <c r="AJ121" s="105">
        <v>0</v>
      </c>
      <c r="AK121" s="105">
        <v>0</v>
      </c>
      <c r="AL121" s="105">
        <v>0</v>
      </c>
      <c r="AM121" s="105">
        <v>63000</v>
      </c>
      <c r="AN121" s="105">
        <v>0</v>
      </c>
      <c r="AO121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278000</v>
      </c>
      <c r="AP121" s="14">
        <f>Ohj.lask.[[#This Row],[Jaettava € 1]]+Ohj.lask.[[#This Row],[Harkinnanvarainen korotus 9, €]]</f>
        <v>14908684</v>
      </c>
      <c r="AQ121" s="105">
        <f>Ohj.lask.[[#This Row],[Jaettava € 2]]</f>
        <v>6070711</v>
      </c>
      <c r="AR121" s="14">
        <f>Ohj.lask.[[#This Row],[Jaettava € 3]]+Ohj.lask.[[#This Row],[Jaettava € 4]]+Ohj.lask.[[#This Row],[Jaettava € 5]]+Ohj.lask.[[#This Row],[Jaettava € 6]]+Ohj.lask.[[#This Row],[Jaettava € 7]]</f>
        <v>2702529</v>
      </c>
      <c r="AS121" s="37">
        <f>Ohj.lask.[[#This Row],[Jaettava € 8]]+Ohj.lask.[[#This Row],[Harkinnanvarainen korotus 9, €]]</f>
        <v>23681924</v>
      </c>
      <c r="AT121" s="37">
        <v>1099663</v>
      </c>
      <c r="AU121" s="20">
        <f>Ohj.lask.[[#This Row],[Perus-, suoritus- ja vaikuttavuusrahoitus yhteensä, €]]+Ohj.lask.[[#This Row],[Alv-korvaus, €]]</f>
        <v>24781587</v>
      </c>
    </row>
    <row r="122" spans="1:47" ht="13" x14ac:dyDescent="0.3">
      <c r="A122" s="7" t="s">
        <v>213</v>
      </c>
      <c r="B122" s="11" t="s">
        <v>111</v>
      </c>
      <c r="C122" s="11" t="s">
        <v>189</v>
      </c>
      <c r="D122" s="11" t="s">
        <v>338</v>
      </c>
      <c r="E122" s="11" t="s">
        <v>388</v>
      </c>
      <c r="F122" s="109">
        <v>8065</v>
      </c>
      <c r="G122" s="114">
        <f>Ohj.lask.[[#This Row],[Tavoitteelliset opiskelija-vuodet]]-Ohj.lask.[[#This Row],[Järjestämisluvan opisk.vuosien vähimmäismäärä]]</f>
        <v>632</v>
      </c>
      <c r="H122" s="36">
        <v>8697</v>
      </c>
      <c r="I122" s="12">
        <f>IFERROR(VLOOKUP($A122,'2.1 Toteut. op.vuodet'!$A:$T,COLUMN('2.1 Toteut. op.vuodet'!S:S),FALSE),0)</f>
        <v>1.1361329337752</v>
      </c>
      <c r="J122" s="78">
        <f t="shared" si="3"/>
        <v>9880.9</v>
      </c>
      <c r="K122" s="13">
        <f>IFERROR(Ohj.lask.[[#This Row],[Painotetut opiskelija-vuodet]]/Ohj.lask.[[#Totals],[Painotetut opiskelija-vuodet]],0)</f>
        <v>4.5739994593173308E-2</v>
      </c>
      <c r="L122" s="14">
        <f>ROUND(IFERROR('1.1 Jakotaulu'!L$13*Ohj.lask.[[#This Row],[%-osuus 1]],0),0)</f>
        <v>64202303</v>
      </c>
      <c r="M122" s="157">
        <f>IFERROR(ROUND(VLOOKUP($A122,'2.2 Tutk. ja osien pain. pist.'!$A:$Q,COLUMN('2.2 Tutk. ja osien pain. pist.'!O:O),FALSE),1),0)</f>
        <v>750855.2</v>
      </c>
      <c r="N122" s="13">
        <f>IFERROR(Ohj.lask.[[#This Row],[Painotetut pisteet 2]]/Ohj.lask.[[#Totals],[Painotetut pisteet 2]],0)</f>
        <v>4.8352420939396817E-2</v>
      </c>
      <c r="O122" s="20">
        <f>ROUND(IFERROR('1.1 Jakotaulu'!K$14*Ohj.lask.[[#This Row],[%-osuus 2]],0),0)</f>
        <v>19804281</v>
      </c>
      <c r="P122" s="158">
        <f>IFERROR(ROUND(VLOOKUP($A122,'2.3 Työll. ja jatko-opisk.'!$A:$Z,COLUMN('2.3 Työll. ja jatko-opisk.'!M:M),FALSE),1),0)</f>
        <v>16660.400000000001</v>
      </c>
      <c r="Q122" s="13">
        <f>IFERROR(Ohj.lask.[[#This Row],[Painotetut pisteet 3]]/Ohj.lask.[[#Totals],[Painotetut pisteet 3]],0)</f>
        <v>5.3494339079823136E-2</v>
      </c>
      <c r="R122" s="14">
        <f>ROUND(IFERROR('1.1 Jakotaulu'!L$16*Ohj.lask.[[#This Row],[%-osuus 3]],0),0)</f>
        <v>7668611</v>
      </c>
      <c r="S122" s="157">
        <f>IFERROR(ROUND(VLOOKUP($A122,'2.4 Aloittaneet palaute'!$A:$J,COLUMN('2.4 Aloittaneet palaute'!I:I),FALSE),1),0)</f>
        <v>56755.1</v>
      </c>
      <c r="T122" s="17">
        <f>IFERROR(Ohj.lask.[[#This Row],[Painotetut pisteet 4]]/Ohj.lask.[[#Totals],[Painotetut pisteet 4]],0)</f>
        <v>3.6185192883219357E-2</v>
      </c>
      <c r="U122" s="20">
        <f>ROUND(IFERROR('1.1 Jakotaulu'!M$18*Ohj.lask.[[#This Row],[%-osuus 4]],0),0)</f>
        <v>277890</v>
      </c>
      <c r="V122" s="157">
        <f>IFERROR(ROUND(VLOOKUP($A122,'2.5 Päättäneet palaute'!$A:$Z,COLUMN('2.5 Päättäneet palaute'!Y:Y),FALSE),1),0)</f>
        <v>384542.4</v>
      </c>
      <c r="W122" s="17">
        <f>IFERROR(Ohj.lask.[[#This Row],[Painotetut pisteet 5]]/Ohj.lask.[[#Totals],[Painotetut pisteet 5]],0)</f>
        <v>4.0409429644542041E-2</v>
      </c>
      <c r="X122" s="20">
        <f>ROUND(IFERROR('1.1 Jakotaulu'!M$19*Ohj.lask.[[#This Row],[%-osuus 5]],0),0)</f>
        <v>930992</v>
      </c>
      <c r="Y122" s="157">
        <f>IFERROR(ROUND(VLOOKUP($A122,'2.6 Työpaikkaohjaajakysely'!A:I,COLUMN('2.6 Työpaikkaohjaajakysely'!H:H),FALSE),1),0)</f>
        <v>20423736.100000001</v>
      </c>
      <c r="Z122" s="13">
        <f>IFERROR(Ohj.lask.[[#This Row],[Painotetut pisteet 6]]/Ohj.lask.[[#Totals],[Painotetut pisteet 6]],0)</f>
        <v>5.1114512462477057E-2</v>
      </c>
      <c r="AA122" s="20">
        <f>ROUND(IFERROR('1.1 Jakotaulu'!M$21*Ohj.lask.[[#This Row],[%-osuus 6]],0),0)</f>
        <v>1177627</v>
      </c>
      <c r="AB122" s="157">
        <f>IFERROR(ROUND(VLOOKUP($A122,'2.7 Työpaikkakysely'!A:G,COLUMN('2.7 Työpaikkakysely'!F:F),FALSE),1),0)</f>
        <v>7254755.5</v>
      </c>
      <c r="AC122" s="13">
        <f>IFERROR(Ohj.lask.[[#This Row],[Pisteet 7]]/Ohj.lask.[[#Totals],[Pisteet 7]],0)</f>
        <v>3.7950327683797344E-2</v>
      </c>
      <c r="AD122" s="20">
        <f>ROUND(IFERROR('1.1 Jakotaulu'!M$22*Ohj.lask.[[#This Row],[%-osuus 7]],0),0)</f>
        <v>291446</v>
      </c>
      <c r="AE122" s="16">
        <f>IFERROR(Ohj.lask.[[#This Row],[Jaettava € 8]]/Ohj.lask.[[#Totals],[Jaettava € 8]],"")</f>
        <v>4.6755564519286086E-2</v>
      </c>
      <c r="AF122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94353150</v>
      </c>
      <c r="AG122" s="105">
        <v>0</v>
      </c>
      <c r="AH122" s="105">
        <v>0</v>
      </c>
      <c r="AI122" s="105">
        <v>0</v>
      </c>
      <c r="AJ122" s="105">
        <v>0</v>
      </c>
      <c r="AK122" s="105">
        <v>0</v>
      </c>
      <c r="AL122" s="105">
        <v>0</v>
      </c>
      <c r="AM122" s="105">
        <v>160000</v>
      </c>
      <c r="AN122" s="105">
        <v>107000</v>
      </c>
      <c r="AO122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267000</v>
      </c>
      <c r="AP122" s="14">
        <f>Ohj.lask.[[#This Row],[Jaettava € 1]]+Ohj.lask.[[#This Row],[Harkinnanvarainen korotus 9, €]]</f>
        <v>64469303</v>
      </c>
      <c r="AQ122" s="105">
        <f>Ohj.lask.[[#This Row],[Jaettava € 2]]</f>
        <v>19804281</v>
      </c>
      <c r="AR122" s="14">
        <f>Ohj.lask.[[#This Row],[Jaettava € 3]]+Ohj.lask.[[#This Row],[Jaettava € 4]]+Ohj.lask.[[#This Row],[Jaettava € 5]]+Ohj.lask.[[#This Row],[Jaettava € 6]]+Ohj.lask.[[#This Row],[Jaettava € 7]]</f>
        <v>10346566</v>
      </c>
      <c r="AS122" s="37">
        <f>Ohj.lask.[[#This Row],[Jaettava € 8]]+Ohj.lask.[[#This Row],[Harkinnanvarainen korotus 9, €]]</f>
        <v>94620150</v>
      </c>
      <c r="AT122" s="37">
        <v>0</v>
      </c>
      <c r="AU122" s="20">
        <f>Ohj.lask.[[#This Row],[Perus-, suoritus- ja vaikuttavuusrahoitus yhteensä, €]]+Ohj.lask.[[#This Row],[Alv-korvaus, €]]</f>
        <v>94620150</v>
      </c>
    </row>
    <row r="123" spans="1:47" ht="13" x14ac:dyDescent="0.3">
      <c r="A123" s="7" t="s">
        <v>212</v>
      </c>
      <c r="B123" s="11" t="s">
        <v>112</v>
      </c>
      <c r="C123" s="11" t="s">
        <v>189</v>
      </c>
      <c r="D123" s="11" t="s">
        <v>337</v>
      </c>
      <c r="E123" s="11" t="s">
        <v>388</v>
      </c>
      <c r="F123" s="109">
        <v>61</v>
      </c>
      <c r="G123" s="114">
        <f>Ohj.lask.[[#This Row],[Tavoitteelliset opiskelija-vuodet]]-Ohj.lask.[[#This Row],[Järjestämisluvan opisk.vuosien vähimmäismäärä]]</f>
        <v>5</v>
      </c>
      <c r="H123" s="36">
        <v>66</v>
      </c>
      <c r="I123" s="12">
        <f>IFERROR(VLOOKUP($A123,'2.1 Toteut. op.vuodet'!$A:$T,COLUMN('2.1 Toteut. op.vuodet'!S:S),FALSE),0)</f>
        <v>1.3373783802756498</v>
      </c>
      <c r="J123" s="78">
        <f t="shared" si="3"/>
        <v>88.3</v>
      </c>
      <c r="K123" s="13">
        <f>IFERROR(Ohj.lask.[[#This Row],[Painotetut opiskelija-vuodet]]/Ohj.lask.[[#Totals],[Painotetut opiskelija-vuodet]],0)</f>
        <v>4.0875239326146437E-4</v>
      </c>
      <c r="L123" s="14">
        <f>ROUND(IFERROR('1.1 Jakotaulu'!L$13*Ohj.lask.[[#This Row],[%-osuus 1]],0),0)</f>
        <v>573740</v>
      </c>
      <c r="M123" s="157">
        <f>IFERROR(ROUND(VLOOKUP($A123,'2.2 Tutk. ja osien pain. pist.'!$A:$Q,COLUMN('2.2 Tutk. ja osien pain. pist.'!O:O),FALSE),1),0)</f>
        <v>9639.6</v>
      </c>
      <c r="N123" s="13">
        <f>IFERROR(Ohj.lask.[[#This Row],[Painotetut pisteet 2]]/Ohj.lask.[[#Totals],[Painotetut pisteet 2]],0)</f>
        <v>6.2075616828305858E-4</v>
      </c>
      <c r="O123" s="20">
        <f>ROUND(IFERROR('1.1 Jakotaulu'!K$14*Ohj.lask.[[#This Row],[%-osuus 2]],0),0)</f>
        <v>254251</v>
      </c>
      <c r="P123" s="158">
        <f>IFERROR(ROUND(VLOOKUP($A123,'2.3 Työll. ja jatko-opisk.'!$A:$Z,COLUMN('2.3 Työll. ja jatko-opisk.'!M:M),FALSE),1),0)</f>
        <v>123</v>
      </c>
      <c r="Q123" s="13">
        <f>IFERROR(Ohj.lask.[[#This Row],[Painotetut pisteet 3]]/Ohj.lask.[[#Totals],[Painotetut pisteet 3]],0)</f>
        <v>3.9493671861529409E-4</v>
      </c>
      <c r="R123" s="14">
        <f>ROUND(IFERROR('1.1 Jakotaulu'!L$16*Ohj.lask.[[#This Row],[%-osuus 3]],0),0)</f>
        <v>56616</v>
      </c>
      <c r="S123" s="157">
        <f>IFERROR(ROUND(VLOOKUP($A123,'2.4 Aloittaneet palaute'!$A:$J,COLUMN('2.4 Aloittaneet palaute'!I:I),FALSE),1),0)</f>
        <v>463.5</v>
      </c>
      <c r="T123" s="17">
        <f>IFERROR(Ohj.lask.[[#This Row],[Painotetut pisteet 4]]/Ohj.lask.[[#Totals],[Painotetut pisteet 4]],0)</f>
        <v>2.9551241917241222E-4</v>
      </c>
      <c r="U123" s="20">
        <f>ROUND(IFERROR('1.1 Jakotaulu'!M$18*Ohj.lask.[[#This Row],[%-osuus 4]],0),0)</f>
        <v>2269</v>
      </c>
      <c r="V123" s="157">
        <f>IFERROR(ROUND(VLOOKUP($A123,'2.5 Päättäneet palaute'!$A:$Z,COLUMN('2.5 Päättäneet palaute'!Y:Y),FALSE),1),0)</f>
        <v>2930.5</v>
      </c>
      <c r="W123" s="17">
        <f>IFERROR(Ohj.lask.[[#This Row],[Painotetut pisteet 5]]/Ohj.lask.[[#Totals],[Painotetut pisteet 5]],0)</f>
        <v>3.0795000388339608E-4</v>
      </c>
      <c r="X123" s="20">
        <f>ROUND(IFERROR('1.1 Jakotaulu'!M$19*Ohj.lask.[[#This Row],[%-osuus 5]],0),0)</f>
        <v>7095</v>
      </c>
      <c r="Y123" s="157">
        <f>IFERROR(ROUND(VLOOKUP($A123,'2.6 Työpaikkaohjaajakysely'!A:I,COLUMN('2.6 Työpaikkaohjaajakysely'!H:H),FALSE),1),0)</f>
        <v>0</v>
      </c>
      <c r="Z123" s="13">
        <f>IFERROR(Ohj.lask.[[#This Row],[Painotetut pisteet 6]]/Ohj.lask.[[#Totals],[Painotetut pisteet 6]],0)</f>
        <v>0</v>
      </c>
      <c r="AA123" s="20">
        <f>ROUND(IFERROR('1.1 Jakotaulu'!M$21*Ohj.lask.[[#This Row],[%-osuus 6]],0),0)</f>
        <v>0</v>
      </c>
      <c r="AB123" s="157">
        <f>IFERROR(ROUND(VLOOKUP($A123,'2.7 Työpaikkakysely'!A:G,COLUMN('2.7 Työpaikkakysely'!F:F),FALSE),1),0)</f>
        <v>0</v>
      </c>
      <c r="AC123" s="13">
        <f>IFERROR(Ohj.lask.[[#This Row],[Pisteet 7]]/Ohj.lask.[[#Totals],[Pisteet 7]],0)</f>
        <v>0</v>
      </c>
      <c r="AD123" s="20">
        <f>ROUND(IFERROR('1.1 Jakotaulu'!M$22*Ohj.lask.[[#This Row],[%-osuus 7]],0),0)</f>
        <v>0</v>
      </c>
      <c r="AE123" s="16">
        <f>IFERROR(Ohj.lask.[[#This Row],[Jaettava € 8]]/Ohj.lask.[[#Totals],[Jaettava € 8]],"")</f>
        <v>4.4299653767649201E-4</v>
      </c>
      <c r="AF123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893971</v>
      </c>
      <c r="AG123" s="105">
        <v>0</v>
      </c>
      <c r="AH123" s="105">
        <v>0</v>
      </c>
      <c r="AI123" s="105">
        <v>0</v>
      </c>
      <c r="AJ123" s="105">
        <v>0</v>
      </c>
      <c r="AK123" s="105">
        <v>0</v>
      </c>
      <c r="AL123" s="105">
        <v>0</v>
      </c>
      <c r="AM123" s="105">
        <v>0</v>
      </c>
      <c r="AN123" s="105">
        <v>0</v>
      </c>
      <c r="AO123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0</v>
      </c>
      <c r="AP123" s="14">
        <f>Ohj.lask.[[#This Row],[Jaettava € 1]]+Ohj.lask.[[#This Row],[Harkinnanvarainen korotus 9, €]]</f>
        <v>573740</v>
      </c>
      <c r="AQ123" s="105">
        <f>Ohj.lask.[[#This Row],[Jaettava € 2]]</f>
        <v>254251</v>
      </c>
      <c r="AR123" s="14">
        <f>Ohj.lask.[[#This Row],[Jaettava € 3]]+Ohj.lask.[[#This Row],[Jaettava € 4]]+Ohj.lask.[[#This Row],[Jaettava € 5]]+Ohj.lask.[[#This Row],[Jaettava € 6]]+Ohj.lask.[[#This Row],[Jaettava € 7]]</f>
        <v>65980</v>
      </c>
      <c r="AS123" s="37">
        <f>Ohj.lask.[[#This Row],[Jaettava € 8]]+Ohj.lask.[[#This Row],[Harkinnanvarainen korotus 9, €]]</f>
        <v>893971</v>
      </c>
      <c r="AT123" s="37">
        <v>26222</v>
      </c>
      <c r="AU123" s="20">
        <f>Ohj.lask.[[#This Row],[Perus-, suoritus- ja vaikuttavuusrahoitus yhteensä, €]]+Ohj.lask.[[#This Row],[Alv-korvaus, €]]</f>
        <v>920193</v>
      </c>
    </row>
    <row r="124" spans="1:47" ht="13" x14ac:dyDescent="0.3">
      <c r="A124" s="7" t="s">
        <v>211</v>
      </c>
      <c r="B124" s="11" t="s">
        <v>113</v>
      </c>
      <c r="C124" s="11" t="s">
        <v>210</v>
      </c>
      <c r="D124" s="11" t="s">
        <v>337</v>
      </c>
      <c r="E124" s="11" t="s">
        <v>388</v>
      </c>
      <c r="F124" s="109">
        <v>66</v>
      </c>
      <c r="G124" s="114">
        <f>Ohj.lask.[[#This Row],[Tavoitteelliset opiskelija-vuodet]]-Ohj.lask.[[#This Row],[Järjestämisluvan opisk.vuosien vähimmäismäärä]]</f>
        <v>2</v>
      </c>
      <c r="H124" s="36">
        <v>68</v>
      </c>
      <c r="I124" s="12">
        <f>IFERROR(VLOOKUP($A124,'2.1 Toteut. op.vuodet'!$A:$T,COLUMN('2.1 Toteut. op.vuodet'!S:S),FALSE),0)</f>
        <v>1.7367695240514449</v>
      </c>
      <c r="J124" s="78">
        <f t="shared" si="3"/>
        <v>118.1</v>
      </c>
      <c r="K124" s="13">
        <f>IFERROR(Ohj.lask.[[#This Row],[Painotetut opiskelija-vuodet]]/Ohj.lask.[[#Totals],[Painotetut opiskelija-vuodet]],0)</f>
        <v>5.4670053957167543E-4</v>
      </c>
      <c r="L124" s="14">
        <f>ROUND(IFERROR('1.1 Jakotaulu'!L$13*Ohj.lask.[[#This Row],[%-osuus 1]],0),0)</f>
        <v>767369</v>
      </c>
      <c r="M124" s="157">
        <f>IFERROR(ROUND(VLOOKUP($A124,'2.2 Tutk. ja osien pain. pist.'!$A:$Q,COLUMN('2.2 Tutk. ja osien pain. pist.'!O:O),FALSE),1),0)</f>
        <v>12132.8</v>
      </c>
      <c r="N124" s="13">
        <f>IFERROR(Ohj.lask.[[#This Row],[Painotetut pisteet 2]]/Ohj.lask.[[#Totals],[Painotetut pisteet 2]],0)</f>
        <v>7.81309435925214E-4</v>
      </c>
      <c r="O124" s="20">
        <f>ROUND(IFERROR('1.1 Jakotaulu'!K$14*Ohj.lask.[[#This Row],[%-osuus 2]],0),0)</f>
        <v>320010</v>
      </c>
      <c r="P124" s="158">
        <f>IFERROR(ROUND(VLOOKUP($A124,'2.3 Työll. ja jatko-opisk.'!$A:$Z,COLUMN('2.3 Työll. ja jatko-opisk.'!M:M),FALSE),1),0)</f>
        <v>178.4</v>
      </c>
      <c r="Q124" s="13">
        <f>IFERROR(Ohj.lask.[[#This Row],[Painotetut pisteet 3]]/Ohj.lask.[[#Totals],[Painotetut pisteet 3]],0)</f>
        <v>5.7281878537372732E-4</v>
      </c>
      <c r="R124" s="14">
        <f>ROUND(IFERROR('1.1 Jakotaulu'!L$16*Ohj.lask.[[#This Row],[%-osuus 3]],0),0)</f>
        <v>82116</v>
      </c>
      <c r="S124" s="157">
        <f>IFERROR(ROUND(VLOOKUP($A124,'2.4 Aloittaneet palaute'!$A:$J,COLUMN('2.4 Aloittaneet palaute'!I:I),FALSE),1),0)</f>
        <v>1186.5999999999999</v>
      </c>
      <c r="T124" s="17">
        <f>IFERROR(Ohj.lask.[[#This Row],[Painotetut pisteet 4]]/Ohj.lask.[[#Totals],[Painotetut pisteet 4]],0)</f>
        <v>7.5653729577127146E-4</v>
      </c>
      <c r="U124" s="20">
        <f>ROUND(IFERROR('1.1 Jakotaulu'!M$18*Ohj.lask.[[#This Row],[%-osuus 4]],0),0)</f>
        <v>5810</v>
      </c>
      <c r="V124" s="157">
        <f>IFERROR(ROUND(VLOOKUP($A124,'2.5 Päättäneet palaute'!$A:$Z,COLUMN('2.5 Päättäneet palaute'!Y:Y),FALSE),1),0)</f>
        <v>6932.3</v>
      </c>
      <c r="W124" s="17">
        <f>IFERROR(Ohj.lask.[[#This Row],[Painotetut pisteet 5]]/Ohj.lask.[[#Totals],[Painotetut pisteet 5]],0)</f>
        <v>7.2847698751778427E-4</v>
      </c>
      <c r="X124" s="20">
        <f>ROUND(IFERROR('1.1 Jakotaulu'!M$19*Ohj.lask.[[#This Row],[%-osuus 5]],0),0)</f>
        <v>16783</v>
      </c>
      <c r="Y124" s="157">
        <f>IFERROR(ROUND(VLOOKUP($A124,'2.6 Työpaikkaohjaajakysely'!A:I,COLUMN('2.6 Työpaikkaohjaajakysely'!H:H),FALSE),1),0)</f>
        <v>131843.29999999999</v>
      </c>
      <c r="Z124" s="13">
        <f>IFERROR(Ohj.lask.[[#This Row],[Painotetut pisteet 6]]/Ohj.lask.[[#Totals],[Painotetut pisteet 6]],0)</f>
        <v>3.2996440846805205E-4</v>
      </c>
      <c r="AA124" s="20">
        <f>ROUND(IFERROR('1.1 Jakotaulu'!M$21*Ohj.lask.[[#This Row],[%-osuus 6]],0),0)</f>
        <v>7602</v>
      </c>
      <c r="AB124" s="157">
        <f>IFERROR(ROUND(VLOOKUP($A124,'2.7 Työpaikkakysely'!A:G,COLUMN('2.7 Työpaikkakysely'!F:F),FALSE),1),0)</f>
        <v>53157</v>
      </c>
      <c r="AC124" s="13">
        <f>IFERROR(Ohj.lask.[[#This Row],[Pisteet 7]]/Ohj.lask.[[#Totals],[Pisteet 7]],0)</f>
        <v>2.7806940822300839E-4</v>
      </c>
      <c r="AD124" s="20">
        <f>ROUND(IFERROR('1.1 Jakotaulu'!M$22*Ohj.lask.[[#This Row],[%-osuus 7]],0),0)</f>
        <v>2135</v>
      </c>
      <c r="AE124" s="16">
        <f>IFERROR(Ohj.lask.[[#This Row],[Jaettava € 8]]/Ohj.lask.[[#Totals],[Jaettava € 8]],"")</f>
        <v>5.9554987118491545E-4</v>
      </c>
      <c r="AF124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1201825</v>
      </c>
      <c r="AG124" s="105">
        <v>0</v>
      </c>
      <c r="AH124" s="105">
        <v>0</v>
      </c>
      <c r="AI124" s="105">
        <v>0</v>
      </c>
      <c r="AJ124" s="105">
        <v>0</v>
      </c>
      <c r="AK124" s="105">
        <v>0</v>
      </c>
      <c r="AL124" s="105">
        <v>0</v>
      </c>
      <c r="AM124" s="105">
        <v>0</v>
      </c>
      <c r="AN124" s="105">
        <v>0</v>
      </c>
      <c r="AO124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0</v>
      </c>
      <c r="AP124" s="14">
        <f>Ohj.lask.[[#This Row],[Jaettava € 1]]+Ohj.lask.[[#This Row],[Harkinnanvarainen korotus 9, €]]</f>
        <v>767369</v>
      </c>
      <c r="AQ124" s="105">
        <f>Ohj.lask.[[#This Row],[Jaettava € 2]]</f>
        <v>320010</v>
      </c>
      <c r="AR124" s="14">
        <f>Ohj.lask.[[#This Row],[Jaettava € 3]]+Ohj.lask.[[#This Row],[Jaettava € 4]]+Ohj.lask.[[#This Row],[Jaettava € 5]]+Ohj.lask.[[#This Row],[Jaettava € 6]]+Ohj.lask.[[#This Row],[Jaettava € 7]]</f>
        <v>114446</v>
      </c>
      <c r="AS124" s="37">
        <f>Ohj.lask.[[#This Row],[Jaettava € 8]]+Ohj.lask.[[#This Row],[Harkinnanvarainen korotus 9, €]]</f>
        <v>1201825</v>
      </c>
      <c r="AT124" s="37">
        <v>56553</v>
      </c>
      <c r="AU124" s="20">
        <f>Ohj.lask.[[#This Row],[Perus-, suoritus- ja vaikuttavuusrahoitus yhteensä, €]]+Ohj.lask.[[#This Row],[Alv-korvaus, €]]</f>
        <v>1258378</v>
      </c>
    </row>
    <row r="125" spans="1:47" ht="13" x14ac:dyDescent="0.3">
      <c r="A125" s="7" t="s">
        <v>206</v>
      </c>
      <c r="B125" s="11" t="s">
        <v>114</v>
      </c>
      <c r="C125" s="11" t="s">
        <v>184</v>
      </c>
      <c r="D125" s="11" t="s">
        <v>337</v>
      </c>
      <c r="E125" s="11" t="s">
        <v>388</v>
      </c>
      <c r="F125" s="109">
        <v>184</v>
      </c>
      <c r="G125" s="114">
        <f>Ohj.lask.[[#This Row],[Tavoitteelliset opiskelija-vuodet]]-Ohj.lask.[[#This Row],[Järjestämisluvan opisk.vuosien vähimmäismäärä]]</f>
        <v>21</v>
      </c>
      <c r="H125" s="36">
        <v>205</v>
      </c>
      <c r="I125" s="12">
        <f>IFERROR(VLOOKUP($A125,'2.1 Toteut. op.vuodet'!$A:$T,COLUMN('2.1 Toteut. op.vuodet'!S:S),FALSE),0)</f>
        <v>1.3269536457496516</v>
      </c>
      <c r="J125" s="78">
        <f t="shared" si="3"/>
        <v>272</v>
      </c>
      <c r="K125" s="13">
        <f>IFERROR(Ohj.lask.[[#This Row],[Painotetut opiskelija-vuodet]]/Ohj.lask.[[#Totals],[Painotetut opiskelija-vuodet]],0)</f>
        <v>1.2591240200126648E-3</v>
      </c>
      <c r="L125" s="14">
        <f>ROUND(IFERROR('1.1 Jakotaulu'!L$13*Ohj.lask.[[#This Row],[%-osuus 1]],0),0)</f>
        <v>1767352</v>
      </c>
      <c r="M125" s="157">
        <f>IFERROR(ROUND(VLOOKUP($A125,'2.2 Tutk. ja osien pain. pist.'!$A:$Q,COLUMN('2.2 Tutk. ja osien pain. pist.'!O:O),FALSE),1),0)</f>
        <v>16586.099999999999</v>
      </c>
      <c r="N125" s="13">
        <f>IFERROR(Ohj.lask.[[#This Row],[Painotetut pisteet 2]]/Ohj.lask.[[#Totals],[Painotetut pisteet 2]],0)</f>
        <v>1.0680862154819326E-3</v>
      </c>
      <c r="O125" s="20">
        <f>ROUND(IFERROR('1.1 Jakotaulu'!K$14*Ohj.lask.[[#This Row],[%-osuus 2]],0),0)</f>
        <v>437469</v>
      </c>
      <c r="P125" s="158">
        <f>IFERROR(ROUND(VLOOKUP($A125,'2.3 Työll. ja jatko-opisk.'!$A:$Z,COLUMN('2.3 Työll. ja jatko-opisk.'!M:M),FALSE),1),0)</f>
        <v>399.2</v>
      </c>
      <c r="Q125" s="13">
        <f>IFERROR(Ohj.lask.[[#This Row],[Painotetut pisteet 3]]/Ohj.lask.[[#Totals],[Painotetut pisteet 3]],0)</f>
        <v>1.2817783583026455E-3</v>
      </c>
      <c r="R125" s="14">
        <f>ROUND(IFERROR('1.1 Jakotaulu'!L$16*Ohj.lask.[[#This Row],[%-osuus 3]],0),0)</f>
        <v>183748</v>
      </c>
      <c r="S125" s="157">
        <f>IFERROR(ROUND(VLOOKUP($A125,'2.4 Aloittaneet palaute'!$A:$J,COLUMN('2.4 Aloittaneet palaute'!I:I),FALSE),1),0)</f>
        <v>1828.3</v>
      </c>
      <c r="T125" s="17">
        <f>IFERROR(Ohj.lask.[[#This Row],[Painotetut pisteet 4]]/Ohj.lask.[[#Totals],[Painotetut pisteet 4]],0)</f>
        <v>1.1656641984313296E-3</v>
      </c>
      <c r="U125" s="20">
        <f>ROUND(IFERROR('1.1 Jakotaulu'!M$18*Ohj.lask.[[#This Row],[%-osuus 4]],0),0)</f>
        <v>8952</v>
      </c>
      <c r="V125" s="157">
        <f>IFERROR(ROUND(VLOOKUP($A125,'2.5 Päättäneet palaute'!$A:$Z,COLUMN('2.5 Päättäneet palaute'!Y:Y),FALSE),1),0)</f>
        <v>8708.7000000000007</v>
      </c>
      <c r="W125" s="17">
        <f>IFERROR(Ohj.lask.[[#This Row],[Painotetut pisteet 5]]/Ohj.lask.[[#Totals],[Painotetut pisteet 5]],0)</f>
        <v>9.1514901853585794E-4</v>
      </c>
      <c r="X125" s="20">
        <f>ROUND(IFERROR('1.1 Jakotaulu'!M$19*Ohj.lask.[[#This Row],[%-osuus 5]],0),0)</f>
        <v>21084</v>
      </c>
      <c r="Y125" s="157">
        <f>IFERROR(ROUND(VLOOKUP($A125,'2.6 Työpaikkaohjaajakysely'!A:I,COLUMN('2.6 Työpaikkaohjaajakysely'!H:H),FALSE),1),0)</f>
        <v>346167.5</v>
      </c>
      <c r="Z125" s="13">
        <f>IFERROR(Ohj.lask.[[#This Row],[Painotetut pisteet 6]]/Ohj.lask.[[#Totals],[Painotetut pisteet 6]],0)</f>
        <v>8.6635387894845183E-4</v>
      </c>
      <c r="AA125" s="20">
        <f>ROUND(IFERROR('1.1 Jakotaulu'!M$21*Ohj.lask.[[#This Row],[%-osuus 6]],0),0)</f>
        <v>19960</v>
      </c>
      <c r="AB125" s="157">
        <f>IFERROR(ROUND(VLOOKUP($A125,'2.7 Työpaikkakysely'!A:G,COLUMN('2.7 Työpaikkakysely'!F:F),FALSE),1),0)</f>
        <v>109485</v>
      </c>
      <c r="AC125" s="13">
        <f>IFERROR(Ohj.lask.[[#This Row],[Pisteet 7]]/Ohj.lask.[[#Totals],[Pisteet 7]],0)</f>
        <v>5.7272662413785714E-4</v>
      </c>
      <c r="AD125" s="20">
        <f>ROUND(IFERROR('1.1 Jakotaulu'!M$22*Ohj.lask.[[#This Row],[%-osuus 7]],0),0)</f>
        <v>4398</v>
      </c>
      <c r="AE125" s="16">
        <f>IFERROR(Ohj.lask.[[#This Row],[Jaettava € 8]]/Ohj.lask.[[#Totals],[Jaettava € 8]],"")</f>
        <v>1.210580824961633E-3</v>
      </c>
      <c r="AF125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2442963</v>
      </c>
      <c r="AG125" s="105">
        <v>0</v>
      </c>
      <c r="AH125" s="105">
        <v>0</v>
      </c>
      <c r="AI125" s="105">
        <v>0</v>
      </c>
      <c r="AJ125" s="105">
        <v>0</v>
      </c>
      <c r="AK125" s="105">
        <v>0</v>
      </c>
      <c r="AL125" s="105">
        <v>0</v>
      </c>
      <c r="AM125" s="105">
        <v>0</v>
      </c>
      <c r="AN125" s="105">
        <v>0</v>
      </c>
      <c r="AO125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0</v>
      </c>
      <c r="AP125" s="14">
        <f>Ohj.lask.[[#This Row],[Jaettava € 1]]+Ohj.lask.[[#This Row],[Harkinnanvarainen korotus 9, €]]</f>
        <v>1767352</v>
      </c>
      <c r="AQ125" s="105">
        <f>Ohj.lask.[[#This Row],[Jaettava € 2]]</f>
        <v>437469</v>
      </c>
      <c r="AR125" s="14">
        <f>Ohj.lask.[[#This Row],[Jaettava € 3]]+Ohj.lask.[[#This Row],[Jaettava € 4]]+Ohj.lask.[[#This Row],[Jaettava € 5]]+Ohj.lask.[[#This Row],[Jaettava € 6]]+Ohj.lask.[[#This Row],[Jaettava € 7]]</f>
        <v>238142</v>
      </c>
      <c r="AS125" s="37">
        <f>Ohj.lask.[[#This Row],[Jaettava € 8]]+Ohj.lask.[[#This Row],[Harkinnanvarainen korotus 9, €]]</f>
        <v>2442963</v>
      </c>
      <c r="AT125" s="37">
        <v>137910</v>
      </c>
      <c r="AU125" s="20">
        <f>Ohj.lask.[[#This Row],[Perus-, suoritus- ja vaikuttavuusrahoitus yhteensä, €]]+Ohj.lask.[[#This Row],[Alv-korvaus, €]]</f>
        <v>2580873</v>
      </c>
    </row>
    <row r="126" spans="1:47" ht="13" x14ac:dyDescent="0.3">
      <c r="A126" s="7" t="s">
        <v>207</v>
      </c>
      <c r="B126" s="11" t="s">
        <v>115</v>
      </c>
      <c r="C126" s="11" t="s">
        <v>184</v>
      </c>
      <c r="D126" s="11" t="s">
        <v>337</v>
      </c>
      <c r="E126" s="11" t="s">
        <v>388</v>
      </c>
      <c r="F126" s="109">
        <v>0</v>
      </c>
      <c r="G126" s="114">
        <f>Ohj.lask.[[#This Row],[Tavoitteelliset opiskelija-vuodet]]-Ohj.lask.[[#This Row],[Järjestämisluvan opisk.vuosien vähimmäismäärä]]</f>
        <v>50</v>
      </c>
      <c r="H126" s="36">
        <v>50</v>
      </c>
      <c r="I126" s="12">
        <f>IFERROR(VLOOKUP($A126,'2.1 Toteut. op.vuodet'!$A:$T,COLUMN('2.1 Toteut. op.vuodet'!S:S),FALSE),0)</f>
        <v>0.98117605131860497</v>
      </c>
      <c r="J126" s="78">
        <f t="shared" si="3"/>
        <v>49.1</v>
      </c>
      <c r="K126" s="13">
        <f>IFERROR(Ohj.lask.[[#This Row],[Painotetut opiskelija-vuodet]]/Ohj.lask.[[#Totals],[Painotetut opiskelija-vuodet]],0)</f>
        <v>2.272904021419921E-4</v>
      </c>
      <c r="L126" s="14">
        <f>ROUND(IFERROR('1.1 Jakotaulu'!L$13*Ohj.lask.[[#This Row],[%-osuus 1]],0),0)</f>
        <v>319033</v>
      </c>
      <c r="M126" s="157">
        <f>IFERROR(ROUND(VLOOKUP($A126,'2.2 Tutk. ja osien pain. pist.'!$A:$Q,COLUMN('2.2 Tutk. ja osien pain. pist.'!O:O),FALSE),1),0)</f>
        <v>3988.3</v>
      </c>
      <c r="N126" s="13">
        <f>IFERROR(Ohj.lask.[[#This Row],[Painotetut pisteet 2]]/Ohj.lask.[[#Totals],[Painotetut pisteet 2]],0)</f>
        <v>2.5683242312578557E-4</v>
      </c>
      <c r="O126" s="20">
        <f>ROUND(IFERROR('1.1 Jakotaulu'!K$14*Ohj.lask.[[#This Row],[%-osuus 2]],0),0)</f>
        <v>105194</v>
      </c>
      <c r="P126" s="158">
        <f>IFERROR(ROUND(VLOOKUP($A126,'2.3 Työll. ja jatko-opisk.'!$A:$Z,COLUMN('2.3 Työll. ja jatko-opisk.'!M:M),FALSE),1),0)</f>
        <v>62.9</v>
      </c>
      <c r="Q126" s="13">
        <f>IFERROR(Ohj.lask.[[#This Row],[Painotetut pisteet 3]]/Ohj.lask.[[#Totals],[Painotetut pisteet 3]],0)</f>
        <v>2.0196357399107314E-4</v>
      </c>
      <c r="R126" s="14">
        <f>ROUND(IFERROR('1.1 Jakotaulu'!L$16*Ohj.lask.[[#This Row],[%-osuus 3]],0),0)</f>
        <v>28952</v>
      </c>
      <c r="S126" s="157">
        <f>IFERROR(ROUND(VLOOKUP($A126,'2.4 Aloittaneet palaute'!$A:$J,COLUMN('2.4 Aloittaneet palaute'!I:I),FALSE),1),0)</f>
        <v>1187.3</v>
      </c>
      <c r="T126" s="17">
        <f>IFERROR(Ohj.lask.[[#This Row],[Painotetut pisteet 4]]/Ohj.lask.[[#Totals],[Painotetut pisteet 4]],0)</f>
        <v>7.5698359284445519E-4</v>
      </c>
      <c r="U126" s="20">
        <f>ROUND(IFERROR('1.1 Jakotaulu'!M$18*Ohj.lask.[[#This Row],[%-osuus 4]],0),0)</f>
        <v>5813</v>
      </c>
      <c r="V126" s="157">
        <f>IFERROR(ROUND(VLOOKUP($A126,'2.5 Päättäneet palaute'!$A:$Z,COLUMN('2.5 Päättäneet palaute'!Y:Y),FALSE),1),0)</f>
        <v>2116.9</v>
      </c>
      <c r="W126" s="17">
        <f>IFERROR(Ohj.lask.[[#This Row],[Painotetut pisteet 5]]/Ohj.lask.[[#Totals],[Painotetut pisteet 5]],0)</f>
        <v>2.2245328893388884E-4</v>
      </c>
      <c r="X126" s="20">
        <f>ROUND(IFERROR('1.1 Jakotaulu'!M$19*Ohj.lask.[[#This Row],[%-osuus 5]],0),0)</f>
        <v>5125</v>
      </c>
      <c r="Y126" s="157">
        <f>IFERROR(ROUND(VLOOKUP($A126,'2.6 Työpaikkaohjaajakysely'!A:I,COLUMN('2.6 Työpaikkaohjaajakysely'!H:H),FALSE),1),0)</f>
        <v>80724.5</v>
      </c>
      <c r="Z126" s="13">
        <f>IFERROR(Ohj.lask.[[#This Row],[Painotetut pisteet 6]]/Ohj.lask.[[#Totals],[Painotetut pisteet 6]],0)</f>
        <v>2.0202931731365395E-4</v>
      </c>
      <c r="AA126" s="20">
        <f>ROUND(IFERROR('1.1 Jakotaulu'!M$21*Ohj.lask.[[#This Row],[%-osuus 6]],0),0)</f>
        <v>4655</v>
      </c>
      <c r="AB126" s="157">
        <f>IFERROR(ROUND(VLOOKUP($A126,'2.7 Työpaikkakysely'!A:G,COLUMN('2.7 Työpaikkakysely'!F:F),FALSE),1),0)</f>
        <v>49390</v>
      </c>
      <c r="AC126" s="13">
        <f>IFERROR(Ohj.lask.[[#This Row],[Pisteet 7]]/Ohj.lask.[[#Totals],[Pisteet 7]],0)</f>
        <v>2.5836386688741624E-4</v>
      </c>
      <c r="AD126" s="20">
        <f>ROUND(IFERROR('1.1 Jakotaulu'!M$22*Ohj.lask.[[#This Row],[%-osuus 7]],0),0)</f>
        <v>1984</v>
      </c>
      <c r="AE126" s="16">
        <f>IFERROR(Ohj.lask.[[#This Row],[Jaettava € 8]]/Ohj.lask.[[#Totals],[Jaettava € 8]],"")</f>
        <v>2.3327745317290458E-4</v>
      </c>
      <c r="AF126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470756</v>
      </c>
      <c r="AG126" s="105">
        <v>0</v>
      </c>
      <c r="AH126" s="105">
        <v>0</v>
      </c>
      <c r="AI126" s="105">
        <v>0</v>
      </c>
      <c r="AJ126" s="105">
        <v>0</v>
      </c>
      <c r="AK126" s="105">
        <v>0</v>
      </c>
      <c r="AL126" s="105">
        <v>0</v>
      </c>
      <c r="AM126" s="105">
        <v>5000</v>
      </c>
      <c r="AN126" s="105">
        <v>0</v>
      </c>
      <c r="AO126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5000</v>
      </c>
      <c r="AP126" s="14">
        <f>Ohj.lask.[[#This Row],[Jaettava € 1]]+Ohj.lask.[[#This Row],[Harkinnanvarainen korotus 9, €]]</f>
        <v>324033</v>
      </c>
      <c r="AQ126" s="105">
        <f>Ohj.lask.[[#This Row],[Jaettava € 2]]</f>
        <v>105194</v>
      </c>
      <c r="AR126" s="14">
        <f>Ohj.lask.[[#This Row],[Jaettava € 3]]+Ohj.lask.[[#This Row],[Jaettava € 4]]+Ohj.lask.[[#This Row],[Jaettava € 5]]+Ohj.lask.[[#This Row],[Jaettava € 6]]+Ohj.lask.[[#This Row],[Jaettava € 7]]</f>
        <v>46529</v>
      </c>
      <c r="AS126" s="37">
        <f>Ohj.lask.[[#This Row],[Jaettava € 8]]+Ohj.lask.[[#This Row],[Harkinnanvarainen korotus 9, €]]</f>
        <v>475756</v>
      </c>
      <c r="AT126" s="37">
        <v>142802</v>
      </c>
      <c r="AU126" s="20">
        <f>Ohj.lask.[[#This Row],[Perus-, suoritus- ja vaikuttavuusrahoitus yhteensä, €]]+Ohj.lask.[[#This Row],[Alv-korvaus, €]]</f>
        <v>618558</v>
      </c>
    </row>
    <row r="127" spans="1:47" ht="13" x14ac:dyDescent="0.3">
      <c r="A127" s="7" t="s">
        <v>204</v>
      </c>
      <c r="B127" s="11" t="s">
        <v>116</v>
      </c>
      <c r="C127" s="11" t="s">
        <v>194</v>
      </c>
      <c r="D127" s="11" t="s">
        <v>337</v>
      </c>
      <c r="E127" s="11" t="s">
        <v>388</v>
      </c>
      <c r="F127" s="109">
        <v>610</v>
      </c>
      <c r="G127" s="114">
        <f>Ohj.lask.[[#This Row],[Tavoitteelliset opiskelija-vuodet]]-Ohj.lask.[[#This Row],[Järjestämisluvan opisk.vuosien vähimmäismäärä]]</f>
        <v>629</v>
      </c>
      <c r="H127" s="36">
        <v>1239</v>
      </c>
      <c r="I127" s="12">
        <f>IFERROR(VLOOKUP($A127,'2.1 Toteut. op.vuodet'!$A:$T,COLUMN('2.1 Toteut. op.vuodet'!S:S),FALSE),0)</f>
        <v>0.9252354261582092</v>
      </c>
      <c r="J127" s="78">
        <f t="shared" si="3"/>
        <v>1146.4000000000001</v>
      </c>
      <c r="K127" s="13">
        <f>IFERROR(Ohj.lask.[[#This Row],[Painotetut opiskelija-vuodet]]/Ohj.lask.[[#Totals],[Painotetut opiskelija-vuodet]],0)</f>
        <v>5.3068374137592612E-3</v>
      </c>
      <c r="L127" s="14">
        <f>ROUND(IFERROR('1.1 Jakotaulu'!L$13*Ohj.lask.[[#This Row],[%-osuus 1]],0),0)</f>
        <v>7448868</v>
      </c>
      <c r="M127" s="157">
        <f>IFERROR(ROUND(VLOOKUP($A127,'2.2 Tutk. ja osien pain. pist.'!$A:$Q,COLUMN('2.2 Tutk. ja osien pain. pist.'!O:O),FALSE),1),0)</f>
        <v>111192.1</v>
      </c>
      <c r="N127" s="13">
        <f>IFERROR(Ohj.lask.[[#This Row],[Painotetut pisteet 2]]/Ohj.lask.[[#Totals],[Painotetut pisteet 2]],0)</f>
        <v>7.1603782251697876E-3</v>
      </c>
      <c r="O127" s="20">
        <f>ROUND(IFERROR('1.1 Jakotaulu'!K$14*Ohj.lask.[[#This Row],[%-osuus 2]],0),0)</f>
        <v>2932762</v>
      </c>
      <c r="P127" s="158">
        <f>IFERROR(ROUND(VLOOKUP($A127,'2.3 Työll. ja jatko-opisk.'!$A:$Z,COLUMN('2.3 Työll. ja jatko-opisk.'!M:M),FALSE),1),0)</f>
        <v>1828.7</v>
      </c>
      <c r="Q127" s="13">
        <f>IFERROR(Ohj.lask.[[#This Row],[Painotetut pisteet 3]]/Ohj.lask.[[#Totals],[Painotetut pisteet 3]],0)</f>
        <v>5.8717136368438075E-3</v>
      </c>
      <c r="R127" s="14">
        <f>ROUND(IFERROR('1.1 Jakotaulu'!L$16*Ohj.lask.[[#This Row],[%-osuus 3]],0),0)</f>
        <v>841732</v>
      </c>
      <c r="S127" s="157">
        <f>IFERROR(ROUND(VLOOKUP($A127,'2.4 Aloittaneet palaute'!$A:$J,COLUMN('2.4 Aloittaneet palaute'!I:I),FALSE),1),0)</f>
        <v>13333</v>
      </c>
      <c r="T127" s="17">
        <f>IFERROR(Ohj.lask.[[#This Row],[Painotetut pisteet 4]]/Ohj.lask.[[#Totals],[Painotetut pisteet 4]],0)</f>
        <v>8.5006841096564659E-3</v>
      </c>
      <c r="U127" s="20">
        <f>ROUND(IFERROR('1.1 Jakotaulu'!M$18*Ohj.lask.[[#This Row],[%-osuus 4]],0),0)</f>
        <v>65282</v>
      </c>
      <c r="V127" s="157">
        <f>IFERROR(ROUND(VLOOKUP($A127,'2.5 Päättäneet palaute'!$A:$Z,COLUMN('2.5 Päättäneet palaute'!Y:Y),FALSE),1),0)</f>
        <v>86747.9</v>
      </c>
      <c r="W127" s="17">
        <f>IFERROR(Ohj.lask.[[#This Row],[Painotetut pisteet 5]]/Ohj.lask.[[#Totals],[Painotetut pisteet 5]],0)</f>
        <v>9.1158560456838268E-3</v>
      </c>
      <c r="X127" s="20">
        <f>ROUND(IFERROR('1.1 Jakotaulu'!M$19*Ohj.lask.[[#This Row],[%-osuus 5]],0),0)</f>
        <v>210020</v>
      </c>
      <c r="Y127" s="157">
        <f>IFERROR(ROUND(VLOOKUP($A127,'2.6 Työpaikkaohjaajakysely'!A:I,COLUMN('2.6 Työpaikkaohjaajakysely'!H:H),FALSE),1),0)</f>
        <v>2078575.1</v>
      </c>
      <c r="Z127" s="13">
        <f>IFERROR(Ohj.lask.[[#This Row],[Painotetut pisteet 6]]/Ohj.lask.[[#Totals],[Painotetut pisteet 6]],0)</f>
        <v>5.2020527651228561E-3</v>
      </c>
      <c r="AA127" s="20">
        <f>ROUND(IFERROR('1.1 Jakotaulu'!M$21*Ohj.lask.[[#This Row],[%-osuus 6]],0),0)</f>
        <v>119850</v>
      </c>
      <c r="AB127" s="157">
        <f>IFERROR(ROUND(VLOOKUP($A127,'2.7 Työpaikkakysely'!A:G,COLUMN('2.7 Työpaikkakysely'!F:F),FALSE),1),0)</f>
        <v>473972</v>
      </c>
      <c r="AC127" s="13">
        <f>IFERROR(Ohj.lask.[[#This Row],[Pisteet 7]]/Ohj.lask.[[#Totals],[Pisteet 7]],0)</f>
        <v>2.4793933734837507E-3</v>
      </c>
      <c r="AD127" s="20">
        <f>ROUND(IFERROR('1.1 Jakotaulu'!M$22*Ohj.lask.[[#This Row],[%-osuus 7]],0),0)</f>
        <v>19041</v>
      </c>
      <c r="AE127" s="16">
        <f>IFERROR(Ohj.lask.[[#This Row],[Jaettava € 8]]/Ohj.lask.[[#Totals],[Jaettava € 8]],"")</f>
        <v>5.766849900074777E-3</v>
      </c>
      <c r="AF127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11637555</v>
      </c>
      <c r="AG127" s="105">
        <v>0</v>
      </c>
      <c r="AH127" s="105">
        <v>250000</v>
      </c>
      <c r="AI127" s="105">
        <v>0</v>
      </c>
      <c r="AJ127" s="105">
        <v>0</v>
      </c>
      <c r="AK127" s="105">
        <v>0</v>
      </c>
      <c r="AL127" s="105">
        <v>0</v>
      </c>
      <c r="AM127" s="105">
        <v>20000</v>
      </c>
      <c r="AN127" s="105">
        <v>0</v>
      </c>
      <c r="AO127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270000</v>
      </c>
      <c r="AP127" s="14">
        <f>Ohj.lask.[[#This Row],[Jaettava € 1]]+Ohj.lask.[[#This Row],[Harkinnanvarainen korotus 9, €]]</f>
        <v>7718868</v>
      </c>
      <c r="AQ127" s="105">
        <f>Ohj.lask.[[#This Row],[Jaettava € 2]]</f>
        <v>2932762</v>
      </c>
      <c r="AR127" s="14">
        <f>Ohj.lask.[[#This Row],[Jaettava € 3]]+Ohj.lask.[[#This Row],[Jaettava € 4]]+Ohj.lask.[[#This Row],[Jaettava € 5]]+Ohj.lask.[[#This Row],[Jaettava € 6]]+Ohj.lask.[[#This Row],[Jaettava € 7]]</f>
        <v>1255925</v>
      </c>
      <c r="AS127" s="37">
        <f>Ohj.lask.[[#This Row],[Jaettava € 8]]+Ohj.lask.[[#This Row],[Harkinnanvarainen korotus 9, €]]</f>
        <v>11907555</v>
      </c>
      <c r="AT127" s="37">
        <v>689752</v>
      </c>
      <c r="AU127" s="20">
        <f>Ohj.lask.[[#This Row],[Perus-, suoritus- ja vaikuttavuusrahoitus yhteensä, €]]+Ohj.lask.[[#This Row],[Alv-korvaus, €]]</f>
        <v>12597307</v>
      </c>
    </row>
    <row r="128" spans="1:47" ht="13" x14ac:dyDescent="0.3">
      <c r="A128" s="7" t="s">
        <v>203</v>
      </c>
      <c r="B128" s="11" t="s">
        <v>117</v>
      </c>
      <c r="C128" s="99" t="s">
        <v>194</v>
      </c>
      <c r="D128" s="99" t="s">
        <v>337</v>
      </c>
      <c r="E128" s="99" t="s">
        <v>388</v>
      </c>
      <c r="F128" s="108">
        <v>302</v>
      </c>
      <c r="G128" s="114">
        <f>Ohj.lask.[[#This Row],[Tavoitteelliset opiskelija-vuodet]]-Ohj.lask.[[#This Row],[Järjestämisluvan opisk.vuosien vähimmäismäärä]]</f>
        <v>13</v>
      </c>
      <c r="H128" s="36">
        <v>315</v>
      </c>
      <c r="I128" s="12">
        <f>IFERROR(VLOOKUP($A128,'2.1 Toteut. op.vuodet'!$A:$T,COLUMN('2.1 Toteut. op.vuodet'!S:S),FALSE),0)</f>
        <v>1.0848363434191755</v>
      </c>
      <c r="J128" s="78">
        <f t="shared" si="3"/>
        <v>341.7</v>
      </c>
      <c r="K128" s="13">
        <f>IFERROR(Ohj.lask.[[#This Row],[Painotetut opiskelija-vuodet]]/Ohj.lask.[[#Totals],[Painotetut opiskelija-vuodet]],0)</f>
        <v>1.5817745501409102E-3</v>
      </c>
      <c r="L128" s="14">
        <f>ROUND(IFERROR('1.1 Jakotaulu'!L$13*Ohj.lask.[[#This Row],[%-osuus 1]],0),0)</f>
        <v>2220236</v>
      </c>
      <c r="M128" s="157">
        <f>IFERROR(ROUND(VLOOKUP($A128,'2.2 Tutk. ja osien pain. pist.'!$A:$Q,COLUMN('2.2 Tutk. ja osien pain. pist.'!O:O),FALSE),1),0)</f>
        <v>20339</v>
      </c>
      <c r="N128" s="13">
        <f>IFERROR(Ohj.lask.[[#This Row],[Painotetut pisteet 2]]/Ohj.lask.[[#Totals],[Painotetut pisteet 2]],0)</f>
        <v>1.3097597106424674E-3</v>
      </c>
      <c r="O128" s="20">
        <f>ROUND(IFERROR('1.1 Jakotaulu'!K$14*Ohj.lask.[[#This Row],[%-osuus 2]],0),0)</f>
        <v>536454</v>
      </c>
      <c r="P128" s="158">
        <f>IFERROR(ROUND(VLOOKUP($A128,'2.3 Työll. ja jatko-opisk.'!$A:$Z,COLUMN('2.3 Työll. ja jatko-opisk.'!M:M),FALSE),1),0)</f>
        <v>408.8</v>
      </c>
      <c r="Q128" s="17">
        <f>IFERROR(Ohj.lask.[[#This Row],[Painotetut pisteet 3]]/Ohj.lask.[[#Totals],[Painotetut pisteet 3]],0)</f>
        <v>1.3126026875604246E-3</v>
      </c>
      <c r="R128" s="14">
        <f>ROUND(IFERROR('1.1 Jakotaulu'!L$16*Ohj.lask.[[#This Row],[%-osuus 3]],0),0)</f>
        <v>188166</v>
      </c>
      <c r="S128" s="157">
        <f>IFERROR(ROUND(VLOOKUP($A128,'2.4 Aloittaneet palaute'!$A:$J,COLUMN('2.4 Aloittaneet palaute'!I:I),FALSE),1),0)</f>
        <v>2632</v>
      </c>
      <c r="T128" s="17">
        <f>IFERROR(Ohj.lask.[[#This Row],[Painotetut pisteet 4]]/Ohj.lask.[[#Totals],[Painotetut pisteet 4]],0)</f>
        <v>1.6780769951710657E-3</v>
      </c>
      <c r="U128" s="20">
        <f>ROUND(IFERROR('1.1 Jakotaulu'!M$18*Ohj.lask.[[#This Row],[%-osuus 4]],0),0)</f>
        <v>12887</v>
      </c>
      <c r="V128" s="157">
        <f>IFERROR(ROUND(VLOOKUP($A128,'2.5 Päättäneet palaute'!$A:$Z,COLUMN('2.5 Päättäneet palaute'!Y:Y),FALSE),1),0)</f>
        <v>8848.1</v>
      </c>
      <c r="W128" s="17">
        <f>IFERROR(Ohj.lask.[[#This Row],[Painotetut pisteet 5]]/Ohj.lask.[[#Totals],[Painotetut pisteet 5]],0)</f>
        <v>9.2979779196747218E-4</v>
      </c>
      <c r="X128" s="20">
        <f>ROUND(IFERROR('1.1 Jakotaulu'!M$19*Ohj.lask.[[#This Row],[%-osuus 5]],0),0)</f>
        <v>21422</v>
      </c>
      <c r="Y128" s="157">
        <f>IFERROR(ROUND(VLOOKUP($A128,'2.6 Työpaikkaohjaajakysely'!A:I,COLUMN('2.6 Työpaikkaohjaajakysely'!H:H),FALSE),1),0)</f>
        <v>818423.2</v>
      </c>
      <c r="Z128" s="13">
        <f>IFERROR(Ohj.lask.[[#This Row],[Painotetut pisteet 6]]/Ohj.lask.[[#Totals],[Painotetut pisteet 6]],0)</f>
        <v>2.048268869669754E-3</v>
      </c>
      <c r="AA128" s="20">
        <f>ROUND(IFERROR('1.1 Jakotaulu'!M$21*Ohj.lask.[[#This Row],[%-osuus 6]],0),0)</f>
        <v>47190</v>
      </c>
      <c r="AB128" s="157">
        <f>IFERROR(ROUND(VLOOKUP($A128,'2.7 Työpaikkakysely'!A:G,COLUMN('2.7 Työpaikkakysely'!F:F),FALSE),1),0)</f>
        <v>269354</v>
      </c>
      <c r="AC128" s="13">
        <f>IFERROR(Ohj.lask.[[#This Row],[Pisteet 7]]/Ohj.lask.[[#Totals],[Pisteet 7]],0)</f>
        <v>1.4090168253005288E-3</v>
      </c>
      <c r="AD128" s="20">
        <f>ROUND(IFERROR('1.1 Jakotaulu'!M$22*Ohj.lask.[[#This Row],[%-osuus 7]],0),0)</f>
        <v>10821</v>
      </c>
      <c r="AE128" s="16">
        <f>IFERROR(Ohj.lask.[[#This Row],[Jaettava € 8]]/Ohj.lask.[[#Totals],[Jaettava € 8]],"")</f>
        <v>1.5050359042006255E-3</v>
      </c>
      <c r="AF128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3037176</v>
      </c>
      <c r="AG128" s="105">
        <v>0</v>
      </c>
      <c r="AH128" s="105">
        <v>0</v>
      </c>
      <c r="AI128" s="105">
        <v>0</v>
      </c>
      <c r="AJ128" s="105">
        <v>0</v>
      </c>
      <c r="AK128" s="105">
        <v>0</v>
      </c>
      <c r="AL128" s="105">
        <v>0</v>
      </c>
      <c r="AM128" s="105">
        <v>0</v>
      </c>
      <c r="AN128" s="105">
        <v>0</v>
      </c>
      <c r="AO128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0</v>
      </c>
      <c r="AP128" s="14">
        <f>Ohj.lask.[[#This Row],[Jaettava € 1]]+Ohj.lask.[[#This Row],[Harkinnanvarainen korotus 9, €]]</f>
        <v>2220236</v>
      </c>
      <c r="AQ128" s="105">
        <f>Ohj.lask.[[#This Row],[Jaettava € 2]]</f>
        <v>536454</v>
      </c>
      <c r="AR128" s="14">
        <f>Ohj.lask.[[#This Row],[Jaettava € 3]]+Ohj.lask.[[#This Row],[Jaettava € 4]]+Ohj.lask.[[#This Row],[Jaettava € 5]]+Ohj.lask.[[#This Row],[Jaettava € 6]]+Ohj.lask.[[#This Row],[Jaettava € 7]]</f>
        <v>280486</v>
      </c>
      <c r="AS128" s="37">
        <f>Ohj.lask.[[#This Row],[Jaettava € 8]]+Ohj.lask.[[#This Row],[Harkinnanvarainen korotus 9, €]]</f>
        <v>3037176</v>
      </c>
      <c r="AT128" s="37">
        <v>150593</v>
      </c>
      <c r="AU128" s="20">
        <f>Ohj.lask.[[#This Row],[Perus-, suoritus- ja vaikuttavuusrahoitus yhteensä, €]]+Ohj.lask.[[#This Row],[Alv-korvaus, €]]</f>
        <v>3187769</v>
      </c>
    </row>
    <row r="129" spans="1:47" ht="13" x14ac:dyDescent="0.3">
      <c r="A129" s="7" t="s">
        <v>202</v>
      </c>
      <c r="B129" s="11" t="s">
        <v>118</v>
      </c>
      <c r="C129" s="99" t="s">
        <v>194</v>
      </c>
      <c r="D129" s="99" t="s">
        <v>338</v>
      </c>
      <c r="E129" s="99" t="s">
        <v>388</v>
      </c>
      <c r="F129" s="108">
        <v>4466</v>
      </c>
      <c r="G129" s="114">
        <f>Ohj.lask.[[#This Row],[Tavoitteelliset opiskelija-vuodet]]-Ohj.lask.[[#This Row],[Järjestämisluvan opisk.vuosien vähimmäismäärä]]</f>
        <v>224</v>
      </c>
      <c r="H129" s="36">
        <v>4690</v>
      </c>
      <c r="I129" s="12">
        <f>IFERROR(VLOOKUP($A129,'2.1 Toteut. op.vuodet'!$A:$T,COLUMN('2.1 Toteut. op.vuodet'!S:S),FALSE),0)</f>
        <v>1.0533931230045523</v>
      </c>
      <c r="J129" s="78">
        <f t="shared" si="3"/>
        <v>4940.3999999999996</v>
      </c>
      <c r="K129" s="13">
        <f>IFERROR(Ohj.lask.[[#This Row],[Painotetut opiskelija-vuodet]]/Ohj.lask.[[#Totals],[Painotetut opiskelija-vuodet]],0)</f>
        <v>2.2869765839965327E-2</v>
      </c>
      <c r="L129" s="14">
        <f>ROUND(IFERROR('1.1 Jakotaulu'!L$13*Ohj.lask.[[#This Row],[%-osuus 1]],0),0)</f>
        <v>32100827</v>
      </c>
      <c r="M129" s="157">
        <f>IFERROR(ROUND(VLOOKUP($A129,'2.2 Tutk. ja osien pain. pist.'!$A:$Q,COLUMN('2.2 Tutk. ja osien pain. pist.'!O:O),FALSE),1),0)</f>
        <v>385731.5</v>
      </c>
      <c r="N129" s="13">
        <f>IFERROR(Ohj.lask.[[#This Row],[Painotetut pisteet 2]]/Ohj.lask.[[#Totals],[Painotetut pisteet 2]],0)</f>
        <v>2.4839745209975166E-2</v>
      </c>
      <c r="O129" s="20">
        <f>ROUND(IFERROR('1.1 Jakotaulu'!K$14*Ohj.lask.[[#This Row],[%-osuus 2]],0),0)</f>
        <v>10173913</v>
      </c>
      <c r="P129" s="158">
        <f>IFERROR(ROUND(VLOOKUP($A129,'2.3 Työll. ja jatko-opisk.'!$A:$Z,COLUMN('2.3 Työll. ja jatko-opisk.'!M:M),FALSE),1),0)</f>
        <v>8738.2999999999993</v>
      </c>
      <c r="Q129" s="17">
        <f>IFERROR(Ohj.lask.[[#This Row],[Painotetut pisteet 3]]/Ohj.lask.[[#Totals],[Painotetut pisteet 3]],0)</f>
        <v>2.8057524620130277E-2</v>
      </c>
      <c r="R129" s="14">
        <f>ROUND(IFERROR('1.1 Jakotaulu'!L$16*Ohj.lask.[[#This Row],[%-osuus 3]],0),0)</f>
        <v>4022150</v>
      </c>
      <c r="S129" s="157">
        <f>IFERROR(ROUND(VLOOKUP($A129,'2.4 Aloittaneet palaute'!$A:$J,COLUMN('2.4 Aloittaneet palaute'!I:I),FALSE),1),0)</f>
        <v>24311.5</v>
      </c>
      <c r="T129" s="17">
        <f>IFERROR(Ohj.lask.[[#This Row],[Painotetut pisteet 4]]/Ohj.lask.[[#Totals],[Painotetut pisteet 4]],0)</f>
        <v>1.550021613529687E-2</v>
      </c>
      <c r="U129" s="20">
        <f>ROUND(IFERROR('1.1 Jakotaulu'!M$18*Ohj.lask.[[#This Row],[%-osuus 4]],0),0)</f>
        <v>119036</v>
      </c>
      <c r="V129" s="157">
        <f>IFERROR(ROUND(VLOOKUP($A129,'2.5 Päättäneet palaute'!$A:$Z,COLUMN('2.5 Päättäneet palaute'!Y:Y),FALSE),1),0)</f>
        <v>73814.600000000006</v>
      </c>
      <c r="W129" s="17">
        <f>IFERROR(Ohj.lask.[[#This Row],[Painotetut pisteet 5]]/Ohj.lask.[[#Totals],[Painotetut pisteet 5]],0)</f>
        <v>7.7567672262928954E-3</v>
      </c>
      <c r="X129" s="20">
        <f>ROUND(IFERROR('1.1 Jakotaulu'!M$19*Ohj.lask.[[#This Row],[%-osuus 5]],0),0)</f>
        <v>178708</v>
      </c>
      <c r="Y129" s="157">
        <f>IFERROR(ROUND(VLOOKUP($A129,'2.6 Työpaikkaohjaajakysely'!A:I,COLUMN('2.6 Työpaikkaohjaajakysely'!H:H),FALSE),1),0)</f>
        <v>6651179.4000000004</v>
      </c>
      <c r="Z129" s="13">
        <f>IFERROR(Ohj.lask.[[#This Row],[Painotetut pisteet 6]]/Ohj.lask.[[#Totals],[Painotetut pisteet 6]],0)</f>
        <v>1.6645915843549835E-2</v>
      </c>
      <c r="AA129" s="20">
        <f>ROUND(IFERROR('1.1 Jakotaulu'!M$21*Ohj.lask.[[#This Row],[%-osuus 6]],0),0)</f>
        <v>383505</v>
      </c>
      <c r="AB129" s="157">
        <f>IFERROR(ROUND(VLOOKUP($A129,'2.7 Työpaikkakysely'!A:G,COLUMN('2.7 Työpaikkakysely'!F:F),FALSE),1),0)</f>
        <v>2103490.7999999998</v>
      </c>
      <c r="AC129" s="13">
        <f>IFERROR(Ohj.lask.[[#This Row],[Pisteet 7]]/Ohj.lask.[[#Totals],[Pisteet 7]],0)</f>
        <v>1.1003563819601228E-2</v>
      </c>
      <c r="AD129" s="20">
        <f>ROUND(IFERROR('1.1 Jakotaulu'!M$22*Ohj.lask.[[#This Row],[%-osuus 7]],0),0)</f>
        <v>84504</v>
      </c>
      <c r="AE129" s="16">
        <f>IFERROR(Ohj.lask.[[#This Row],[Jaettava € 8]]/Ohj.lask.[[#Totals],[Jaettava € 8]],"")</f>
        <v>2.3321324632348022E-2</v>
      </c>
      <c r="AF129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47062643</v>
      </c>
      <c r="AG129" s="105">
        <v>0</v>
      </c>
      <c r="AH129" s="105">
        <v>0</v>
      </c>
      <c r="AI129" s="105">
        <v>0</v>
      </c>
      <c r="AJ129" s="105">
        <v>0</v>
      </c>
      <c r="AK129" s="105">
        <v>0</v>
      </c>
      <c r="AL129" s="105">
        <v>0</v>
      </c>
      <c r="AM129" s="105">
        <v>74000</v>
      </c>
      <c r="AN129" s="105">
        <v>39000</v>
      </c>
      <c r="AO129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113000</v>
      </c>
      <c r="AP129" s="14">
        <f>Ohj.lask.[[#This Row],[Jaettava € 1]]+Ohj.lask.[[#This Row],[Harkinnanvarainen korotus 9, €]]</f>
        <v>32213827</v>
      </c>
      <c r="AQ129" s="105">
        <f>Ohj.lask.[[#This Row],[Jaettava € 2]]</f>
        <v>10173913</v>
      </c>
      <c r="AR129" s="14">
        <f>Ohj.lask.[[#This Row],[Jaettava € 3]]+Ohj.lask.[[#This Row],[Jaettava € 4]]+Ohj.lask.[[#This Row],[Jaettava € 5]]+Ohj.lask.[[#This Row],[Jaettava € 6]]+Ohj.lask.[[#This Row],[Jaettava € 7]]</f>
        <v>4787903</v>
      </c>
      <c r="AS129" s="37">
        <f>Ohj.lask.[[#This Row],[Jaettava € 8]]+Ohj.lask.[[#This Row],[Harkinnanvarainen korotus 9, €]]</f>
        <v>47175643</v>
      </c>
      <c r="AT129" s="37">
        <v>0</v>
      </c>
      <c r="AU129" s="20">
        <f>Ohj.lask.[[#This Row],[Perus-, suoritus- ja vaikuttavuusrahoitus yhteensä, €]]+Ohj.lask.[[#This Row],[Alv-korvaus, €]]</f>
        <v>47175643</v>
      </c>
    </row>
    <row r="130" spans="1:47" ht="13" x14ac:dyDescent="0.3">
      <c r="A130" s="7" t="s">
        <v>201</v>
      </c>
      <c r="B130" s="11" t="s">
        <v>119</v>
      </c>
      <c r="C130" s="11" t="s">
        <v>194</v>
      </c>
      <c r="D130" s="11" t="s">
        <v>337</v>
      </c>
      <c r="E130" s="11" t="s">
        <v>388</v>
      </c>
      <c r="F130" s="109">
        <v>218</v>
      </c>
      <c r="G130" s="114">
        <f>Ohj.lask.[[#This Row],[Tavoitteelliset opiskelija-vuodet]]-Ohj.lask.[[#This Row],[Järjestämisluvan opisk.vuosien vähimmäismäärä]]</f>
        <v>37</v>
      </c>
      <c r="H130" s="36">
        <v>255</v>
      </c>
      <c r="I130" s="12">
        <f>IFERROR(VLOOKUP($A130,'2.1 Toteut. op.vuodet'!$A:$T,COLUMN('2.1 Toteut. op.vuodet'!S:S),FALSE),0)</f>
        <v>0.99089381479739169</v>
      </c>
      <c r="J130" s="78">
        <f t="shared" si="3"/>
        <v>252.7</v>
      </c>
      <c r="K130" s="13">
        <f>IFERROR(Ohj.lask.[[#This Row],[Painotetut opiskelija-vuodet]]/Ohj.lask.[[#Totals],[Painotetut opiskelija-vuodet]],0)</f>
        <v>1.1697817641808839E-3</v>
      </c>
      <c r="L130" s="14">
        <f>ROUND(IFERROR('1.1 Jakotaulu'!L$13*Ohj.lask.[[#This Row],[%-osuus 1]],0),0)</f>
        <v>1641948</v>
      </c>
      <c r="M130" s="157">
        <f>IFERROR(ROUND(VLOOKUP($A130,'2.2 Tutk. ja osien pain. pist.'!$A:$Q,COLUMN('2.2 Tutk. ja osien pain. pist.'!O:O),FALSE),1),0)</f>
        <v>19536.900000000001</v>
      </c>
      <c r="N130" s="13">
        <f>IFERROR(Ohj.lask.[[#This Row],[Painotetut pisteet 2]]/Ohj.lask.[[#Totals],[Painotetut pisteet 2]],0)</f>
        <v>1.2581073057107441E-3</v>
      </c>
      <c r="O130" s="20">
        <f>ROUND(IFERROR('1.1 Jakotaulu'!K$14*Ohj.lask.[[#This Row],[%-osuus 2]],0),0)</f>
        <v>515298</v>
      </c>
      <c r="P130" s="158">
        <f>IFERROR(ROUND(VLOOKUP($A130,'2.3 Työll. ja jatko-opisk.'!$A:$Z,COLUMN('2.3 Työll. ja jatko-opisk.'!M:M),FALSE),1),0)</f>
        <v>534.5</v>
      </c>
      <c r="Q130" s="13">
        <f>IFERROR(Ohj.lask.[[#This Row],[Painotetut pisteet 3]]/Ohj.lask.[[#Totals],[Painotetut pisteet 3]],0)</f>
        <v>1.7162087487794691E-3</v>
      </c>
      <c r="R130" s="14">
        <f>ROUND(IFERROR('1.1 Jakotaulu'!L$16*Ohj.lask.[[#This Row],[%-osuus 3]],0),0)</f>
        <v>246025</v>
      </c>
      <c r="S130" s="157">
        <f>IFERROR(ROUND(VLOOKUP($A130,'2.4 Aloittaneet palaute'!$A:$J,COLUMN('2.4 Aloittaneet palaute'!I:I),FALSE),1),0)</f>
        <v>2068.6</v>
      </c>
      <c r="T130" s="17">
        <f>IFERROR(Ohj.lask.[[#This Row],[Painotetut pisteet 4]]/Ohj.lask.[[#Totals],[Painotetut pisteet 4]],0)</f>
        <v>1.3188716079828519E-3</v>
      </c>
      <c r="U130" s="20">
        <f>ROUND(IFERROR('1.1 Jakotaulu'!M$18*Ohj.lask.[[#This Row],[%-osuus 4]],0),0)</f>
        <v>10128</v>
      </c>
      <c r="V130" s="157">
        <f>IFERROR(ROUND(VLOOKUP($A130,'2.5 Päättäneet palaute'!$A:$Z,COLUMN('2.5 Päättäneet palaute'!Y:Y),FALSE),1),0)</f>
        <v>15093.7</v>
      </c>
      <c r="W130" s="17">
        <f>IFERROR(Ohj.lask.[[#This Row],[Painotetut pisteet 5]]/Ohj.lask.[[#Totals],[Painotetut pisteet 5]],0)</f>
        <v>1.5861132822435817E-3</v>
      </c>
      <c r="X130" s="20">
        <f>ROUND(IFERROR('1.1 Jakotaulu'!M$19*Ohj.lask.[[#This Row],[%-osuus 5]],0),0)</f>
        <v>36542</v>
      </c>
      <c r="Y130" s="157">
        <f>IFERROR(ROUND(VLOOKUP($A130,'2.6 Työpaikkaohjaajakysely'!A:I,COLUMN('2.6 Työpaikkaohjaajakysely'!H:H),FALSE),1),0)</f>
        <v>404998.7</v>
      </c>
      <c r="Z130" s="13">
        <f>IFERROR(Ohj.lask.[[#This Row],[Painotetut pisteet 6]]/Ohj.lask.[[#Totals],[Painotetut pisteet 6]],0)</f>
        <v>1.0135908042033998E-3</v>
      </c>
      <c r="AA130" s="20">
        <f>ROUND(IFERROR('1.1 Jakotaulu'!M$21*Ohj.lask.[[#This Row],[%-osuus 6]],0),0)</f>
        <v>23352</v>
      </c>
      <c r="AB130" s="157">
        <f>IFERROR(ROUND(VLOOKUP($A130,'2.7 Työpaikkakysely'!A:G,COLUMN('2.7 Työpaikkakysely'!F:F),FALSE),1),0)</f>
        <v>131914</v>
      </c>
      <c r="AC130" s="13">
        <f>IFERROR(Ohj.lask.[[#This Row],[Pisteet 7]]/Ohj.lask.[[#Totals],[Pisteet 7]],0)</f>
        <v>6.9005489241924728E-4</v>
      </c>
      <c r="AD130" s="20">
        <f>ROUND(IFERROR('1.1 Jakotaulu'!M$22*Ohj.lask.[[#This Row],[%-osuus 7]],0),0)</f>
        <v>5299</v>
      </c>
      <c r="AE130" s="16">
        <f>IFERROR(Ohj.lask.[[#This Row],[Jaettava € 8]]/Ohj.lask.[[#Totals],[Jaettava € 8]],"")</f>
        <v>1.2282363458240276E-3</v>
      </c>
      <c r="AF130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2478592</v>
      </c>
      <c r="AG130" s="105">
        <v>0</v>
      </c>
      <c r="AH130" s="105">
        <v>0</v>
      </c>
      <c r="AI130" s="105">
        <v>0</v>
      </c>
      <c r="AJ130" s="105">
        <v>0</v>
      </c>
      <c r="AK130" s="105">
        <v>0</v>
      </c>
      <c r="AL130" s="105">
        <v>0</v>
      </c>
      <c r="AM130" s="105">
        <v>0</v>
      </c>
      <c r="AN130" s="105">
        <v>0</v>
      </c>
      <c r="AO130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0</v>
      </c>
      <c r="AP130" s="14">
        <f>Ohj.lask.[[#This Row],[Jaettava € 1]]+Ohj.lask.[[#This Row],[Harkinnanvarainen korotus 9, €]]</f>
        <v>1641948</v>
      </c>
      <c r="AQ130" s="105">
        <f>Ohj.lask.[[#This Row],[Jaettava € 2]]</f>
        <v>515298</v>
      </c>
      <c r="AR130" s="14">
        <f>Ohj.lask.[[#This Row],[Jaettava € 3]]+Ohj.lask.[[#This Row],[Jaettava € 4]]+Ohj.lask.[[#This Row],[Jaettava € 5]]+Ohj.lask.[[#This Row],[Jaettava € 6]]+Ohj.lask.[[#This Row],[Jaettava € 7]]</f>
        <v>321346</v>
      </c>
      <c r="AS130" s="37">
        <f>Ohj.lask.[[#This Row],[Jaettava € 8]]+Ohj.lask.[[#This Row],[Harkinnanvarainen korotus 9, €]]</f>
        <v>2478592</v>
      </c>
      <c r="AT130" s="37">
        <v>289535</v>
      </c>
      <c r="AU130" s="20">
        <f>Ohj.lask.[[#This Row],[Perus-, suoritus- ja vaikuttavuusrahoitus yhteensä, €]]+Ohj.lask.[[#This Row],[Alv-korvaus, €]]</f>
        <v>2768127</v>
      </c>
    </row>
    <row r="131" spans="1:47" ht="13" x14ac:dyDescent="0.3">
      <c r="A131" s="7" t="s">
        <v>394</v>
      </c>
      <c r="B131" s="11" t="s">
        <v>395</v>
      </c>
      <c r="C131" s="99" t="s">
        <v>194</v>
      </c>
      <c r="D131" s="99" t="s">
        <v>337</v>
      </c>
      <c r="E131" s="99" t="s">
        <v>388</v>
      </c>
      <c r="F131" s="108">
        <v>79</v>
      </c>
      <c r="G131" s="114">
        <f>Ohj.lask.[[#This Row],[Tavoitteelliset opiskelija-vuodet]]-Ohj.lask.[[#This Row],[Järjestämisluvan opisk.vuosien vähimmäismäärä]]</f>
        <v>14</v>
      </c>
      <c r="H131" s="36">
        <v>93</v>
      </c>
      <c r="I131" s="12">
        <f>IFERROR(VLOOKUP($A131,'2.1 Toteut. op.vuodet'!$A:$T,COLUMN('2.1 Toteut. op.vuodet'!S:S),FALSE),0)</f>
        <v>1.4184976155048052</v>
      </c>
      <c r="J131" s="78">
        <f t="shared" si="3"/>
        <v>131.9</v>
      </c>
      <c r="K131" s="13">
        <f>IFERROR(Ohj.lask.[[#This Row],[Painotetut opiskelija-vuodet]]/Ohj.lask.[[#Totals],[Painotetut opiskelija-vuodet]],0)</f>
        <v>6.1058256705761216E-4</v>
      </c>
      <c r="L131" s="14">
        <f>ROUND(IFERROR('1.1 Jakotaulu'!L$13*Ohj.lask.[[#This Row],[%-osuus 1]],0),0)</f>
        <v>857036</v>
      </c>
      <c r="M131" s="157">
        <f>IFERROR(ROUND(VLOOKUP($A131,'2.2 Tutk. ja osien pain. pist.'!$A:$Q,COLUMN('2.2 Tutk. ja osien pain. pist.'!O:O),FALSE),1),0)</f>
        <v>16432.099999999999</v>
      </c>
      <c r="N131" s="13">
        <f>IFERROR(Ohj.lask.[[#This Row],[Painotetut pisteet 2]]/Ohj.lask.[[#Totals],[Painotetut pisteet 2]],0)</f>
        <v>1.0581691598037311E-3</v>
      </c>
      <c r="O131" s="20">
        <f>ROUND(IFERROR('1.1 Jakotaulu'!K$14*Ohj.lask.[[#This Row],[%-osuus 2]],0),0)</f>
        <v>433407</v>
      </c>
      <c r="P131" s="158">
        <f>IFERROR(ROUND(VLOOKUP($A131,'2.3 Työll. ja jatko-opisk.'!$A:$Z,COLUMN('2.3 Työll. ja jatko-opisk.'!M:M),FALSE),1),0)</f>
        <v>203.9</v>
      </c>
      <c r="Q131" s="17">
        <f>IFERROR(Ohj.lask.[[#This Row],[Painotetut pisteet 3]]/Ohj.lask.[[#Totals],[Painotetut pisteet 3]],0)</f>
        <v>6.5469590996470293E-4</v>
      </c>
      <c r="R131" s="14">
        <f>ROUND(IFERROR('1.1 Jakotaulu'!L$16*Ohj.lask.[[#This Row],[%-osuus 3]],0),0)</f>
        <v>93853</v>
      </c>
      <c r="S131" s="157">
        <f>IFERROR(ROUND(VLOOKUP($A131,'2.4 Aloittaneet palaute'!$A:$J,COLUMN('2.4 Aloittaneet palaute'!I:I),FALSE),1),0)</f>
        <v>694.9</v>
      </c>
      <c r="T131" s="17">
        <f>IFERROR(Ohj.lask.[[#This Row],[Painotetut pisteet 4]]/Ohj.lask.[[#Totals],[Painotetut pisteet 4]],0)</f>
        <v>4.4304548022202641E-4</v>
      </c>
      <c r="U131" s="20">
        <f>ROUND(IFERROR('1.1 Jakotaulu'!M$18*Ohj.lask.[[#This Row],[%-osuus 4]],0),0)</f>
        <v>3402</v>
      </c>
      <c r="V131" s="157">
        <f>IFERROR(ROUND(VLOOKUP($A131,'2.5 Päättäneet palaute'!$A:$Z,COLUMN('2.5 Päättäneet palaute'!Y:Y),FALSE),1),0)</f>
        <v>7444</v>
      </c>
      <c r="W131" s="17">
        <f>IFERROR(Ohj.lask.[[#This Row],[Painotetut pisteet 5]]/Ohj.lask.[[#Totals],[Painotetut pisteet 5]],0)</f>
        <v>7.822487046265144E-4</v>
      </c>
      <c r="X131" s="20">
        <f>ROUND(IFERROR('1.1 Jakotaulu'!M$19*Ohj.lask.[[#This Row],[%-osuus 5]],0),0)</f>
        <v>18022</v>
      </c>
      <c r="Y131" s="157">
        <f>IFERROR(ROUND(VLOOKUP($A131,'2.6 Työpaikkaohjaajakysely'!A:I,COLUMN('2.6 Työpaikkaohjaajakysely'!H:H),FALSE),1),0)</f>
        <v>174967.4</v>
      </c>
      <c r="Z131" s="13">
        <f>IFERROR(Ohj.lask.[[#This Row],[Painotetut pisteet 6]]/Ohj.lask.[[#Totals],[Painotetut pisteet 6]],0)</f>
        <v>4.3789115292315237E-4</v>
      </c>
      <c r="AA131" s="20">
        <f>ROUND(IFERROR('1.1 Jakotaulu'!M$21*Ohj.lask.[[#This Row],[%-osuus 6]],0),0)</f>
        <v>10089</v>
      </c>
      <c r="AB131" s="157">
        <f>IFERROR(ROUND(VLOOKUP($A131,'2.7 Työpaikkakysely'!A:G,COLUMN('2.7 Työpaikkakysely'!F:F),FALSE),1),0)</f>
        <v>81750</v>
      </c>
      <c r="AC131" s="13">
        <f>IFERROR(Ohj.lask.[[#This Row],[Pisteet 7]]/Ohj.lask.[[#Totals],[Pisteet 7]],0)</f>
        <v>4.2764215667232794E-4</v>
      </c>
      <c r="AD131" s="20">
        <f>ROUND(IFERROR('1.1 Jakotaulu'!M$22*Ohj.lask.[[#This Row],[%-osuus 7]],0),0)</f>
        <v>3284</v>
      </c>
      <c r="AE131" s="16">
        <f>IFERROR(Ohj.lask.[[#This Row],[Jaettava € 8]]/Ohj.lask.[[#Totals],[Jaettava € 8]],"")</f>
        <v>7.0321440588223339E-4</v>
      </c>
      <c r="AF131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1419093</v>
      </c>
      <c r="AG131" s="105">
        <v>0</v>
      </c>
      <c r="AH131" s="105">
        <v>0</v>
      </c>
      <c r="AI131" s="105">
        <v>0</v>
      </c>
      <c r="AJ131" s="105">
        <v>0</v>
      </c>
      <c r="AK131" s="105">
        <v>0</v>
      </c>
      <c r="AL131" s="105">
        <v>0</v>
      </c>
      <c r="AM131" s="105">
        <v>0</v>
      </c>
      <c r="AN131" s="105">
        <v>0</v>
      </c>
      <c r="AO131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0</v>
      </c>
      <c r="AP131" s="14">
        <f>Ohj.lask.[[#This Row],[Jaettava € 1]]+Ohj.lask.[[#This Row],[Harkinnanvarainen korotus 9, €]]</f>
        <v>857036</v>
      </c>
      <c r="AQ131" s="105">
        <f>Ohj.lask.[[#This Row],[Jaettava € 2]]</f>
        <v>433407</v>
      </c>
      <c r="AR131" s="14">
        <f>Ohj.lask.[[#This Row],[Jaettava € 3]]+Ohj.lask.[[#This Row],[Jaettava € 4]]+Ohj.lask.[[#This Row],[Jaettava € 5]]+Ohj.lask.[[#This Row],[Jaettava € 6]]+Ohj.lask.[[#This Row],[Jaettava € 7]]</f>
        <v>128650</v>
      </c>
      <c r="AS131" s="37">
        <f>Ohj.lask.[[#This Row],[Jaettava € 8]]+Ohj.lask.[[#This Row],[Harkinnanvarainen korotus 9, €]]</f>
        <v>1419093</v>
      </c>
      <c r="AT131" s="37">
        <v>300351</v>
      </c>
      <c r="AU131" s="20">
        <f>Ohj.lask.[[#This Row],[Perus-, suoritus- ja vaikuttavuusrahoitus yhteensä, €]]+Ohj.lask.[[#This Row],[Alv-korvaus, €]]</f>
        <v>1719444</v>
      </c>
    </row>
    <row r="132" spans="1:47" ht="13" x14ac:dyDescent="0.3">
      <c r="A132" s="7" t="s">
        <v>261</v>
      </c>
      <c r="B132" s="11" t="s">
        <v>134</v>
      </c>
      <c r="C132" s="11" t="s">
        <v>194</v>
      </c>
      <c r="D132" s="11" t="s">
        <v>337</v>
      </c>
      <c r="E132" s="11" t="s">
        <v>388</v>
      </c>
      <c r="F132" s="109">
        <v>28</v>
      </c>
      <c r="G132" s="114">
        <f>Ohj.lask.[[#This Row],[Tavoitteelliset opiskelija-vuodet]]-Ohj.lask.[[#This Row],[Järjestämisluvan opisk.vuosien vähimmäismäärä]]</f>
        <v>0</v>
      </c>
      <c r="H132" s="36">
        <v>28</v>
      </c>
      <c r="I132" s="12">
        <f>IFERROR(VLOOKUP($A132,'2.1 Toteut. op.vuodet'!$A:$T,COLUMN('2.1 Toteut. op.vuodet'!S:S),FALSE),0)</f>
        <v>0.72540000000000027</v>
      </c>
      <c r="J132" s="78">
        <f t="shared" si="3"/>
        <v>20.3</v>
      </c>
      <c r="K132" s="13">
        <f>IFERROR(Ohj.lask.[[#This Row],[Painotetut opiskelija-vuodet]]/Ohj.lask.[[#Totals],[Painotetut opiskelija-vuodet]],0)</f>
        <v>9.397138825829815E-5</v>
      </c>
      <c r="L132" s="14">
        <f>ROUND(IFERROR('1.1 Jakotaulu'!L$13*Ohj.lask.[[#This Row],[%-osuus 1]],0),0)</f>
        <v>131902</v>
      </c>
      <c r="M132" s="157">
        <f>IFERROR(ROUND(VLOOKUP($A132,'2.2 Tutk. ja osien pain. pist.'!$A:$Q,COLUMN('2.2 Tutk. ja osien pain. pist.'!O:O),FALSE),1),0)</f>
        <v>2351.5</v>
      </c>
      <c r="N132" s="13">
        <f>IFERROR(Ohj.lask.[[#This Row],[Painotetut pisteet 2]]/Ohj.lask.[[#Totals],[Painotetut pisteet 2]],0)</f>
        <v>1.5142828848890123E-4</v>
      </c>
      <c r="O132" s="20">
        <f>ROUND(IFERROR('1.1 Jakotaulu'!K$14*Ohj.lask.[[#This Row],[%-osuus 2]],0),0)</f>
        <v>62022</v>
      </c>
      <c r="P132" s="158">
        <f>IFERROR(ROUND(VLOOKUP($A132,'2.3 Työll. ja jatko-opisk.'!$A:$Z,COLUMN('2.3 Työll. ja jatko-opisk.'!M:M),FALSE),1),0)</f>
        <v>130.4</v>
      </c>
      <c r="Q132" s="13">
        <f>IFERROR(Ohj.lask.[[#This Row],[Painotetut pisteet 3]]/Ohj.lask.[[#Totals],[Painotetut pisteet 3]],0)</f>
        <v>4.1869713908483213E-4</v>
      </c>
      <c r="R132" s="14">
        <f>ROUND(IFERROR('1.1 Jakotaulu'!L$16*Ohj.lask.[[#This Row],[%-osuus 3]],0),0)</f>
        <v>60022</v>
      </c>
      <c r="S132" s="157">
        <f>IFERROR(ROUND(VLOOKUP($A132,'2.4 Aloittaneet palaute'!$A:$J,COLUMN('2.4 Aloittaneet palaute'!I:I),FALSE),1),0)</f>
        <v>274.2</v>
      </c>
      <c r="T132" s="17">
        <f>IFERROR(Ohj.lask.[[#This Row],[Painotetut pisteet 4]]/Ohj.lask.[[#Totals],[Painotetut pisteet 4]],0)</f>
        <v>1.7482093923856619E-4</v>
      </c>
      <c r="U132" s="20">
        <f>ROUND(IFERROR('1.1 Jakotaulu'!M$18*Ohj.lask.[[#This Row],[%-osuus 4]],0),0)</f>
        <v>1343</v>
      </c>
      <c r="V132" s="157">
        <f>IFERROR(ROUND(VLOOKUP($A132,'2.5 Päättäneet palaute'!$A:$Z,COLUMN('2.5 Päättäneet palaute'!Y:Y),FALSE),1),0)</f>
        <v>4713.1000000000004</v>
      </c>
      <c r="W132" s="17">
        <f>IFERROR(Ohj.lask.[[#This Row],[Painotetut pisteet 5]]/Ohj.lask.[[#Totals],[Painotetut pisteet 5]],0)</f>
        <v>4.9527355854046557E-4</v>
      </c>
      <c r="X132" s="20">
        <f>ROUND(IFERROR('1.1 Jakotaulu'!M$19*Ohj.lask.[[#This Row],[%-osuus 5]],0),0)</f>
        <v>11411</v>
      </c>
      <c r="Y132" s="157">
        <f>IFERROR(ROUND(VLOOKUP($A132,'2.6 Työpaikkaohjaajakysely'!A:I,COLUMN('2.6 Työpaikkaohjaajakysely'!H:H),FALSE),1),0)</f>
        <v>0</v>
      </c>
      <c r="Z132" s="13">
        <f>IFERROR(Ohj.lask.[[#This Row],[Painotetut pisteet 6]]/Ohj.lask.[[#Totals],[Painotetut pisteet 6]],0)</f>
        <v>0</v>
      </c>
      <c r="AA132" s="20">
        <f>ROUND(IFERROR('1.1 Jakotaulu'!M$21*Ohj.lask.[[#This Row],[%-osuus 6]],0),0)</f>
        <v>0</v>
      </c>
      <c r="AB132" s="157">
        <f>IFERROR(ROUND(VLOOKUP($A132,'2.7 Työpaikkakysely'!A:G,COLUMN('2.7 Työpaikkakysely'!F:F),FALSE),1),0)</f>
        <v>0</v>
      </c>
      <c r="AC132" s="13">
        <f>IFERROR(Ohj.lask.[[#This Row],[Pisteet 7]]/Ohj.lask.[[#Totals],[Pisteet 7]],0)</f>
        <v>0</v>
      </c>
      <c r="AD132" s="20">
        <f>ROUND(IFERROR('1.1 Jakotaulu'!M$22*Ohj.lask.[[#This Row],[%-osuus 7]],0),0)</f>
        <v>0</v>
      </c>
      <c r="AE132" s="16">
        <f>IFERROR(Ohj.lask.[[#This Row],[Jaettava € 8]]/Ohj.lask.[[#Totals],[Jaettava € 8]],"")</f>
        <v>1.3215996558984622E-4</v>
      </c>
      <c r="AF132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266700</v>
      </c>
      <c r="AG132" s="105">
        <v>0</v>
      </c>
      <c r="AH132" s="105">
        <v>0</v>
      </c>
      <c r="AI132" s="105">
        <v>0</v>
      </c>
      <c r="AJ132" s="105">
        <v>0</v>
      </c>
      <c r="AK132" s="105">
        <v>0</v>
      </c>
      <c r="AL132" s="105">
        <v>0</v>
      </c>
      <c r="AM132" s="105">
        <v>0</v>
      </c>
      <c r="AN132" s="105">
        <v>0</v>
      </c>
      <c r="AO132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0</v>
      </c>
      <c r="AP132" s="14">
        <f>Ohj.lask.[[#This Row],[Jaettava € 1]]+Ohj.lask.[[#This Row],[Harkinnanvarainen korotus 9, €]]</f>
        <v>131902</v>
      </c>
      <c r="AQ132" s="105">
        <f>Ohj.lask.[[#This Row],[Jaettava € 2]]</f>
        <v>62022</v>
      </c>
      <c r="AR132" s="14">
        <f>Ohj.lask.[[#This Row],[Jaettava € 3]]+Ohj.lask.[[#This Row],[Jaettava € 4]]+Ohj.lask.[[#This Row],[Jaettava € 5]]+Ohj.lask.[[#This Row],[Jaettava € 6]]+Ohj.lask.[[#This Row],[Jaettava € 7]]</f>
        <v>72776</v>
      </c>
      <c r="AS132" s="37">
        <f>Ohj.lask.[[#This Row],[Jaettava € 8]]+Ohj.lask.[[#This Row],[Harkinnanvarainen korotus 9, €]]</f>
        <v>266700</v>
      </c>
      <c r="AT132" s="37">
        <v>11462</v>
      </c>
      <c r="AU132" s="20">
        <f>Ohj.lask.[[#This Row],[Perus-, suoritus- ja vaikuttavuusrahoitus yhteensä, €]]+Ohj.lask.[[#This Row],[Alv-korvaus, €]]</f>
        <v>278162</v>
      </c>
    </row>
    <row r="133" spans="1:47" ht="13" x14ac:dyDescent="0.3">
      <c r="A133" s="7" t="s">
        <v>200</v>
      </c>
      <c r="B133" s="11" t="s">
        <v>120</v>
      </c>
      <c r="C133" s="11" t="s">
        <v>180</v>
      </c>
      <c r="D133" s="11" t="s">
        <v>337</v>
      </c>
      <c r="E133" s="11" t="s">
        <v>388</v>
      </c>
      <c r="F133" s="109">
        <v>702</v>
      </c>
      <c r="G133" s="114">
        <f>Ohj.lask.[[#This Row],[Tavoitteelliset opiskelija-vuodet]]-Ohj.lask.[[#This Row],[Järjestämisluvan opisk.vuosien vähimmäismäärä]]</f>
        <v>604</v>
      </c>
      <c r="H133" s="36">
        <v>1306</v>
      </c>
      <c r="I133" s="12">
        <f>IFERROR(VLOOKUP($A133,'2.1 Toteut. op.vuodet'!$A:$T,COLUMN('2.1 Toteut. op.vuodet'!S:S),FALSE),0)</f>
        <v>1.0962033483361771</v>
      </c>
      <c r="J133" s="78">
        <f t="shared" ref="J133:J140" si="4">IFERROR(ROUND(H133*I133,1),0)</f>
        <v>1431.6</v>
      </c>
      <c r="K133" s="13">
        <f>IFERROR(Ohj.lask.[[#This Row],[Painotetut opiskelija-vuodet]]/Ohj.lask.[[#Totals],[Painotetut opiskelija-vuodet]],0)</f>
        <v>6.6270659818019519E-3</v>
      </c>
      <c r="L133" s="14">
        <f>ROUND(IFERROR('1.1 Jakotaulu'!L$13*Ohj.lask.[[#This Row],[%-osuus 1]],0),0)</f>
        <v>9301988</v>
      </c>
      <c r="M133" s="157">
        <f>IFERROR(ROUND(VLOOKUP($A133,'2.2 Tutk. ja osien pain. pist.'!$A:$Q,COLUMN('2.2 Tutk. ja osien pain. pist.'!O:O),FALSE),1),0)</f>
        <v>145892.4</v>
      </c>
      <c r="N133" s="13">
        <f>IFERROR(Ohj.lask.[[#This Row],[Painotetut pisteet 2]]/Ohj.lask.[[#Totals],[Painotetut pisteet 2]],0)</f>
        <v>9.3949548949768969E-3</v>
      </c>
      <c r="O133" s="20">
        <f>ROUND(IFERROR('1.1 Jakotaulu'!K$14*Ohj.lask.[[#This Row],[%-osuus 2]],0),0)</f>
        <v>3848004</v>
      </c>
      <c r="P133" s="158">
        <f>IFERROR(ROUND(VLOOKUP($A133,'2.3 Työll. ja jatko-opisk.'!$A:$Z,COLUMN('2.3 Työll. ja jatko-opisk.'!M:M),FALSE),1),0)</f>
        <v>2524.1999999999998</v>
      </c>
      <c r="Q133" s="13">
        <f>IFERROR(Ohj.lask.[[#This Row],[Painotetut pisteet 3]]/Ohj.lask.[[#Totals],[Painotetut pisteet 3]],0)</f>
        <v>8.104872074217279E-3</v>
      </c>
      <c r="R133" s="14">
        <f>ROUND(IFERROR('1.1 Jakotaulu'!L$16*Ohj.lask.[[#This Row],[%-osuus 3]],0),0)</f>
        <v>1161863</v>
      </c>
      <c r="S133" s="157">
        <f>IFERROR(ROUND(VLOOKUP($A133,'2.4 Aloittaneet palaute'!$A:$J,COLUMN('2.4 Aloittaneet palaute'!I:I),FALSE),1),0)</f>
        <v>17504.099999999999</v>
      </c>
      <c r="T133" s="17">
        <f>IFERROR(Ohj.lask.[[#This Row],[Painotetut pisteet 4]]/Ohj.lask.[[#Totals],[Painotetut pisteet 4]],0)</f>
        <v>1.1160040855309214E-2</v>
      </c>
      <c r="U133" s="20">
        <f>ROUND(IFERROR('1.1 Jakotaulu'!M$18*Ohj.lask.[[#This Row],[%-osuus 4]],0),0)</f>
        <v>85705</v>
      </c>
      <c r="V133" s="157">
        <f>IFERROR(ROUND(VLOOKUP($A133,'2.5 Päättäneet palaute'!$A:$Z,COLUMN('2.5 Päättäneet palaute'!Y:Y),FALSE),1),0)</f>
        <v>95896.9</v>
      </c>
      <c r="W133" s="17">
        <f>IFERROR(Ohj.lask.[[#This Row],[Painotetut pisteet 5]]/Ohj.lask.[[#Totals],[Painotetut pisteet 5]],0)</f>
        <v>1.0077273751034174E-2</v>
      </c>
      <c r="X133" s="20">
        <f>ROUND(IFERROR('1.1 Jakotaulu'!M$19*Ohj.lask.[[#This Row],[%-osuus 5]],0),0)</f>
        <v>232170</v>
      </c>
      <c r="Y133" s="157">
        <f>IFERROR(ROUND(VLOOKUP($A133,'2.6 Työpaikkaohjaajakysely'!A:I,COLUMN('2.6 Työpaikkaohjaajakysely'!H:H),FALSE),1),0)</f>
        <v>4813046.7</v>
      </c>
      <c r="Z133" s="13">
        <f>IFERROR(Ohj.lask.[[#This Row],[Painotetut pisteet 6]]/Ohj.lask.[[#Totals],[Painotetut pisteet 6]],0)</f>
        <v>1.2045618604014085E-2</v>
      </c>
      <c r="AA133" s="20">
        <f>ROUND(IFERROR('1.1 Jakotaulu'!M$21*Ohj.lask.[[#This Row],[%-osuus 6]],0),0)</f>
        <v>277519</v>
      </c>
      <c r="AB133" s="157">
        <f>IFERROR(ROUND(VLOOKUP($A133,'2.7 Työpaikkakysely'!A:G,COLUMN('2.7 Työpaikkakysely'!F:F),FALSE),1),0)</f>
        <v>1587521.5</v>
      </c>
      <c r="AC133" s="13">
        <f>IFERROR(Ohj.lask.[[#This Row],[Pisteet 7]]/Ohj.lask.[[#Totals],[Pisteet 7]],0)</f>
        <v>8.3044785079350349E-3</v>
      </c>
      <c r="AD133" s="20">
        <f>ROUND(IFERROR('1.1 Jakotaulu'!M$22*Ohj.lask.[[#This Row],[%-osuus 7]],0),0)</f>
        <v>63776</v>
      </c>
      <c r="AE133" s="16">
        <f>IFERROR(Ohj.lask.[[#This Row],[Jaettava € 8]]/Ohj.lask.[[#Totals],[Jaettava € 8]],"")</f>
        <v>7.4187107193278128E-3</v>
      </c>
      <c r="AF133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14971025</v>
      </c>
      <c r="AG133" s="105">
        <v>0</v>
      </c>
      <c r="AH133" s="105">
        <v>115000</v>
      </c>
      <c r="AI133" s="105">
        <v>0</v>
      </c>
      <c r="AJ133" s="105">
        <v>0</v>
      </c>
      <c r="AK133" s="105">
        <v>0</v>
      </c>
      <c r="AL133" s="105">
        <v>0</v>
      </c>
      <c r="AM133" s="105">
        <v>29000</v>
      </c>
      <c r="AN133" s="105">
        <v>0</v>
      </c>
      <c r="AO133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144000</v>
      </c>
      <c r="AP133" s="14">
        <f>Ohj.lask.[[#This Row],[Jaettava € 1]]+Ohj.lask.[[#This Row],[Harkinnanvarainen korotus 9, €]]</f>
        <v>9445988</v>
      </c>
      <c r="AQ133" s="105">
        <f>Ohj.lask.[[#This Row],[Jaettava € 2]]</f>
        <v>3848004</v>
      </c>
      <c r="AR133" s="14">
        <f>Ohj.lask.[[#This Row],[Jaettava € 3]]+Ohj.lask.[[#This Row],[Jaettava € 4]]+Ohj.lask.[[#This Row],[Jaettava € 5]]+Ohj.lask.[[#This Row],[Jaettava € 6]]+Ohj.lask.[[#This Row],[Jaettava € 7]]</f>
        <v>1821033</v>
      </c>
      <c r="AS133" s="37">
        <f>Ohj.lask.[[#This Row],[Jaettava € 8]]+Ohj.lask.[[#This Row],[Harkinnanvarainen korotus 9, €]]</f>
        <v>15115025</v>
      </c>
      <c r="AT133" s="37">
        <v>1100785</v>
      </c>
      <c r="AU133" s="20">
        <f>Ohj.lask.[[#This Row],[Perus-, suoritus- ja vaikuttavuusrahoitus yhteensä, €]]+Ohj.lask.[[#This Row],[Alv-korvaus, €]]</f>
        <v>16215810</v>
      </c>
    </row>
    <row r="134" spans="1:47" ht="13" x14ac:dyDescent="0.3">
      <c r="A134" s="7" t="s">
        <v>199</v>
      </c>
      <c r="B134" s="11" t="s">
        <v>121</v>
      </c>
      <c r="C134" s="11" t="s">
        <v>186</v>
      </c>
      <c r="D134" s="11" t="s">
        <v>338</v>
      </c>
      <c r="E134" s="11" t="s">
        <v>390</v>
      </c>
      <c r="F134" s="109">
        <v>2401</v>
      </c>
      <c r="G134" s="114">
        <f>Ohj.lask.[[#This Row],[Tavoitteelliset opiskelija-vuodet]]-Ohj.lask.[[#This Row],[Järjestämisluvan opisk.vuosien vähimmäismäärä]]</f>
        <v>217</v>
      </c>
      <c r="H134" s="36">
        <v>2618</v>
      </c>
      <c r="I134" s="12">
        <f>IFERROR(VLOOKUP($A134,'2.1 Toteut. op.vuodet'!$A:$T,COLUMN('2.1 Toteut. op.vuodet'!S:S),FALSE),0)</f>
        <v>1.0476443541392286</v>
      </c>
      <c r="J134" s="78">
        <f t="shared" si="4"/>
        <v>2742.7</v>
      </c>
      <c r="K134" s="13">
        <f>IFERROR(Ohj.lask.[[#This Row],[Painotetut opiskelija-vuodet]]/Ohj.lask.[[#Totals],[Painotetut opiskelija-vuodet]],0)</f>
        <v>1.2696321506208587E-2</v>
      </c>
      <c r="L134" s="14">
        <f>ROUND(IFERROR('1.1 Jakotaulu'!L$13*Ohj.lask.[[#This Row],[%-osuus 1]],0),0)</f>
        <v>17821014</v>
      </c>
      <c r="M134" s="157">
        <f>IFERROR(ROUND(VLOOKUP($A134,'2.2 Tutk. ja osien pain. pist.'!$A:$Q,COLUMN('2.2 Tutk. ja osien pain. pist.'!O:O),FALSE),1),0)</f>
        <v>216252.2</v>
      </c>
      <c r="N134" s="13">
        <f>IFERROR(Ohj.lask.[[#This Row],[Painotetut pisteet 2]]/Ohj.lask.[[#Totals],[Painotetut pisteet 2]],0)</f>
        <v>1.3925877324243916E-2</v>
      </c>
      <c r="O134" s="20">
        <f>ROUND(IFERROR('1.1 Jakotaulu'!K$14*Ohj.lask.[[#This Row],[%-osuus 2]],0),0)</f>
        <v>5703789</v>
      </c>
      <c r="P134" s="158">
        <f>IFERROR(ROUND(VLOOKUP($A134,'2.3 Työll. ja jatko-opisk.'!$A:$Z,COLUMN('2.3 Työll. ja jatko-opisk.'!M:M),FALSE),1),0)</f>
        <v>4436.8</v>
      </c>
      <c r="Q134" s="13">
        <f>IFERROR(Ohj.lask.[[#This Row],[Painotetut pisteet 3]]/Ohj.lask.[[#Totals],[Painotetut pisteet 3]],0)</f>
        <v>1.4245977505303552E-2</v>
      </c>
      <c r="R134" s="14">
        <f>ROUND(IFERROR('1.1 Jakotaulu'!L$16*Ohj.lask.[[#This Row],[%-osuus 3]],0),0)</f>
        <v>2042214</v>
      </c>
      <c r="S134" s="157">
        <f>IFERROR(ROUND(VLOOKUP($A134,'2.4 Aloittaneet palaute'!$A:$J,COLUMN('2.4 Aloittaneet palaute'!I:I),FALSE),1),0)</f>
        <v>13371.9</v>
      </c>
      <c r="T134" s="17">
        <f>IFERROR(Ohj.lask.[[#This Row],[Painotetut pisteet 4]]/Ohj.lask.[[#Totals],[Painotetut pisteet 4]],0)</f>
        <v>8.5254854755805361E-3</v>
      </c>
      <c r="U134" s="20">
        <f>ROUND(IFERROR('1.1 Jakotaulu'!M$18*Ohj.lask.[[#This Row],[%-osuus 4]],0),0)</f>
        <v>65473</v>
      </c>
      <c r="V134" s="157">
        <f>IFERROR(ROUND(VLOOKUP($A134,'2.5 Päättäneet palaute'!$A:$Z,COLUMN('2.5 Päättäneet palaute'!Y:Y),FALSE),1),0)</f>
        <v>95877</v>
      </c>
      <c r="W134" s="17">
        <f>IFERROR(Ohj.lask.[[#This Row],[Painotetut pisteet 5]]/Ohj.lask.[[#Totals],[Painotetut pisteet 5]],0)</f>
        <v>1.0075182570321913E-2</v>
      </c>
      <c r="X134" s="20">
        <f>ROUND(IFERROR('1.1 Jakotaulu'!M$19*Ohj.lask.[[#This Row],[%-osuus 5]],0),0)</f>
        <v>232122</v>
      </c>
      <c r="Y134" s="157">
        <f>IFERROR(ROUND(VLOOKUP($A134,'2.6 Työpaikkaohjaajakysely'!A:I,COLUMN('2.6 Työpaikkaohjaajakysely'!H:H),FALSE),1),0)</f>
        <v>3012797.2</v>
      </c>
      <c r="Z134" s="13">
        <f>IFERROR(Ohj.lask.[[#This Row],[Painotetut pisteet 6]]/Ohj.lask.[[#Totals],[Painotetut pisteet 6]],0)</f>
        <v>7.5401317012863279E-3</v>
      </c>
      <c r="AA134" s="20">
        <f>ROUND(IFERROR('1.1 Jakotaulu'!M$21*Ohj.lask.[[#This Row],[%-osuus 6]],0),0)</f>
        <v>173717</v>
      </c>
      <c r="AB134" s="157">
        <f>IFERROR(ROUND(VLOOKUP($A134,'2.7 Työpaikkakysely'!A:G,COLUMN('2.7 Työpaikkakysely'!F:F),FALSE),1),0)</f>
        <v>790094.3</v>
      </c>
      <c r="AC134" s="13">
        <f>IFERROR(Ohj.lask.[[#This Row],[Pisteet 7]]/Ohj.lask.[[#Totals],[Pisteet 7]],0)</f>
        <v>4.1330596994068906E-3</v>
      </c>
      <c r="AD134" s="20">
        <f>ROUND(IFERROR('1.1 Jakotaulu'!M$22*Ohj.lask.[[#This Row],[%-osuus 7]],0),0)</f>
        <v>31741</v>
      </c>
      <c r="AE134" s="16">
        <f>IFERROR(Ohj.lask.[[#This Row],[Jaettava € 8]]/Ohj.lask.[[#Totals],[Jaettava € 8]],"")</f>
        <v>1.2918708489407134E-2</v>
      </c>
      <c r="AF134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26070070</v>
      </c>
      <c r="AG134" s="105">
        <v>0</v>
      </c>
      <c r="AH134" s="105">
        <v>0</v>
      </c>
      <c r="AI134" s="105">
        <v>0</v>
      </c>
      <c r="AJ134" s="105">
        <v>0</v>
      </c>
      <c r="AK134" s="105">
        <v>0</v>
      </c>
      <c r="AL134" s="105">
        <v>0</v>
      </c>
      <c r="AM134" s="105">
        <v>39000</v>
      </c>
      <c r="AN134" s="105">
        <v>8000</v>
      </c>
      <c r="AO134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47000</v>
      </c>
      <c r="AP134" s="14">
        <f>Ohj.lask.[[#This Row],[Jaettava € 1]]+Ohj.lask.[[#This Row],[Harkinnanvarainen korotus 9, €]]</f>
        <v>17868014</v>
      </c>
      <c r="AQ134" s="105">
        <f>Ohj.lask.[[#This Row],[Jaettava € 2]]</f>
        <v>5703789</v>
      </c>
      <c r="AR134" s="14">
        <f>Ohj.lask.[[#This Row],[Jaettava € 3]]+Ohj.lask.[[#This Row],[Jaettava € 4]]+Ohj.lask.[[#This Row],[Jaettava € 5]]+Ohj.lask.[[#This Row],[Jaettava € 6]]+Ohj.lask.[[#This Row],[Jaettava € 7]]</f>
        <v>2545267</v>
      </c>
      <c r="AS134" s="37">
        <f>Ohj.lask.[[#This Row],[Jaettava € 8]]+Ohj.lask.[[#This Row],[Harkinnanvarainen korotus 9, €]]</f>
        <v>26117070</v>
      </c>
      <c r="AT134" s="37">
        <v>0</v>
      </c>
      <c r="AU134" s="20">
        <f>Ohj.lask.[[#This Row],[Perus-, suoritus- ja vaikuttavuusrahoitus yhteensä, €]]+Ohj.lask.[[#This Row],[Alv-korvaus, €]]</f>
        <v>26117070</v>
      </c>
    </row>
    <row r="135" spans="1:47" ht="13" x14ac:dyDescent="0.3">
      <c r="A135" s="7" t="s">
        <v>198</v>
      </c>
      <c r="B135" s="11" t="s">
        <v>122</v>
      </c>
      <c r="C135" s="11" t="s">
        <v>189</v>
      </c>
      <c r="D135" s="11" t="s">
        <v>336</v>
      </c>
      <c r="E135" s="11" t="s">
        <v>388</v>
      </c>
      <c r="F135" s="109">
        <v>994</v>
      </c>
      <c r="G135" s="114">
        <f>Ohj.lask.[[#This Row],[Tavoitteelliset opiskelija-vuodet]]-Ohj.lask.[[#This Row],[Järjestämisluvan opisk.vuosien vähimmäismäärä]]</f>
        <v>45</v>
      </c>
      <c r="H135" s="36">
        <v>1039</v>
      </c>
      <c r="I135" s="12">
        <f>IFERROR(VLOOKUP($A135,'2.1 Toteut. op.vuodet'!$A:$T,COLUMN('2.1 Toteut. op.vuodet'!S:S),FALSE),0)</f>
        <v>1.0831494323781268</v>
      </c>
      <c r="J135" s="78">
        <f t="shared" si="4"/>
        <v>1125.4000000000001</v>
      </c>
      <c r="K135" s="13">
        <f>IFERROR(Ohj.lask.[[#This Row],[Painotetut opiskelija-vuodet]]/Ohj.lask.[[#Totals],[Painotetut opiskelija-vuodet]],0)</f>
        <v>5.2096256328024015E-3</v>
      </c>
      <c r="L135" s="14">
        <f>ROUND(IFERROR('1.1 Jakotaulu'!L$13*Ohj.lask.[[#This Row],[%-osuus 1]],0),0)</f>
        <v>7312418</v>
      </c>
      <c r="M135" s="157">
        <f>IFERROR(ROUND(VLOOKUP($A135,'2.2 Tutk. ja osien pain. pist.'!$A:$Q,COLUMN('2.2 Tutk. ja osien pain. pist.'!O:O),FALSE),1),0)</f>
        <v>82535.100000000006</v>
      </c>
      <c r="N135" s="13">
        <f>IFERROR(Ohj.lask.[[#This Row],[Painotetut pisteet 2]]/Ohj.lask.[[#Totals],[Painotetut pisteet 2]],0)</f>
        <v>5.3149687149735541E-3</v>
      </c>
      <c r="O135" s="20">
        <f>ROUND(IFERROR('1.1 Jakotaulu'!K$14*Ohj.lask.[[#This Row],[%-osuus 2]],0),0)</f>
        <v>2176916</v>
      </c>
      <c r="P135" s="158">
        <f>IFERROR(ROUND(VLOOKUP($A135,'2.3 Työll. ja jatko-opisk.'!$A:$Z,COLUMN('2.3 Työll. ja jatko-opisk.'!M:M),FALSE),1),0)</f>
        <v>1758.6</v>
      </c>
      <c r="Q135" s="13">
        <f>IFERROR(Ohj.lask.[[#This Row],[Painotetut pisteet 3]]/Ohj.lask.[[#Totals],[Painotetut pisteet 3]],0)</f>
        <v>5.6466318159093991E-3</v>
      </c>
      <c r="R135" s="14">
        <f>ROUND(IFERROR('1.1 Jakotaulu'!L$16*Ohj.lask.[[#This Row],[%-osuus 3]],0),0)</f>
        <v>809466</v>
      </c>
      <c r="S135" s="157">
        <f>IFERROR(ROUND(VLOOKUP($A135,'2.4 Aloittaneet palaute'!$A:$J,COLUMN('2.4 Aloittaneet palaute'!I:I),FALSE),1),0)</f>
        <v>10969.1</v>
      </c>
      <c r="T135" s="17">
        <f>IFERROR(Ohj.lask.[[#This Row],[Painotetut pisteet 4]]/Ohj.lask.[[#Totals],[Painotetut pisteet 4]],0)</f>
        <v>6.9935388935147939E-3</v>
      </c>
      <c r="U135" s="20">
        <f>ROUND(IFERROR('1.1 Jakotaulu'!M$18*Ohj.lask.[[#This Row],[%-osuus 4]],0),0)</f>
        <v>53708</v>
      </c>
      <c r="V135" s="157">
        <f>IFERROR(ROUND(VLOOKUP($A135,'2.5 Päättäneet palaute'!$A:$Z,COLUMN('2.5 Päättäneet palaute'!Y:Y),FALSE),1),0)</f>
        <v>58684.3</v>
      </c>
      <c r="W135" s="17">
        <f>IFERROR(Ohj.lask.[[#This Row],[Painotetut pisteet 5]]/Ohj.lask.[[#Totals],[Painotetut pisteet 5]],0)</f>
        <v>6.1668078528900813E-3</v>
      </c>
      <c r="X135" s="20">
        <f>ROUND(IFERROR('1.1 Jakotaulu'!M$19*Ohj.lask.[[#This Row],[%-osuus 5]],0),0)</f>
        <v>142077</v>
      </c>
      <c r="Y135" s="157">
        <f>IFERROR(ROUND(VLOOKUP($A135,'2.6 Työpaikkaohjaajakysely'!A:I,COLUMN('2.6 Työpaikkaohjaajakysely'!H:H),FALSE),1),0)</f>
        <v>3038983.2</v>
      </c>
      <c r="Z135" s="13">
        <f>IFERROR(Ohj.lask.[[#This Row],[Painotetut pisteet 6]]/Ohj.lask.[[#Totals],[Painotetut pisteet 6]],0)</f>
        <v>7.6056674395464019E-3</v>
      </c>
      <c r="AA135" s="20">
        <f>ROUND(IFERROR('1.1 Jakotaulu'!M$21*Ohj.lask.[[#This Row],[%-osuus 6]],0),0)</f>
        <v>175227</v>
      </c>
      <c r="AB135" s="157">
        <f>IFERROR(ROUND(VLOOKUP($A135,'2.7 Työpaikkakysely'!A:G,COLUMN('2.7 Työpaikkakysely'!F:F),FALSE),1),0)</f>
        <v>1364267</v>
      </c>
      <c r="AC135" s="13">
        <f>IFERROR(Ohj.lask.[[#This Row],[Pisteet 7]]/Ohj.lask.[[#Totals],[Pisteet 7]],0)</f>
        <v>7.1366126257723156E-3</v>
      </c>
      <c r="AD135" s="20">
        <f>ROUND(IFERROR('1.1 Jakotaulu'!M$22*Ohj.lask.[[#This Row],[%-osuus 7]],0),0)</f>
        <v>54807</v>
      </c>
      <c r="AE135" s="16">
        <f>IFERROR(Ohj.lask.[[#This Row],[Jaettava € 8]]/Ohj.lask.[[#Totals],[Jaettava € 8]],"")</f>
        <v>5.3144554855800944E-3</v>
      </c>
      <c r="AF135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10724619</v>
      </c>
      <c r="AG135" s="105">
        <v>0</v>
      </c>
      <c r="AH135" s="105">
        <v>0</v>
      </c>
      <c r="AI135" s="105">
        <v>0</v>
      </c>
      <c r="AJ135" s="105">
        <v>0</v>
      </c>
      <c r="AK135" s="105">
        <v>0</v>
      </c>
      <c r="AL135" s="105">
        <v>0</v>
      </c>
      <c r="AM135" s="105">
        <v>15000</v>
      </c>
      <c r="AN135" s="105">
        <v>0</v>
      </c>
      <c r="AO135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15000</v>
      </c>
      <c r="AP135" s="14">
        <f>Ohj.lask.[[#This Row],[Jaettava € 1]]+Ohj.lask.[[#This Row],[Harkinnanvarainen korotus 9, €]]</f>
        <v>7327418</v>
      </c>
      <c r="AQ135" s="105">
        <f>Ohj.lask.[[#This Row],[Jaettava € 2]]</f>
        <v>2176916</v>
      </c>
      <c r="AR135" s="14">
        <f>Ohj.lask.[[#This Row],[Jaettava € 3]]+Ohj.lask.[[#This Row],[Jaettava € 4]]+Ohj.lask.[[#This Row],[Jaettava € 5]]+Ohj.lask.[[#This Row],[Jaettava € 6]]+Ohj.lask.[[#This Row],[Jaettava € 7]]</f>
        <v>1235285</v>
      </c>
      <c r="AS135" s="37">
        <f>Ohj.lask.[[#This Row],[Jaettava € 8]]+Ohj.lask.[[#This Row],[Harkinnanvarainen korotus 9, €]]</f>
        <v>10739619</v>
      </c>
      <c r="AT135" s="37">
        <v>0</v>
      </c>
      <c r="AU135" s="20">
        <f>Ohj.lask.[[#This Row],[Perus-, suoritus- ja vaikuttavuusrahoitus yhteensä, €]]+Ohj.lask.[[#This Row],[Alv-korvaus, €]]</f>
        <v>10739619</v>
      </c>
    </row>
    <row r="136" spans="1:47" ht="13" x14ac:dyDescent="0.3">
      <c r="A136" s="7" t="s">
        <v>197</v>
      </c>
      <c r="B136" s="11" t="s">
        <v>123</v>
      </c>
      <c r="C136" s="11" t="s">
        <v>196</v>
      </c>
      <c r="D136" s="11" t="s">
        <v>337</v>
      </c>
      <c r="E136" s="11" t="s">
        <v>388</v>
      </c>
      <c r="F136" s="109">
        <v>17</v>
      </c>
      <c r="G136" s="114">
        <f>Ohj.lask.[[#This Row],[Tavoitteelliset opiskelija-vuodet]]-Ohj.lask.[[#This Row],[Järjestämisluvan opisk.vuosien vähimmäismäärä]]</f>
        <v>0</v>
      </c>
      <c r="H136" s="36">
        <v>17</v>
      </c>
      <c r="I136" s="12">
        <f>IFERROR(VLOOKUP($A136,'2.1 Toteut. op.vuodet'!$A:$T,COLUMN('2.1 Toteut. op.vuodet'!S:S),FALSE),0)</f>
        <v>0.72539999999999805</v>
      </c>
      <c r="J136" s="78">
        <f t="shared" si="4"/>
        <v>12.3</v>
      </c>
      <c r="K136" s="13">
        <f>IFERROR(Ohj.lask.[[#This Row],[Painotetut opiskelija-vuodet]]/Ohj.lask.[[#Totals],[Painotetut opiskelija-vuodet]],0)</f>
        <v>5.693832884616095E-5</v>
      </c>
      <c r="L136" s="14">
        <f>ROUND(IFERROR('1.1 Jakotaulu'!L$13*Ohj.lask.[[#This Row],[%-osuus 1]],0),0)</f>
        <v>79921</v>
      </c>
      <c r="M136" s="157">
        <f>IFERROR(ROUND(VLOOKUP($A136,'2.2 Tutk. ja osien pain. pist.'!$A:$Q,COLUMN('2.2 Tutk. ja osien pain. pist.'!O:O),FALSE),1),0)</f>
        <v>1258.4000000000001</v>
      </c>
      <c r="N136" s="13">
        <f>IFERROR(Ohj.lask.[[#This Row],[Painotetut pisteet 2]]/Ohj.lask.[[#Totals],[Painotetut pisteet 2]],0)</f>
        <v>8.1036512113303561E-5</v>
      </c>
      <c r="O136" s="20">
        <f>ROUND(IFERROR('1.1 Jakotaulu'!K$14*Ohj.lask.[[#This Row],[%-osuus 2]],0),0)</f>
        <v>33191</v>
      </c>
      <c r="P136" s="158">
        <f>IFERROR(ROUND(VLOOKUP($A136,'2.3 Työll. ja jatko-opisk.'!$A:$Z,COLUMN('2.3 Työll. ja jatko-opisk.'!M:M),FALSE),1),0)</f>
        <v>62.7</v>
      </c>
      <c r="Q136" s="13">
        <f>IFERROR(Ohj.lask.[[#This Row],[Painotetut pisteet 3]]/Ohj.lask.[[#Totals],[Painotetut pisteet 3]],0)</f>
        <v>2.0132140046486943E-4</v>
      </c>
      <c r="R136" s="14">
        <f>ROUND(IFERROR('1.1 Jakotaulu'!L$16*Ohj.lask.[[#This Row],[%-osuus 3]],0),0)</f>
        <v>28860</v>
      </c>
      <c r="S136" s="157">
        <f>IFERROR(ROUND(VLOOKUP($A136,'2.4 Aloittaneet palaute'!$A:$J,COLUMN('2.4 Aloittaneet palaute'!I:I),FALSE),1),0)</f>
        <v>229.7</v>
      </c>
      <c r="T136" s="17">
        <f>IFERROR(Ohj.lask.[[#This Row],[Painotetut pisteet 4]]/Ohj.lask.[[#Totals],[Painotetut pisteet 4]],0)</f>
        <v>1.4644919672902499E-4</v>
      </c>
      <c r="U136" s="20">
        <f>ROUND(IFERROR('1.1 Jakotaulu'!M$18*Ohj.lask.[[#This Row],[%-osuus 4]],0),0)</f>
        <v>1125</v>
      </c>
      <c r="V136" s="157">
        <f>IFERROR(ROUND(VLOOKUP($A136,'2.5 Päättäneet palaute'!$A:$Z,COLUMN('2.5 Päättäneet palaute'!Y:Y),FALSE),1),0)</f>
        <v>1956</v>
      </c>
      <c r="W136" s="17">
        <f>IFERROR(Ohj.lask.[[#This Row],[Painotetut pisteet 5]]/Ohj.lask.[[#Totals],[Painotetut pisteet 5]],0)</f>
        <v>2.0554519965736999E-4</v>
      </c>
      <c r="X136" s="20">
        <f>ROUND(IFERROR('1.1 Jakotaulu'!M$19*Ohj.lask.[[#This Row],[%-osuus 5]],0),0)</f>
        <v>4736</v>
      </c>
      <c r="Y136" s="157">
        <f>IFERROR(ROUND(VLOOKUP($A136,'2.6 Työpaikkaohjaajakysely'!A:I,COLUMN('2.6 Työpaikkaohjaajakysely'!H:H),FALSE),1),0)</f>
        <v>32145</v>
      </c>
      <c r="Z136" s="13">
        <f>IFERROR(Ohj.lask.[[#This Row],[Painotetut pisteet 6]]/Ohj.lask.[[#Totals],[Painotetut pisteet 6]],0)</f>
        <v>8.0449335766061183E-5</v>
      </c>
      <c r="AA136" s="20">
        <f>ROUND(IFERROR('1.1 Jakotaulu'!M$21*Ohj.lask.[[#This Row],[%-osuus 6]],0),0)</f>
        <v>1853</v>
      </c>
      <c r="AB136" s="157">
        <f>IFERROR(ROUND(VLOOKUP($A136,'2.7 Työpaikkakysely'!A:G,COLUMN('2.7 Työpaikkakysely'!F:F),FALSE),1),0)</f>
        <v>12223</v>
      </c>
      <c r="AC136" s="13">
        <f>IFERROR(Ohj.lask.[[#This Row],[Pisteet 7]]/Ohj.lask.[[#Totals],[Pisteet 7]],0)</f>
        <v>6.3939695180499875E-5</v>
      </c>
      <c r="AD136" s="20">
        <f>ROUND(IFERROR('1.1 Jakotaulu'!M$22*Ohj.lask.[[#This Row],[%-osuus 7]],0),0)</f>
        <v>491</v>
      </c>
      <c r="AE136" s="16">
        <f>IFERROR(Ohj.lask.[[#This Row],[Jaettava € 8]]/Ohj.lask.[[#Totals],[Jaettava € 8]],"")</f>
        <v>7.4418399521508573E-5</v>
      </c>
      <c r="AF136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150177</v>
      </c>
      <c r="AG136" s="105">
        <v>0</v>
      </c>
      <c r="AH136" s="105">
        <v>0</v>
      </c>
      <c r="AI136" s="105">
        <v>0</v>
      </c>
      <c r="AJ136" s="105">
        <v>0</v>
      </c>
      <c r="AK136" s="105">
        <v>0</v>
      </c>
      <c r="AL136" s="105">
        <v>0</v>
      </c>
      <c r="AM136" s="105">
        <v>0</v>
      </c>
      <c r="AN136" s="105">
        <v>0</v>
      </c>
      <c r="AO136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0</v>
      </c>
      <c r="AP136" s="14">
        <f>Ohj.lask.[[#This Row],[Jaettava € 1]]+Ohj.lask.[[#This Row],[Harkinnanvarainen korotus 9, €]]</f>
        <v>79921</v>
      </c>
      <c r="AQ136" s="105">
        <f>Ohj.lask.[[#This Row],[Jaettava € 2]]</f>
        <v>33191</v>
      </c>
      <c r="AR136" s="14">
        <f>Ohj.lask.[[#This Row],[Jaettava € 3]]+Ohj.lask.[[#This Row],[Jaettava € 4]]+Ohj.lask.[[#This Row],[Jaettava € 5]]+Ohj.lask.[[#This Row],[Jaettava € 6]]+Ohj.lask.[[#This Row],[Jaettava € 7]]</f>
        <v>37065</v>
      </c>
      <c r="AS136" s="37">
        <f>Ohj.lask.[[#This Row],[Jaettava € 8]]+Ohj.lask.[[#This Row],[Harkinnanvarainen korotus 9, €]]</f>
        <v>150177</v>
      </c>
      <c r="AT136" s="37">
        <v>0</v>
      </c>
      <c r="AU136" s="20">
        <f>Ohj.lask.[[#This Row],[Perus-, suoritus- ja vaikuttavuusrahoitus yhteensä, €]]+Ohj.lask.[[#This Row],[Alv-korvaus, €]]</f>
        <v>150177</v>
      </c>
    </row>
    <row r="137" spans="1:47" ht="13" x14ac:dyDescent="0.3">
      <c r="A137" s="7" t="s">
        <v>191</v>
      </c>
      <c r="B137" s="11" t="s">
        <v>125</v>
      </c>
      <c r="C137" s="11" t="s">
        <v>180</v>
      </c>
      <c r="D137" s="11" t="s">
        <v>338</v>
      </c>
      <c r="E137" s="11" t="s">
        <v>388</v>
      </c>
      <c r="F137" s="109">
        <v>3063</v>
      </c>
      <c r="G137" s="114">
        <f>Ohj.lask.[[#This Row],[Tavoitteelliset opiskelija-vuodet]]-Ohj.lask.[[#This Row],[Järjestämisluvan opisk.vuosien vähimmäismäärä]]</f>
        <v>551</v>
      </c>
      <c r="H137" s="36">
        <v>3614</v>
      </c>
      <c r="I137" s="12">
        <f>IFERROR(VLOOKUP($A137,'2.1 Toteut. op.vuodet'!$A:$T,COLUMN('2.1 Toteut. op.vuodet'!S:S),FALSE),0)</f>
        <v>1.0967238061052715</v>
      </c>
      <c r="J137" s="78">
        <f t="shared" si="4"/>
        <v>3963.6</v>
      </c>
      <c r="K137" s="13">
        <f>IFERROR(Ohj.lask.[[#This Row],[Painotetut opiskelija-vuodet]]/Ohj.lask.[[#Totals],[Painotetut opiskelija-vuodet]],0)</f>
        <v>1.8348029285743375E-2</v>
      </c>
      <c r="L137" s="14">
        <f>ROUND(IFERROR('1.1 Jakotaulu'!L$13*Ohj.lask.[[#This Row],[%-osuus 1]],0),0)</f>
        <v>25753954</v>
      </c>
      <c r="M137" s="157">
        <f>IFERROR(ROUND(VLOOKUP($A137,'2.2 Tutk. ja osien pain. pist.'!$A:$Q,COLUMN('2.2 Tutk. ja osien pain. pist.'!O:O),FALSE),1),0)</f>
        <v>269414</v>
      </c>
      <c r="N137" s="13">
        <f>IFERROR(Ohj.lask.[[#This Row],[Painotetut pisteet 2]]/Ohj.lask.[[#Totals],[Painotetut pisteet 2]],0)</f>
        <v>1.7349309340824511E-2</v>
      </c>
      <c r="O137" s="20">
        <f>ROUND(IFERROR('1.1 Jakotaulu'!K$14*Ohj.lask.[[#This Row],[%-osuus 2]],0),0)</f>
        <v>7105965</v>
      </c>
      <c r="P137" s="158">
        <f>IFERROR(ROUND(VLOOKUP($A137,'2.3 Työll. ja jatko-opisk.'!$A:$Z,COLUMN('2.3 Työll. ja jatko-opisk.'!M:M),FALSE),1),0)</f>
        <v>6141</v>
      </c>
      <c r="Q137" s="13">
        <f>IFERROR(Ohj.lask.[[#This Row],[Painotetut pisteet 3]]/Ohj.lask.[[#Totals],[Painotetut pisteet 3]],0)</f>
        <v>1.9717938122085537E-2</v>
      </c>
      <c r="R137" s="14">
        <f>ROUND(IFERROR('1.1 Jakotaulu'!L$16*Ohj.lask.[[#This Row],[%-osuus 3]],0),0)</f>
        <v>2826639</v>
      </c>
      <c r="S137" s="157">
        <f>IFERROR(ROUND(VLOOKUP($A137,'2.4 Aloittaneet palaute'!$A:$J,COLUMN('2.4 Aloittaneet palaute'!I:I),FALSE),1),0)</f>
        <v>32316.400000000001</v>
      </c>
      <c r="T137" s="17">
        <f>IFERROR(Ohj.lask.[[#This Row],[Painotetut pisteet 4]]/Ohj.lask.[[#Totals],[Painotetut pisteet 4]],0)</f>
        <v>2.060387819405252E-2</v>
      </c>
      <c r="U137" s="20">
        <f>ROUND(IFERROR('1.1 Jakotaulu'!M$18*Ohj.lask.[[#This Row],[%-osuus 4]],0),0)</f>
        <v>158231</v>
      </c>
      <c r="V137" s="157">
        <f>IFERROR(ROUND(VLOOKUP($A137,'2.5 Päättäneet palaute'!$A:$Z,COLUMN('2.5 Päättäneet palaute'!Y:Y),FALSE),1),0)</f>
        <v>117149.5</v>
      </c>
      <c r="W137" s="17">
        <f>IFERROR(Ohj.lask.[[#This Row],[Painotetut pisteet 5]]/Ohj.lask.[[#Totals],[Painotetut pisteet 5]],0)</f>
        <v>1.2310591701053714E-2</v>
      </c>
      <c r="X137" s="20">
        <f>ROUND(IFERROR('1.1 Jakotaulu'!M$19*Ohj.lask.[[#This Row],[%-osuus 5]],0),0)</f>
        <v>283624</v>
      </c>
      <c r="Y137" s="157">
        <f>IFERROR(ROUND(VLOOKUP($A137,'2.6 Työpaikkaohjaajakysely'!A:I,COLUMN('2.6 Työpaikkaohjaajakysely'!H:H),FALSE),1),0)</f>
        <v>931306.8</v>
      </c>
      <c r="Z137" s="13">
        <f>IFERROR(Ohj.lask.[[#This Row],[Painotetut pisteet 6]]/Ohj.lask.[[#Totals],[Painotetut pisteet 6]],0)</f>
        <v>2.330782810838886E-3</v>
      </c>
      <c r="AA137" s="20">
        <f>ROUND(IFERROR('1.1 Jakotaulu'!M$21*Ohj.lask.[[#This Row],[%-osuus 6]],0),0)</f>
        <v>53699</v>
      </c>
      <c r="AB137" s="157">
        <f>IFERROR(ROUND(VLOOKUP($A137,'2.7 Työpaikkakysely'!A:G,COLUMN('2.7 Työpaikkakysely'!F:F),FALSE),1),0)</f>
        <v>142688</v>
      </c>
      <c r="AC137" s="13">
        <f>IFERROR(Ohj.lask.[[#This Row],[Pisteet 7]]/Ohj.lask.[[#Totals],[Pisteet 7]],0)</f>
        <v>7.4641472845579366E-4</v>
      </c>
      <c r="AD137" s="20">
        <f>ROUND(IFERROR('1.1 Jakotaulu'!M$22*Ohj.lask.[[#This Row],[%-osuus 7]],0),0)</f>
        <v>5732</v>
      </c>
      <c r="AE137" s="16">
        <f>IFERROR(Ohj.lask.[[#This Row],[Jaettava € 8]]/Ohj.lask.[[#Totals],[Jaettava € 8]],"")</f>
        <v>1.7932449260632633E-2</v>
      </c>
      <c r="AF137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36187844</v>
      </c>
      <c r="AG137" s="105">
        <v>0</v>
      </c>
      <c r="AH137" s="105">
        <v>0</v>
      </c>
      <c r="AI137" s="105">
        <v>0</v>
      </c>
      <c r="AJ137" s="105">
        <v>0</v>
      </c>
      <c r="AK137" s="105">
        <v>0</v>
      </c>
      <c r="AL137" s="105">
        <v>0</v>
      </c>
      <c r="AM137" s="105">
        <v>0</v>
      </c>
      <c r="AN137" s="105">
        <v>0</v>
      </c>
      <c r="AO137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0</v>
      </c>
      <c r="AP137" s="14">
        <f>Ohj.lask.[[#This Row],[Jaettava € 1]]+Ohj.lask.[[#This Row],[Harkinnanvarainen korotus 9, €]]</f>
        <v>25753954</v>
      </c>
      <c r="AQ137" s="105">
        <f>Ohj.lask.[[#This Row],[Jaettava € 2]]</f>
        <v>7105965</v>
      </c>
      <c r="AR137" s="14">
        <f>Ohj.lask.[[#This Row],[Jaettava € 3]]+Ohj.lask.[[#This Row],[Jaettava € 4]]+Ohj.lask.[[#This Row],[Jaettava € 5]]+Ohj.lask.[[#This Row],[Jaettava € 6]]+Ohj.lask.[[#This Row],[Jaettava € 7]]</f>
        <v>3327925</v>
      </c>
      <c r="AS137" s="37">
        <f>Ohj.lask.[[#This Row],[Jaettava € 8]]+Ohj.lask.[[#This Row],[Harkinnanvarainen korotus 9, €]]</f>
        <v>36187844</v>
      </c>
      <c r="AT137" s="37">
        <v>0</v>
      </c>
      <c r="AU137" s="20">
        <f>Ohj.lask.[[#This Row],[Perus-, suoritus- ja vaikuttavuusrahoitus yhteensä, €]]+Ohj.lask.[[#This Row],[Alv-korvaus, €]]</f>
        <v>36187844</v>
      </c>
    </row>
    <row r="138" spans="1:47" ht="13" x14ac:dyDescent="0.3">
      <c r="A138" s="7" t="s">
        <v>190</v>
      </c>
      <c r="B138" s="11" t="s">
        <v>126</v>
      </c>
      <c r="C138" s="11" t="s">
        <v>189</v>
      </c>
      <c r="D138" s="11" t="s">
        <v>337</v>
      </c>
      <c r="E138" s="11" t="s">
        <v>388</v>
      </c>
      <c r="F138" s="109">
        <v>128</v>
      </c>
      <c r="G138" s="114">
        <f>Ohj.lask.[[#This Row],[Tavoitteelliset opiskelija-vuodet]]-Ohj.lask.[[#This Row],[Järjestämisluvan opisk.vuosien vähimmäismäärä]]</f>
        <v>51</v>
      </c>
      <c r="H138" s="36">
        <v>179</v>
      </c>
      <c r="I138" s="12">
        <f>IFERROR(VLOOKUP($A138,'2.1 Toteut. op.vuodet'!$A:$T,COLUMN('2.1 Toteut. op.vuodet'!S:S),FALSE),0)</f>
        <v>1.4024219491024437</v>
      </c>
      <c r="J138" s="78">
        <f t="shared" si="4"/>
        <v>251</v>
      </c>
      <c r="K138" s="13">
        <f>IFERROR(Ohj.lask.[[#This Row],[Painotetut opiskelija-vuodet]]/Ohj.lask.[[#Totals],[Painotetut opiskelija-vuodet]],0)</f>
        <v>1.1619122390558046E-3</v>
      </c>
      <c r="L138" s="14">
        <f>ROUND(IFERROR('1.1 Jakotaulu'!L$13*Ohj.lask.[[#This Row],[%-osuus 1]],0),0)</f>
        <v>1630902</v>
      </c>
      <c r="M138" s="157">
        <f>IFERROR(ROUND(VLOOKUP($A138,'2.2 Tutk. ja osien pain. pist.'!$A:$Q,COLUMN('2.2 Tutk. ja osien pain. pist.'!O:O),FALSE),1),0)</f>
        <v>23336.400000000001</v>
      </c>
      <c r="N138" s="13">
        <f>IFERROR(Ohj.lask.[[#This Row],[Painotetut pisteet 2]]/Ohj.lask.[[#Totals],[Painotetut pisteet 2]],0)</f>
        <v>1.5027816761609164E-3</v>
      </c>
      <c r="O138" s="20">
        <f>ROUND(IFERROR('1.1 Jakotaulu'!K$14*Ohj.lask.[[#This Row],[%-osuus 2]],0),0)</f>
        <v>615512</v>
      </c>
      <c r="P138" s="158">
        <f>IFERROR(ROUND(VLOOKUP($A138,'2.3 Työll. ja jatko-opisk.'!$A:$Z,COLUMN('2.3 Työll. ja jatko-opisk.'!M:M),FALSE),1),0)</f>
        <v>427.6</v>
      </c>
      <c r="Q138" s="13">
        <f>IFERROR(Ohj.lask.[[#This Row],[Painotetut pisteet 3]]/Ohj.lask.[[#Totals],[Painotetut pisteet 3]],0)</f>
        <v>1.3729669990235752E-3</v>
      </c>
      <c r="R138" s="14">
        <f>ROUND(IFERROR('1.1 Jakotaulu'!L$16*Ohj.lask.[[#This Row],[%-osuus 3]],0),0)</f>
        <v>196820</v>
      </c>
      <c r="S138" s="157">
        <f>IFERROR(ROUND(VLOOKUP($A138,'2.4 Aloittaneet palaute'!$A:$J,COLUMN('2.4 Aloittaneet palaute'!I:I),FALSE),1),0)</f>
        <v>2288.6</v>
      </c>
      <c r="T138" s="17">
        <f>IFERROR(Ohj.lask.[[#This Row],[Painotetut pisteet 4]]/Ohj.lask.[[#Totals],[Painotetut pisteet 4]],0)</f>
        <v>1.4591364024120444E-3</v>
      </c>
      <c r="U138" s="20">
        <f>ROUND(IFERROR('1.1 Jakotaulu'!M$18*Ohj.lask.[[#This Row],[%-osuus 4]],0),0)</f>
        <v>11206</v>
      </c>
      <c r="V138" s="157">
        <f>IFERROR(ROUND(VLOOKUP($A138,'2.5 Päättäneet palaute'!$A:$Z,COLUMN('2.5 Päättäneet palaute'!Y:Y),FALSE),1),0)</f>
        <v>15549.8</v>
      </c>
      <c r="W138" s="17">
        <f>IFERROR(Ohj.lask.[[#This Row],[Painotetut pisteet 5]]/Ohj.lask.[[#Totals],[Painotetut pisteet 5]],0)</f>
        <v>1.6340423034929303E-3</v>
      </c>
      <c r="X138" s="20">
        <f>ROUND(IFERROR('1.1 Jakotaulu'!M$19*Ohj.lask.[[#This Row],[%-osuus 5]],0),0)</f>
        <v>37647</v>
      </c>
      <c r="Y138" s="157">
        <f>IFERROR(ROUND(VLOOKUP($A138,'2.6 Työpaikkaohjaajakysely'!A:I,COLUMN('2.6 Työpaikkaohjaajakysely'!H:H),FALSE),1),0)</f>
        <v>617269.80000000005</v>
      </c>
      <c r="Z138" s="13">
        <f>IFERROR(Ohj.lask.[[#This Row],[Painotetut pisteet 6]]/Ohj.lask.[[#Totals],[Painotetut pisteet 6]],0)</f>
        <v>1.5448419784865278E-3</v>
      </c>
      <c r="AA138" s="20">
        <f>ROUND(IFERROR('1.1 Jakotaulu'!M$21*Ohj.lask.[[#This Row],[%-osuus 6]],0),0)</f>
        <v>35592</v>
      </c>
      <c r="AB138" s="157">
        <f>IFERROR(ROUND(VLOOKUP($A138,'2.7 Työpaikkakysely'!A:G,COLUMN('2.7 Työpaikkakysely'!F:F),FALSE),1),0)</f>
        <v>357840</v>
      </c>
      <c r="AC138" s="13">
        <f>IFERROR(Ohj.lask.[[#This Row],[Pisteet 7]]/Ohj.lask.[[#Totals],[Pisteet 7]],0)</f>
        <v>1.8718956494633129E-3</v>
      </c>
      <c r="AD138" s="20">
        <f>ROUND(IFERROR('1.1 Jakotaulu'!M$22*Ohj.lask.[[#This Row],[%-osuus 7]],0),0)</f>
        <v>14376</v>
      </c>
      <c r="AE138" s="16">
        <f>IFERROR(Ohj.lask.[[#This Row],[Jaettava € 8]]/Ohj.lask.[[#Totals],[Jaettava € 8]],"")</f>
        <v>1.2596846693944377E-3</v>
      </c>
      <c r="AF138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2542055</v>
      </c>
      <c r="AG138" s="105">
        <v>0</v>
      </c>
      <c r="AH138" s="105">
        <v>0</v>
      </c>
      <c r="AI138" s="105">
        <v>0</v>
      </c>
      <c r="AJ138" s="105">
        <v>0</v>
      </c>
      <c r="AK138" s="105">
        <v>0</v>
      </c>
      <c r="AL138" s="105">
        <v>0</v>
      </c>
      <c r="AM138" s="105">
        <v>5000</v>
      </c>
      <c r="AN138" s="105">
        <v>0</v>
      </c>
      <c r="AO138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5000</v>
      </c>
      <c r="AP138" s="14">
        <f>Ohj.lask.[[#This Row],[Jaettava € 1]]+Ohj.lask.[[#This Row],[Harkinnanvarainen korotus 9, €]]</f>
        <v>1635902</v>
      </c>
      <c r="AQ138" s="105">
        <f>Ohj.lask.[[#This Row],[Jaettava € 2]]</f>
        <v>615512</v>
      </c>
      <c r="AR138" s="14">
        <f>Ohj.lask.[[#This Row],[Jaettava € 3]]+Ohj.lask.[[#This Row],[Jaettava € 4]]+Ohj.lask.[[#This Row],[Jaettava € 5]]+Ohj.lask.[[#This Row],[Jaettava € 6]]+Ohj.lask.[[#This Row],[Jaettava € 7]]</f>
        <v>295641</v>
      </c>
      <c r="AS138" s="37">
        <f>Ohj.lask.[[#This Row],[Jaettava € 8]]+Ohj.lask.[[#This Row],[Harkinnanvarainen korotus 9, €]]</f>
        <v>2547055</v>
      </c>
      <c r="AT138" s="37">
        <v>140974</v>
      </c>
      <c r="AU138" s="20">
        <f>Ohj.lask.[[#This Row],[Perus-, suoritus- ja vaikuttavuusrahoitus yhteensä, €]]+Ohj.lask.[[#This Row],[Alv-korvaus, €]]</f>
        <v>2688029</v>
      </c>
    </row>
    <row r="139" spans="1:47" ht="13" x14ac:dyDescent="0.3">
      <c r="A139" s="7" t="s">
        <v>185</v>
      </c>
      <c r="B139" s="11" t="s">
        <v>127</v>
      </c>
      <c r="C139" s="11" t="s">
        <v>184</v>
      </c>
      <c r="D139" s="11" t="s">
        <v>336</v>
      </c>
      <c r="E139" s="11" t="s">
        <v>388</v>
      </c>
      <c r="F139" s="109">
        <v>1320</v>
      </c>
      <c r="G139" s="114">
        <f>Ohj.lask.[[#This Row],[Tavoitteelliset opiskelija-vuodet]]-Ohj.lask.[[#This Row],[Järjestämisluvan opisk.vuosien vähimmäismäärä]]</f>
        <v>244</v>
      </c>
      <c r="H139" s="36">
        <v>1564</v>
      </c>
      <c r="I139" s="12">
        <f>IFERROR(VLOOKUP($A139,'2.1 Toteut. op.vuodet'!$A:$T,COLUMN('2.1 Toteut. op.vuodet'!S:S),FALSE),0)</f>
        <v>1.2600618927446077</v>
      </c>
      <c r="J139" s="78">
        <f t="shared" si="4"/>
        <v>1970.7</v>
      </c>
      <c r="K139" s="13">
        <f>IFERROR(Ohj.lask.[[#This Row],[Painotetut opiskelija-vuodet]]/Ohj.lask.[[#Totals],[Painotetut opiskelija-vuodet]],0)</f>
        <v>9.1226312729373489E-3</v>
      </c>
      <c r="L139" s="14">
        <f>ROUND(IFERROR('1.1 Jakotaulu'!L$13*Ohj.lask.[[#This Row],[%-osuus 1]],0),0)</f>
        <v>12804854</v>
      </c>
      <c r="M139" s="157">
        <f>IFERROR(ROUND(VLOOKUP($A139,'2.2 Tutk. ja osien pain. pist.'!$A:$Q,COLUMN('2.2 Tutk. ja osien pain. pist.'!O:O),FALSE),1),0)</f>
        <v>151873</v>
      </c>
      <c r="N139" s="13">
        <f>IFERROR(Ohj.lask.[[#This Row],[Painotetut pisteet 2]]/Ohj.lask.[[#Totals],[Painotetut pisteet 2]],0)</f>
        <v>9.7800843962045064E-3</v>
      </c>
      <c r="O139" s="20">
        <f>ROUND(IFERROR('1.1 Jakotaulu'!K$14*Ohj.lask.[[#This Row],[%-osuus 2]],0),0)</f>
        <v>4005747</v>
      </c>
      <c r="P139" s="158">
        <f>IFERROR(ROUND(VLOOKUP($A139,'2.3 Työll. ja jatko-opisk.'!$A:$Z,COLUMN('2.3 Työll. ja jatko-opisk.'!M:M),FALSE),1),0)</f>
        <v>2610.6</v>
      </c>
      <c r="Q139" s="13">
        <f>IFERROR(Ohj.lask.[[#This Row],[Painotetut pisteet 3]]/Ohj.lask.[[#Totals],[Painotetut pisteet 3]],0)</f>
        <v>8.382291037537291E-3</v>
      </c>
      <c r="R139" s="14">
        <f>ROUND(IFERROR('1.1 Jakotaulu'!L$16*Ohj.lask.[[#This Row],[%-osuus 3]],0),0)</f>
        <v>1201632</v>
      </c>
      <c r="S139" s="157">
        <f>IFERROR(ROUND(VLOOKUP($A139,'2.4 Aloittaneet palaute'!$A:$J,COLUMN('2.4 Aloittaneet palaute'!I:I),FALSE),1),0)</f>
        <v>20219.099999999999</v>
      </c>
      <c r="T139" s="17">
        <f>IFERROR(Ohj.lask.[[#This Row],[Painotetut pisteet 4]]/Ohj.lask.[[#Totals],[Painotetut pisteet 4]],0)</f>
        <v>1.2891035932014929E-2</v>
      </c>
      <c r="U139" s="20">
        <f>ROUND(IFERROR('1.1 Jakotaulu'!M$18*Ohj.lask.[[#This Row],[%-osuus 4]],0),0)</f>
        <v>98999</v>
      </c>
      <c r="V139" s="157">
        <f>IFERROR(ROUND(VLOOKUP($A139,'2.5 Päättäneet palaute'!$A:$Z,COLUMN('2.5 Päättäneet palaute'!Y:Y),FALSE),1),0)</f>
        <v>108284.7</v>
      </c>
      <c r="W139" s="17">
        <f>IFERROR(Ohj.lask.[[#This Row],[Painotetut pisteet 5]]/Ohj.lask.[[#Totals],[Painotetut pisteet 5]],0)</f>
        <v>1.137903899863927E-2</v>
      </c>
      <c r="X139" s="20">
        <f>ROUND(IFERROR('1.1 Jakotaulu'!M$19*Ohj.lask.[[#This Row],[%-osuus 5]],0),0)</f>
        <v>262162</v>
      </c>
      <c r="Y139" s="157">
        <f>IFERROR(ROUND(VLOOKUP($A139,'2.6 Työpaikkaohjaajakysely'!A:I,COLUMN('2.6 Työpaikkaohjaajakysely'!H:H),FALSE),1),0)</f>
        <v>6799120.5999999996</v>
      </c>
      <c r="Z139" s="13">
        <f>IFERROR(Ohj.lask.[[#This Row],[Painotetut pisteet 6]]/Ohj.lask.[[#Totals],[Painotetut pisteet 6]],0)</f>
        <v>1.7016168488515893E-2</v>
      </c>
      <c r="AA139" s="20">
        <f>ROUND(IFERROR('1.1 Jakotaulu'!M$21*Ohj.lask.[[#This Row],[%-osuus 6]],0),0)</f>
        <v>392035</v>
      </c>
      <c r="AB139" s="157">
        <f>IFERROR(ROUND(VLOOKUP($A139,'2.7 Työpaikkakysely'!A:G,COLUMN('2.7 Työpaikkakysely'!F:F),FALSE),1),0)</f>
        <v>6485797.5999999996</v>
      </c>
      <c r="AC139" s="13">
        <f>IFERROR(Ohj.lask.[[#This Row],[Pisteet 7]]/Ohj.lask.[[#Totals],[Pisteet 7]],0)</f>
        <v>3.3927834537054537E-2</v>
      </c>
      <c r="AD139" s="20">
        <f>ROUND(IFERROR('1.1 Jakotaulu'!M$22*Ohj.lask.[[#This Row],[%-osuus 7]],0),0)</f>
        <v>260554</v>
      </c>
      <c r="AE139" s="16">
        <f>IFERROR(Ohj.lask.[[#This Row],[Jaettava € 8]]/Ohj.lask.[[#Totals],[Jaettava € 8]],"")</f>
        <v>9.4280962076977847E-3</v>
      </c>
      <c r="AF139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19025983</v>
      </c>
      <c r="AG139" s="105">
        <v>0</v>
      </c>
      <c r="AH139" s="105">
        <v>0</v>
      </c>
      <c r="AI139" s="105">
        <v>0</v>
      </c>
      <c r="AJ139" s="105">
        <v>0</v>
      </c>
      <c r="AK139" s="105">
        <v>0</v>
      </c>
      <c r="AL139" s="105">
        <v>0</v>
      </c>
      <c r="AM139" s="105">
        <v>30000</v>
      </c>
      <c r="AN139" s="105">
        <v>0</v>
      </c>
      <c r="AO139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30000</v>
      </c>
      <c r="AP139" s="14">
        <f>Ohj.lask.[[#This Row],[Jaettava € 1]]+Ohj.lask.[[#This Row],[Harkinnanvarainen korotus 9, €]]</f>
        <v>12834854</v>
      </c>
      <c r="AQ139" s="105">
        <f>Ohj.lask.[[#This Row],[Jaettava € 2]]</f>
        <v>4005747</v>
      </c>
      <c r="AR139" s="14">
        <f>Ohj.lask.[[#This Row],[Jaettava € 3]]+Ohj.lask.[[#This Row],[Jaettava € 4]]+Ohj.lask.[[#This Row],[Jaettava € 5]]+Ohj.lask.[[#This Row],[Jaettava € 6]]+Ohj.lask.[[#This Row],[Jaettava € 7]]</f>
        <v>2215382</v>
      </c>
      <c r="AS139" s="37">
        <f>Ohj.lask.[[#This Row],[Jaettava € 8]]+Ohj.lask.[[#This Row],[Harkinnanvarainen korotus 9, €]]</f>
        <v>19055983</v>
      </c>
      <c r="AT139" s="37">
        <v>0</v>
      </c>
      <c r="AU139" s="20">
        <f>Ohj.lask.[[#This Row],[Perus-, suoritus- ja vaikuttavuusrahoitus yhteensä, €]]+Ohj.lask.[[#This Row],[Alv-korvaus, €]]</f>
        <v>19055983</v>
      </c>
    </row>
    <row r="140" spans="1:47" ht="13" x14ac:dyDescent="0.3">
      <c r="A140" s="7" t="s">
        <v>183</v>
      </c>
      <c r="B140" s="11" t="s">
        <v>128</v>
      </c>
      <c r="C140" s="11" t="s">
        <v>182</v>
      </c>
      <c r="D140" s="11" t="s">
        <v>336</v>
      </c>
      <c r="E140" s="11" t="s">
        <v>388</v>
      </c>
      <c r="F140" s="109">
        <v>1472</v>
      </c>
      <c r="G140" s="114">
        <f>Ohj.lask.[[#This Row],[Tavoitteelliset opiskelija-vuodet]]-Ohj.lask.[[#This Row],[Järjestämisluvan opisk.vuosien vähimmäismäärä]]</f>
        <v>208</v>
      </c>
      <c r="H140" s="36">
        <v>1680</v>
      </c>
      <c r="I140" s="12">
        <f>IFERROR(VLOOKUP($A140,'2.1 Toteut. op.vuodet'!$A:$T,COLUMN('2.1 Toteut. op.vuodet'!S:S),FALSE),0)</f>
        <v>1.1516562522206197</v>
      </c>
      <c r="J140" s="78">
        <f t="shared" si="4"/>
        <v>1934.8</v>
      </c>
      <c r="K140" s="13">
        <f>IFERROR(Ohj.lask.[[#This Row],[Painotetut opiskelija-vuodet]]/Ohj.lask.[[#Totals],[Painotetut opiskelija-vuodet]],0)</f>
        <v>8.9564454188253827E-3</v>
      </c>
      <c r="L140" s="14">
        <f>ROUND(IFERROR('1.1 Jakotaulu'!L$13*Ohj.lask.[[#This Row],[%-osuus 1]],0),0)</f>
        <v>12571589</v>
      </c>
      <c r="M140" s="157">
        <f>IFERROR(ROUND(VLOOKUP($A140,'2.2 Tutk. ja osien pain. pist.'!$A:$Q,COLUMN('2.2 Tutk. ja osien pain. pist.'!O:O),FALSE),1),0)</f>
        <v>140891.4</v>
      </c>
      <c r="N140" s="13">
        <f>IFERROR(Ohj.lask.[[#This Row],[Painotetut pisteet 2]]/Ohj.lask.[[#Totals],[Painotetut pisteet 2]],0)</f>
        <v>9.0729081712971199E-3</v>
      </c>
      <c r="O140" s="20">
        <f>ROUND(IFERROR('1.1 Jakotaulu'!K$14*Ohj.lask.[[#This Row],[%-osuus 2]],0),0)</f>
        <v>3716100</v>
      </c>
      <c r="P140" s="158">
        <f>IFERROR(ROUND(VLOOKUP($A140,'2.3 Työll. ja jatko-opisk.'!$A:$Z,COLUMN('2.3 Työll. ja jatko-opisk.'!M:M),FALSE),1),0)</f>
        <v>2628.5</v>
      </c>
      <c r="Q140" s="13">
        <f>IFERROR(Ohj.lask.[[#This Row],[Painotetut pisteet 3]]/Ohj.lask.[[#Totals],[Painotetut pisteet 3]],0)</f>
        <v>8.4397655681325238E-3</v>
      </c>
      <c r="R140" s="14">
        <f>ROUND(IFERROR('1.1 Jakotaulu'!L$16*Ohj.lask.[[#This Row],[%-osuus 3]],0),0)</f>
        <v>1209872</v>
      </c>
      <c r="S140" s="157">
        <f>IFERROR(ROUND(VLOOKUP($A140,'2.4 Aloittaneet palaute'!$A:$J,COLUMN('2.4 Aloittaneet palaute'!I:I),FALSE),1),0)</f>
        <v>17017.900000000001</v>
      </c>
      <c r="T140" s="17">
        <f>IFERROR(Ohj.lask.[[#This Row],[Painotetut pisteet 4]]/Ohj.lask.[[#Totals],[Painotetut pisteet 4]],0)</f>
        <v>1.0850055659620699E-2</v>
      </c>
      <c r="U140" s="20">
        <f>ROUND(IFERROR('1.1 Jakotaulu'!M$18*Ohj.lask.[[#This Row],[%-osuus 4]],0),0)</f>
        <v>83325</v>
      </c>
      <c r="V140" s="157">
        <f>IFERROR(ROUND(VLOOKUP($A140,'2.5 Päättäneet palaute'!$A:$Z,COLUMN('2.5 Päättäneet palaute'!Y:Y),FALSE),1),0)</f>
        <v>102289</v>
      </c>
      <c r="W140" s="17">
        <f>IFERROR(Ohj.lask.[[#This Row],[Painotetut pisteet 5]]/Ohj.lask.[[#Totals],[Painotetut pisteet 5]],0)</f>
        <v>1.0748984114393005E-2</v>
      </c>
      <c r="X140" s="20">
        <f>ROUND(IFERROR('1.1 Jakotaulu'!M$19*Ohj.lask.[[#This Row],[%-osuus 5]],0),0)</f>
        <v>247646</v>
      </c>
      <c r="Y140" s="157">
        <f>IFERROR(ROUND(VLOOKUP($A140,'2.6 Työpaikkaohjaajakysely'!A:I,COLUMN('2.6 Työpaikkaohjaajakysely'!H:H),FALSE),1),0)</f>
        <v>4369456.5</v>
      </c>
      <c r="Z140" s="13">
        <f>IFERROR(Ohj.lask.[[#This Row],[Painotetut pisteet 6]]/Ohj.lask.[[#Totals],[Painotetut pisteet 6]],0)</f>
        <v>1.0935444799617312E-2</v>
      </c>
      <c r="AA140" s="20">
        <f>ROUND(IFERROR('1.1 Jakotaulu'!M$21*Ohj.lask.[[#This Row],[%-osuus 6]],0),0)</f>
        <v>251942</v>
      </c>
      <c r="AB140" s="157">
        <f>IFERROR(ROUND(VLOOKUP($A140,'2.7 Työpaikkakysely'!A:G,COLUMN('2.7 Työpaikkakysely'!F:F),FALSE),1),0)</f>
        <v>3072446</v>
      </c>
      <c r="AC140" s="13">
        <f>IFERROR(Ohj.lask.[[#This Row],[Pisteet 7]]/Ohj.lask.[[#Totals],[Pisteet 7]],0)</f>
        <v>1.6072262185923759E-2</v>
      </c>
      <c r="AD140" s="20">
        <f>ROUND(IFERROR('1.1 Jakotaulu'!M$22*Ohj.lask.[[#This Row],[%-osuus 7]],0),0)</f>
        <v>123430</v>
      </c>
      <c r="AE140" s="16">
        <f>IFERROR(Ohj.lask.[[#This Row],[Jaettava € 8]]/Ohj.lask.[[#Totals],[Jaettava € 8]],"")</f>
        <v>9.0207248827928917E-3</v>
      </c>
      <c r="AF140" s="20">
        <f>IFERROR(Ohj.lask.[[#This Row],[Jaettava € 1]]+Ohj.lask.[[#This Row],[Jaettava € 2]]+Ohj.lask.[[#This Row],[Jaettava € 3]]+Ohj.lask.[[#This Row],[Jaettava € 4]]+Ohj.lask.[[#This Row],[Jaettava € 5]]+Ohj.lask.[[#This Row],[Jaettava € 6]]+Ohj.lask.[[#This Row],[Jaettava € 7]],"")</f>
        <v>18203904</v>
      </c>
      <c r="AG140" s="105">
        <v>0</v>
      </c>
      <c r="AH140" s="105">
        <v>0</v>
      </c>
      <c r="AI140" s="105">
        <v>0</v>
      </c>
      <c r="AJ140" s="105">
        <v>0</v>
      </c>
      <c r="AK140" s="105">
        <v>0</v>
      </c>
      <c r="AL140" s="105">
        <v>0</v>
      </c>
      <c r="AM140" s="105">
        <v>28000</v>
      </c>
      <c r="AN140" s="105">
        <v>0</v>
      </c>
      <c r="AO140" s="115">
        <f>SUM(Ohj.lask.[[#This Row],[Harkinnanvarainen korotus 8, €]],Ohj.lask.[[#This Row],[Harkinnanvarainen korotus 7, €]],Ohj.lask.[[#This Row],[Harkinnanvarainen korotus 6, €]],Ohj.lask.[[#This Row],[Harkinnanvarainen korotus 5, €]],Ohj.lask.[[#This Row],[Harkinnanvarainen korotus 4, €]],Ohj.lask.[[#This Row],[Harkinnanvarainen korotus 3, €]],Ohj.lask.[[#This Row],[Harkinnanvarainen korotus 2, €]],Ohj.lask.[[#This Row],[Harkinnanvarainen korotus 1, €]])</f>
        <v>28000</v>
      </c>
      <c r="AP140" s="14">
        <f>Ohj.lask.[[#This Row],[Jaettava € 1]]+Ohj.lask.[[#This Row],[Harkinnanvarainen korotus 9, €]]</f>
        <v>12599589</v>
      </c>
      <c r="AQ140" s="105">
        <f>Ohj.lask.[[#This Row],[Jaettava € 2]]</f>
        <v>3716100</v>
      </c>
      <c r="AR140" s="14">
        <f>Ohj.lask.[[#This Row],[Jaettava € 3]]+Ohj.lask.[[#This Row],[Jaettava € 4]]+Ohj.lask.[[#This Row],[Jaettava € 5]]+Ohj.lask.[[#This Row],[Jaettava € 6]]+Ohj.lask.[[#This Row],[Jaettava € 7]]</f>
        <v>1916215</v>
      </c>
      <c r="AS140" s="37">
        <f>Ohj.lask.[[#This Row],[Jaettava € 8]]+Ohj.lask.[[#This Row],[Harkinnanvarainen korotus 9, €]]</f>
        <v>18231904</v>
      </c>
      <c r="AT140" s="37">
        <v>0</v>
      </c>
      <c r="AU140" s="20">
        <f>Ohj.lask.[[#This Row],[Perus-, suoritus- ja vaikuttavuusrahoitus yhteensä, €]]+Ohj.lask.[[#This Row],[Alv-korvaus, €]]</f>
        <v>18231904</v>
      </c>
    </row>
    <row r="141" spans="1:47" ht="13" x14ac:dyDescent="0.3">
      <c r="A141" s="156" t="s">
        <v>13</v>
      </c>
      <c r="B141" s="154">
        <f>COUNTIF(Ohj.lask.[Nimi],"?*")</f>
        <v>135</v>
      </c>
      <c r="C141" s="154"/>
      <c r="D141" s="154"/>
      <c r="E141" s="154"/>
      <c r="F141" s="189">
        <f>SUM(Ohj.lask.[Järjestämisluvan opisk.vuosien vähimmäismäärä])</f>
        <v>157935</v>
      </c>
      <c r="G141" s="190">
        <f>SUM(Ohj.lask.[Suoritepäätöksellä jaettavat opisk.vuodet (luvan ylittävä osuus)])</f>
        <v>23191</v>
      </c>
      <c r="H141" s="190">
        <f>SUM(Ohj.lask.[Tavoitteelliset opiskelija-vuodet])</f>
        <v>181126</v>
      </c>
      <c r="I141" s="156"/>
      <c r="J141" s="153">
        <f>SUM(Ohj.lask.[Painotetut opiskelija-vuodet])</f>
        <v>216023.20000000007</v>
      </c>
      <c r="K141" s="164">
        <f>SUM(Ohj.lask.[%-osuus 1])</f>
        <v>0.99999999999999956</v>
      </c>
      <c r="L141" s="101">
        <f>SUM(Ohj.lask.[Jaettava € 1])</f>
        <v>1403636002</v>
      </c>
      <c r="M141" s="191">
        <f>SUM(Ohj.lask.[Painotetut pisteet 2])</f>
        <v>15528802.600000003</v>
      </c>
      <c r="N141" s="164">
        <f>SUM(Ohj.lask.[%-osuus 2])</f>
        <v>0.99999999999999978</v>
      </c>
      <c r="O141" s="102">
        <f>SUM(Ohj.lask.[Jaettava € 2])</f>
        <v>409582000</v>
      </c>
      <c r="P141" s="153">
        <f>SUM(Ohj.lask.[Painotetut pisteet 3])</f>
        <v>311442.3</v>
      </c>
      <c r="Q141" s="164">
        <f>SUM(Ohj.lask.[%-osuus 3])</f>
        <v>1.0000000000000002</v>
      </c>
      <c r="R141" s="101">
        <f>SUM(Ohj.lask.[Jaettava € 3])</f>
        <v>143353698</v>
      </c>
      <c r="S141" s="191">
        <f>SUM(Ohj.lask.[Painotetut pisteet 4])</f>
        <v>1568462</v>
      </c>
      <c r="T141" s="164">
        <f>SUM(Ohj.lask.[%-osuus 4])</f>
        <v>1</v>
      </c>
      <c r="U141" s="102">
        <f>SUM(Ohj.lask.[Jaettava € 4])</f>
        <v>7679664</v>
      </c>
      <c r="V141" s="191">
        <f>SUM(Ohj.lask.[Painotetut pisteet 5])</f>
        <v>9516155.1000000015</v>
      </c>
      <c r="W141" s="164">
        <f>SUM(Ohj.lask.[%-osuus 5])</f>
        <v>0.99999999999999989</v>
      </c>
      <c r="X141" s="102">
        <f>SUM(Ohj.lask.[Jaettava € 5])</f>
        <v>23038984</v>
      </c>
      <c r="Y141" s="191">
        <f>SUBTOTAL(109,Ohj.lask.[Painotetut pisteet 6])</f>
        <v>399568246.19999999</v>
      </c>
      <c r="Z141" s="164">
        <f>SUBTOTAL(109,Ohj.lask.[%-osuus 6])</f>
        <v>0.99999999999999956</v>
      </c>
      <c r="AA141" s="102">
        <f>SUBTOTAL(109,Ohj.lask.[Jaettava € 6])</f>
        <v>23038990</v>
      </c>
      <c r="AB141" s="191">
        <f>SUBTOTAL(109,Ohj.lask.[Pisteet 7])</f>
        <v>191164502.20000005</v>
      </c>
      <c r="AC141" s="164">
        <f>SUBTOTAL(109,Ohj.lask.[%-osuus 7])</f>
        <v>0.99999999999999944</v>
      </c>
      <c r="AD141" s="102">
        <f>SUBTOTAL(109,Ohj.lask.[Jaettava € 7])</f>
        <v>7679662</v>
      </c>
      <c r="AE141" s="165">
        <f>SUM(Ohj.lask.[%-osuus 8])</f>
        <v>0.99999999999999989</v>
      </c>
      <c r="AF141" s="102">
        <f>SUM(Ohj.lask.[Jaettava € 8])</f>
        <v>2018009000</v>
      </c>
      <c r="AG141" s="167">
        <f>SUM(Ohj.lask.[Harkinnanvarainen korotus 1, €])</f>
        <v>8175000</v>
      </c>
      <c r="AH141" s="167">
        <f>SUM(Ohj.lask.[Harkinnanvarainen korotus 2, €])</f>
        <v>825000</v>
      </c>
      <c r="AI141" s="167">
        <f>SUM(Ohj.lask.[Harkinnanvarainen korotus 3, €])</f>
        <v>0</v>
      </c>
      <c r="AJ141" s="167">
        <f>SUM(Ohj.lask.[Harkinnanvarainen korotus 4, €])</f>
        <v>0</v>
      </c>
      <c r="AK141" s="167">
        <f>SUM(Ohj.lask.[Harkinnanvarainen korotus 5, €])</f>
        <v>0</v>
      </c>
      <c r="AL141" s="167">
        <f>SUM(Ohj.lask.[Harkinnanvarainen korotus 6, €])</f>
        <v>0</v>
      </c>
      <c r="AM141" s="167">
        <f>SUM(Ohj.lask.[Harkinnanvarainen korotus 7, €])</f>
        <v>2500000</v>
      </c>
      <c r="AN141" s="167">
        <f>SUBTOTAL(109,Ohj.lask.[Harkinnanvarainen korotus 8, €])</f>
        <v>500000</v>
      </c>
      <c r="AO141" s="192">
        <f>SUM(Ohj.lask.[Harkinnanvarainen korotus 9, €])</f>
        <v>12000000</v>
      </c>
      <c r="AP141" s="167">
        <f>SUM(Ohj.lask.[Suoriteperusteinen (opiskelijavuosiin perustuva) sekä harkinnanvarainen korotus, €])</f>
        <v>1415636002</v>
      </c>
      <c r="AQ141" s="167">
        <f>SUM(Ohj.lask.[Suoritusrahoitus, €])</f>
        <v>409582000</v>
      </c>
      <c r="AR141" s="167">
        <f>SUM(Ohj.lask.[Työllistymiseen ja jatko-opintoihin siirtymiseen, opiskelijapalautteiseen sekä työelämäpalautteeseen perustuva, €])</f>
        <v>204790998</v>
      </c>
      <c r="AS141" s="167">
        <f>SUM(Ohj.lask.[Perus-, suoritus- ja vaikuttavuusrahoitus yhteensä, €])</f>
        <v>2030009000</v>
      </c>
      <c r="AT141" s="167">
        <f>SUM(Ohj.lask.[Alv-korvaus, €])</f>
        <v>40606499</v>
      </c>
      <c r="AU141" s="167">
        <f>SUM(Ohj.lask.[Koko rahoitus + 
alv-korvaus, €])</f>
        <v>2070615499</v>
      </c>
    </row>
    <row r="142" spans="1:47" x14ac:dyDescent="0.35">
      <c r="AH142" s="6"/>
      <c r="AS142" s="36"/>
      <c r="AT142" s="14"/>
      <c r="AU142" s="14"/>
    </row>
    <row r="143" spans="1:47" x14ac:dyDescent="0.35">
      <c r="N143"/>
      <c r="O143"/>
      <c r="P143"/>
      <c r="Q143"/>
      <c r="R143"/>
      <c r="AH143" s="6"/>
      <c r="AR143" s="8"/>
      <c r="AS143" s="103"/>
    </row>
    <row r="144" spans="1:47" x14ac:dyDescent="0.35">
      <c r="N144"/>
      <c r="O144"/>
      <c r="P144"/>
      <c r="Q144"/>
      <c r="R144"/>
      <c r="AH144" s="6"/>
      <c r="AO144" s="127"/>
      <c r="AR144" s="8"/>
      <c r="AS144" s="103"/>
    </row>
    <row r="145" spans="14:45" x14ac:dyDescent="0.35">
      <c r="N145"/>
      <c r="O145"/>
      <c r="P145"/>
      <c r="Q145"/>
      <c r="R145"/>
      <c r="AH145" s="6"/>
      <c r="AR145" s="8"/>
      <c r="AS145" s="103"/>
    </row>
    <row r="146" spans="14:45" x14ac:dyDescent="0.35">
      <c r="AH146" s="6"/>
      <c r="AR146" s="8"/>
      <c r="AS146" s="103"/>
    </row>
    <row r="147" spans="14:45" x14ac:dyDescent="0.35">
      <c r="AH147" s="6"/>
      <c r="AR147" s="8"/>
      <c r="AS147" s="103"/>
    </row>
    <row r="160" spans="14:45" x14ac:dyDescent="0.35">
      <c r="AH160" s="6"/>
    </row>
    <row r="303" spans="1:34" x14ac:dyDescent="0.35">
      <c r="A303" s="6" t="s">
        <v>12</v>
      </c>
      <c r="AH303" s="6"/>
    </row>
    <row r="304" spans="1:34" x14ac:dyDescent="0.35">
      <c r="A304" s="6" t="s">
        <v>12</v>
      </c>
      <c r="AH304" s="6"/>
    </row>
    <row r="305" spans="1:34" x14ac:dyDescent="0.35">
      <c r="A305" s="6" t="s">
        <v>12</v>
      </c>
      <c r="AH305" s="6"/>
    </row>
    <row r="306" spans="1:34" x14ac:dyDescent="0.35">
      <c r="A306" s="6" t="s">
        <v>12</v>
      </c>
      <c r="AH306" s="6"/>
    </row>
    <row r="307" spans="1:34" x14ac:dyDescent="0.35">
      <c r="A307" s="6" t="s">
        <v>12</v>
      </c>
      <c r="AH307" s="6"/>
    </row>
    <row r="308" spans="1:34" x14ac:dyDescent="0.35">
      <c r="A308" s="6" t="s">
        <v>12</v>
      </c>
      <c r="AH308" s="6"/>
    </row>
    <row r="309" spans="1:34" x14ac:dyDescent="0.35">
      <c r="A309" s="6" t="s">
        <v>12</v>
      </c>
      <c r="AH309" s="6"/>
    </row>
    <row r="310" spans="1:34" x14ac:dyDescent="0.35">
      <c r="A310" s="6" t="s">
        <v>12</v>
      </c>
      <c r="AH310" s="6"/>
    </row>
    <row r="311" spans="1:34" x14ac:dyDescent="0.35">
      <c r="A311" s="6" t="s">
        <v>12</v>
      </c>
      <c r="AH311" s="6"/>
    </row>
    <row r="312" spans="1:34" x14ac:dyDescent="0.35">
      <c r="A312" s="6" t="s">
        <v>12</v>
      </c>
      <c r="AH312" s="6"/>
    </row>
    <row r="313" spans="1:34" x14ac:dyDescent="0.35">
      <c r="A313" s="6" t="s">
        <v>12</v>
      </c>
      <c r="AH313" s="6"/>
    </row>
    <row r="314" spans="1:34" x14ac:dyDescent="0.35">
      <c r="AH314" s="6"/>
    </row>
  </sheetData>
  <mergeCells count="34">
    <mergeCell ref="AG2:AO2"/>
    <mergeCell ref="Y4:AA4"/>
    <mergeCell ref="AU3:AU4"/>
    <mergeCell ref="AP2:AS2"/>
    <mergeCell ref="AT3:AT4"/>
    <mergeCell ref="AQ3:AQ4"/>
    <mergeCell ref="AR3:AR4"/>
    <mergeCell ref="AP3:AP4"/>
    <mergeCell ref="AS3:AS4"/>
    <mergeCell ref="AB4:AD4"/>
    <mergeCell ref="P2:AD2"/>
    <mergeCell ref="AG3:AG4"/>
    <mergeCell ref="J2:L2"/>
    <mergeCell ref="F2:I2"/>
    <mergeCell ref="M3:O3"/>
    <mergeCell ref="AE2:AF2"/>
    <mergeCell ref="M2:O2"/>
    <mergeCell ref="AE3:AF3"/>
    <mergeCell ref="AM3:AM4"/>
    <mergeCell ref="AN3:AN4"/>
    <mergeCell ref="AO3:AO4"/>
    <mergeCell ref="F3:L3"/>
    <mergeCell ref="P3:AD3"/>
    <mergeCell ref="AH3:AH4"/>
    <mergeCell ref="AI3:AI4"/>
    <mergeCell ref="AJ3:AJ4"/>
    <mergeCell ref="AK3:AK4"/>
    <mergeCell ref="AL3:AL4"/>
    <mergeCell ref="F4:L4"/>
    <mergeCell ref="M4:O4"/>
    <mergeCell ref="AE4:AF4"/>
    <mergeCell ref="V4:X4"/>
    <mergeCell ref="P4:R4"/>
    <mergeCell ref="S4:U4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ul7">
    <tabColor theme="4" tint="0.59999389629810485"/>
  </sheetPr>
  <dimension ref="A1:AK216"/>
  <sheetViews>
    <sheetView zoomScaleNormal="100" workbookViewId="0">
      <pane xSplit="2" ySplit="5" topLeftCell="G99" activePane="bottomRight" state="frozen"/>
      <selection pane="topRight" activeCell="C1" sqref="C1"/>
      <selection pane="bottomLeft" activeCell="A6" sqref="A6"/>
      <selection pane="bottomRight"/>
    </sheetView>
  </sheetViews>
  <sheetFormatPr defaultRowHeight="14.5" x14ac:dyDescent="0.35"/>
  <cols>
    <col min="1" max="1" width="11.26953125" style="6" customWidth="1"/>
    <col min="2" max="2" width="42.1796875" style="6" customWidth="1"/>
    <col min="3" max="3" width="18.54296875" style="6" customWidth="1"/>
    <col min="4" max="4" width="16.453125" style="6" customWidth="1"/>
    <col min="5" max="8" width="13.1796875" style="6" customWidth="1"/>
    <col min="9" max="13" width="13.1796875" style="19" customWidth="1"/>
    <col min="14" max="15" width="25.54296875" style="19" customWidth="1"/>
    <col min="16" max="17" width="13.1796875" customWidth="1"/>
    <col min="18" max="19" width="25.54296875" customWidth="1"/>
    <col min="20" max="21" width="13.1796875" customWidth="1"/>
    <col min="22" max="23" width="25.54296875" customWidth="1"/>
    <col min="24" max="25" width="13.1796875" customWidth="1"/>
    <col min="26" max="27" width="16.7265625" customWidth="1"/>
    <col min="28" max="29" width="13.1796875" customWidth="1"/>
    <col min="30" max="31" width="16.7265625" customWidth="1"/>
    <col min="32" max="33" width="13.1796875" customWidth="1"/>
    <col min="34" max="35" width="16.7265625" customWidth="1"/>
    <col min="36" max="37" width="13.1796875" customWidth="1"/>
  </cols>
  <sheetData>
    <row r="1" spans="1:37" x14ac:dyDescent="0.35">
      <c r="A1" s="7" t="s">
        <v>435</v>
      </c>
      <c r="C1" s="7"/>
      <c r="D1" s="7"/>
      <c r="E1" s="19"/>
      <c r="F1" s="19"/>
      <c r="G1" s="19"/>
      <c r="N1" s="36"/>
      <c r="O1" s="7"/>
      <c r="P1" s="7"/>
      <c r="Q1" s="7"/>
      <c r="R1" s="7"/>
      <c r="S1" s="36"/>
      <c r="T1" s="36"/>
      <c r="U1" s="7"/>
      <c r="V1" s="7"/>
      <c r="W1" s="7"/>
      <c r="X1" s="7"/>
      <c r="Y1" s="7"/>
      <c r="Z1" s="207"/>
      <c r="AA1" s="207"/>
      <c r="AD1" s="163"/>
      <c r="AE1" s="163"/>
      <c r="AF1" s="163"/>
      <c r="AG1" s="163"/>
    </row>
    <row r="2" spans="1:37" ht="25.5" customHeight="1" x14ac:dyDescent="0.35">
      <c r="A2" s="290" t="s">
        <v>586</v>
      </c>
      <c r="B2" s="290"/>
      <c r="C2" s="18"/>
      <c r="D2" s="41"/>
      <c r="E2" s="291" t="s">
        <v>450</v>
      </c>
      <c r="F2" s="292"/>
      <c r="G2" s="292"/>
      <c r="H2" s="292"/>
      <c r="I2" s="292"/>
      <c r="J2" s="292"/>
      <c r="K2" s="292"/>
      <c r="L2" s="209"/>
      <c r="M2" s="209"/>
      <c r="N2" s="305" t="s">
        <v>587</v>
      </c>
      <c r="O2" s="306"/>
      <c r="P2" s="306"/>
      <c r="Q2" s="307"/>
      <c r="R2" s="139"/>
      <c r="S2" s="139"/>
      <c r="T2" s="139"/>
      <c r="U2" s="140"/>
      <c r="V2" s="187"/>
      <c r="W2" s="187"/>
      <c r="X2" s="187"/>
      <c r="Y2" s="187"/>
      <c r="Z2" s="295" t="s">
        <v>588</v>
      </c>
      <c r="AA2" s="296"/>
      <c r="AB2" s="296"/>
      <c r="AC2" s="296"/>
      <c r="AD2" s="295"/>
      <c r="AE2" s="296"/>
      <c r="AF2" s="296"/>
      <c r="AG2" s="296"/>
      <c r="AH2" s="295"/>
      <c r="AI2" s="296"/>
      <c r="AJ2" s="296"/>
      <c r="AK2" s="297"/>
    </row>
    <row r="3" spans="1:37" ht="15" customHeight="1" x14ac:dyDescent="0.35">
      <c r="A3" s="290"/>
      <c r="B3" s="290"/>
      <c r="C3" s="26"/>
      <c r="D3" s="26"/>
      <c r="E3" s="29"/>
      <c r="F3" s="33"/>
      <c r="G3" s="33"/>
      <c r="H3" s="29"/>
      <c r="I3" s="30"/>
      <c r="J3" s="30"/>
      <c r="K3" s="30"/>
      <c r="L3" s="30"/>
      <c r="M3" s="30"/>
      <c r="N3" s="302" t="s">
        <v>567</v>
      </c>
      <c r="O3" s="303"/>
      <c r="P3" s="303"/>
      <c r="Q3" s="304"/>
      <c r="R3" s="302" t="s">
        <v>568</v>
      </c>
      <c r="S3" s="303"/>
      <c r="T3" s="303"/>
      <c r="U3" s="304"/>
      <c r="V3" s="302" t="s">
        <v>569</v>
      </c>
      <c r="W3" s="303"/>
      <c r="X3" s="303"/>
      <c r="Y3" s="304"/>
      <c r="Z3" s="298" t="s">
        <v>589</v>
      </c>
      <c r="AA3" s="299"/>
      <c r="AB3" s="299"/>
      <c r="AC3" s="300"/>
      <c r="AD3" s="298" t="s">
        <v>590</v>
      </c>
      <c r="AE3" s="299"/>
      <c r="AF3" s="299"/>
      <c r="AG3" s="300"/>
      <c r="AH3" s="298" t="s">
        <v>554</v>
      </c>
      <c r="AI3" s="299"/>
      <c r="AJ3" s="299"/>
      <c r="AK3" s="300"/>
    </row>
    <row r="4" spans="1:37" ht="12.75" customHeight="1" x14ac:dyDescent="0.35">
      <c r="A4" s="290"/>
      <c r="B4" s="290"/>
      <c r="C4" s="27"/>
      <c r="D4" s="27"/>
      <c r="E4" s="293" t="s">
        <v>437</v>
      </c>
      <c r="F4" s="294"/>
      <c r="G4" s="33"/>
      <c r="H4" s="293" t="s">
        <v>339</v>
      </c>
      <c r="I4" s="301"/>
      <c r="J4" s="301"/>
      <c r="K4" s="301"/>
      <c r="L4" s="301"/>
      <c r="M4" s="294"/>
      <c r="N4" s="302"/>
      <c r="O4" s="303"/>
      <c r="P4" s="303"/>
      <c r="Q4" s="304"/>
      <c r="R4" s="302"/>
      <c r="S4" s="303"/>
      <c r="T4" s="303"/>
      <c r="U4" s="304"/>
      <c r="V4" s="302"/>
      <c r="W4" s="303"/>
      <c r="X4" s="303"/>
      <c r="Y4" s="304"/>
      <c r="Z4" s="298"/>
      <c r="AA4" s="299"/>
      <c r="AB4" s="299"/>
      <c r="AC4" s="300"/>
      <c r="AD4" s="298"/>
      <c r="AE4" s="299"/>
      <c r="AF4" s="299"/>
      <c r="AG4" s="300"/>
      <c r="AH4" s="298"/>
      <c r="AI4" s="299"/>
      <c r="AJ4" s="299"/>
      <c r="AK4" s="300"/>
    </row>
    <row r="5" spans="1:37" ht="48.75" customHeight="1" x14ac:dyDescent="0.35">
      <c r="A5" s="26" t="s">
        <v>334</v>
      </c>
      <c r="B5" s="28" t="s">
        <v>333</v>
      </c>
      <c r="C5" s="28" t="s">
        <v>344</v>
      </c>
      <c r="D5" s="28" t="s">
        <v>343</v>
      </c>
      <c r="E5" s="31" t="s">
        <v>438</v>
      </c>
      <c r="F5" s="141" t="s">
        <v>439</v>
      </c>
      <c r="G5" s="141" t="s">
        <v>345</v>
      </c>
      <c r="H5" s="31" t="s">
        <v>346</v>
      </c>
      <c r="I5" s="42" t="s">
        <v>347</v>
      </c>
      <c r="J5" s="42" t="s">
        <v>348</v>
      </c>
      <c r="K5" s="42" t="s">
        <v>349</v>
      </c>
      <c r="L5" s="42" t="s">
        <v>565</v>
      </c>
      <c r="M5" s="42" t="s">
        <v>566</v>
      </c>
      <c r="N5" s="94" t="s">
        <v>552</v>
      </c>
      <c r="O5" s="94" t="s">
        <v>553</v>
      </c>
      <c r="P5" s="34" t="s">
        <v>380</v>
      </c>
      <c r="Q5" s="35" t="s">
        <v>381</v>
      </c>
      <c r="R5" s="124" t="s">
        <v>564</v>
      </c>
      <c r="S5" s="100" t="s">
        <v>563</v>
      </c>
      <c r="T5" s="34" t="s">
        <v>382</v>
      </c>
      <c r="U5" s="124" t="s">
        <v>383</v>
      </c>
      <c r="V5" s="100" t="s">
        <v>562</v>
      </c>
      <c r="W5" s="124" t="s">
        <v>561</v>
      </c>
      <c r="X5" s="34" t="s">
        <v>386</v>
      </c>
      <c r="Y5" s="35" t="s">
        <v>385</v>
      </c>
      <c r="Z5" s="169" t="s">
        <v>560</v>
      </c>
      <c r="AA5" s="169" t="s">
        <v>559</v>
      </c>
      <c r="AB5" s="170" t="s">
        <v>471</v>
      </c>
      <c r="AC5" s="171" t="s">
        <v>474</v>
      </c>
      <c r="AD5" s="169" t="s">
        <v>558</v>
      </c>
      <c r="AE5" s="169" t="s">
        <v>557</v>
      </c>
      <c r="AF5" s="170" t="s">
        <v>472</v>
      </c>
      <c r="AG5" s="171" t="s">
        <v>473</v>
      </c>
      <c r="AH5" s="169" t="s">
        <v>556</v>
      </c>
      <c r="AI5" s="169" t="s">
        <v>555</v>
      </c>
      <c r="AJ5" s="170" t="s">
        <v>475</v>
      </c>
      <c r="AK5" s="171" t="s">
        <v>476</v>
      </c>
    </row>
    <row r="6" spans="1:37" s="5" customFormat="1" ht="12.75" customHeight="1" x14ac:dyDescent="0.35">
      <c r="A6" s="7" t="s">
        <v>392</v>
      </c>
      <c r="B6" s="188" t="s">
        <v>393</v>
      </c>
      <c r="C6" s="188" t="s">
        <v>180</v>
      </c>
      <c r="D6" s="11" t="s">
        <v>337</v>
      </c>
      <c r="E6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0.64027648789057867</v>
      </c>
      <c r="F6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0.64385899598432683</v>
      </c>
      <c r="G6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0.21379102678317549</v>
      </c>
      <c r="H6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0.14234997723249765</v>
      </c>
      <c r="I6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8.374314351073639E-2</v>
      </c>
      <c r="J6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7.314526191942239E-3</v>
      </c>
      <c r="K6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2.0253669702360186E-2</v>
      </c>
      <c r="L6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2.4841164196244273E-2</v>
      </c>
      <c r="M6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6.197473631214547E-3</v>
      </c>
      <c r="N6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35655212</v>
      </c>
      <c r="O6" s="228">
        <f>IFERROR(VLOOKUP(Vertailu[[#This Row],[Y-tunnus]],'1.2 Ohjaus-laskentataulu'!A:AU,COLUMN('1.2 Ohjaus-laskentataulu'!AF:AF),FALSE),0)</f>
        <v>37548097</v>
      </c>
      <c r="P6" s="228">
        <f>IFERROR(Vertailu[[#This Row],[Rahoitus pl. hark. kor. 2023 ilman alv, €]]-Vertailu[[#This Row],[Rahoitus pl. hark. kor. 2022 ilman alv, €]],0)</f>
        <v>1892885</v>
      </c>
      <c r="Q6" s="230">
        <f>IFERROR(Vertailu[[#This Row],[Muutos, € 1]]/Vertailu[[#This Row],[Rahoitus pl. hark. kor. 2022 ilman alv, €]],0)</f>
        <v>5.3088591928719987E-2</v>
      </c>
      <c r="R6" s="233">
        <f>IFERROR(VLOOKUP(Vertailu[[#This Row],[Y-tunnus]],'Suoritepäätös 2022 oikaistu'!$Q:$AC,COLUMN('Suoritepäätös 2022 oikaistu'!L:L),FALSE),0)</f>
        <v>35794212</v>
      </c>
      <c r="S6" s="234">
        <f>IFERROR(VLOOKUP(Vertailu[[#This Row],[Y-tunnus]],'1.2 Ohjaus-laskentataulu'!A:AU,COLUMN('1.2 Ohjaus-laskentataulu'!AS:AS),FALSE),0)</f>
        <v>37683097</v>
      </c>
      <c r="T6" s="228">
        <f>IFERROR(Vertailu[[#This Row],[Rahoitus ml. hark. kor. 
2023 ilman alv, €]]-Vertailu[[#This Row],[Rahoitus ml. hark. kor. 
2022 ilman alv, €]],0)</f>
        <v>1888885</v>
      </c>
      <c r="U6" s="232">
        <f>IFERROR(Vertailu[[#This Row],[Muutos, € 2]]/Vertailu[[#This Row],[Rahoitus ml. hark. kor. 
2022 ilman alv, €]],0)</f>
        <v>5.2770682589687964E-2</v>
      </c>
      <c r="V6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38475243</v>
      </c>
      <c r="W6" s="233">
        <f>IFERROR(VLOOKUP(Vertailu[[#This Row],[Y-tunnus]],'1.2 Ohjaus-laskentataulu'!A:AU,COLUMN('1.2 Ohjaus-laskentataulu'!AU:AU),FALSE),0)</f>
        <v>40039459</v>
      </c>
      <c r="X6" s="235">
        <f>IFERROR(Vertailu[[#This Row],[Rahoitus ml. hark. kor. + alv 2023, €]]-Vertailu[[#This Row],[Rahoitus ml. hark. kor. + alv 2022, €]],0)</f>
        <v>1564216</v>
      </c>
      <c r="Y6" s="230">
        <f>IFERROR(Vertailu[[#This Row],[Muutos, € 3]]/Vertailu[[#This Row],[Rahoitus ml. hark. kor. + alv 2022, €]],0)</f>
        <v>4.0655129845443734E-2</v>
      </c>
      <c r="Z6" s="228">
        <f>IFERROR(VLOOKUP(Vertailu[[#This Row],[Y-tunnus]],'Suoritepäätös 2022 oikaistu'!$B:$N,COLUMN('Suoritepäätös 2022 oikaistu'!G:G),FALSE),0)</f>
        <v>22854039</v>
      </c>
      <c r="AA6" s="228">
        <f>IFERROR(VLOOKUP(Vertailu[[#This Row],[Y-tunnus]],'1.2 Ohjaus-laskentataulu'!A:AU,COLUMN('1.2 Ohjaus-laskentataulu'!AP:AP),FALSE),0)</f>
        <v>24262601</v>
      </c>
      <c r="AB6" s="228">
        <f>Vertailu[[#This Row],[Perusrahoitus 2023, €]]-Vertailu[[#This Row],[Perusrahoitus 2022, €]]</f>
        <v>1408562</v>
      </c>
      <c r="AC6" s="230">
        <f>IFERROR(Vertailu[[#This Row],[Perusrahoituksen muutos, €]]/Vertailu[[#This Row],[Perusrahoitus 2022, €]],0)</f>
        <v>6.1632956870337013E-2</v>
      </c>
      <c r="AD6" s="228">
        <f>IFERROR(VLOOKUP(Vertailu[[#This Row],[Y-tunnus]],'Suoritepäätös 2022 oikaistu'!$B:$N,COLUMN('Suoritepäätös 2022 oikaistu'!M:M),FALSE),0)</f>
        <v>8628869</v>
      </c>
      <c r="AE6" s="228">
        <f>IFERROR(VLOOKUP(Vertailu[[#This Row],[Y-tunnus]],'1.2 Ohjaus-laskentataulu'!A:AU,COLUMN('1.2 Ohjaus-laskentataulu'!O:O),FALSE),0)</f>
        <v>8056308</v>
      </c>
      <c r="AF6" s="228">
        <f>Vertailu[[#This Row],[Suoritusrahoitus 2023, €]]-Vertailu[[#This Row],[Suoritusrahoitus 2022, €]]</f>
        <v>-572561</v>
      </c>
      <c r="AG6" s="230">
        <f>IFERROR(Vertailu[[#This Row],[Suoritusrahoituksen muutos, €]]/Vertailu[[#This Row],[Suoritusrahoitus 2022, €]],0)</f>
        <v>-6.6354118946527055E-2</v>
      </c>
      <c r="AH6" s="228">
        <f>IFERROR(VLOOKUP(Vertailu[[#This Row],[Y-tunnus]],'Suoritepäätös 2022 oikaistu'!$Q:$AC,COLUMN('Suoritepäätös 2022 oikaistu'!K:K),FALSE),0)</f>
        <v>4311304</v>
      </c>
      <c r="AI6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5364188</v>
      </c>
      <c r="AJ6" s="228">
        <f>Vertailu[[#This Row],[Vaikuttavuusrahoitus 2023, €]]-Vertailu[[#This Row],[Vaikuttavuusrahoitus 2022, €]]</f>
        <v>1052884</v>
      </c>
      <c r="AK6" s="230">
        <f>IFERROR(Vertailu[[#This Row],[Vaikuttavuusrahoituksen muutos, €]]/Vertailu[[#This Row],[Vaikuttavuusrahoitus 2022, €]],0)</f>
        <v>0.24421474338158478</v>
      </c>
    </row>
    <row r="7" spans="1:37" s="5" customFormat="1" ht="12.75" customHeight="1" x14ac:dyDescent="0.35">
      <c r="A7" s="7" t="s">
        <v>332</v>
      </c>
      <c r="B7" s="188" t="s">
        <v>15</v>
      </c>
      <c r="C7" s="188" t="s">
        <v>189</v>
      </c>
      <c r="D7" s="11" t="s">
        <v>337</v>
      </c>
      <c r="E7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0.63471284170316888</v>
      </c>
      <c r="F7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0.63598410614346168</v>
      </c>
      <c r="G7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0.25161221756317931</v>
      </c>
      <c r="H7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0.11240367629335901</v>
      </c>
      <c r="I7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7.3834275933540333E-2</v>
      </c>
      <c r="J7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6.4150546186054124E-3</v>
      </c>
      <c r="K7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1.5927672172428207E-2</v>
      </c>
      <c r="L7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9.0226722385339572E-3</v>
      </c>
      <c r="M7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7.2040013302511101E-3</v>
      </c>
      <c r="N7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3496451</v>
      </c>
      <c r="O7" s="228">
        <f>IFERROR(VLOOKUP(Vertailu[[#This Row],[Y-tunnus]],'1.2 Ohjaus-laskentataulu'!A:AU,COLUMN('1.2 Ohjaus-laskentataulu'!AF:AF),FALSE),0)</f>
        <v>3928092</v>
      </c>
      <c r="P7" s="228">
        <f>IFERROR(Vertailu[[#This Row],[Rahoitus pl. hark. kor. 2023 ilman alv, €]]-Vertailu[[#This Row],[Rahoitus pl. hark. kor. 2022 ilman alv, €]],0)</f>
        <v>431641</v>
      </c>
      <c r="Q7" s="230">
        <f>IFERROR(Vertailu[[#This Row],[Muutos, € 1]]/Vertailu[[#This Row],[Rahoitus pl. hark. kor. 2022 ilman alv, €]],0)</f>
        <v>0.12345117949600895</v>
      </c>
      <c r="R7" s="233">
        <f>IFERROR(VLOOKUP(Vertailu[[#This Row],[Y-tunnus]],'Suoritepäätös 2022 oikaistu'!$Q:$AC,COLUMN('Suoritepäätös 2022 oikaistu'!L:L),FALSE),0)</f>
        <v>3506451</v>
      </c>
      <c r="S7" s="234">
        <f>IFERROR(VLOOKUP(Vertailu[[#This Row],[Y-tunnus]],'1.2 Ohjaus-laskentataulu'!A:AU,COLUMN('1.2 Ohjaus-laskentataulu'!AS:AS),FALSE),0)</f>
        <v>3933092</v>
      </c>
      <c r="T7" s="228">
        <f>IFERROR(Vertailu[[#This Row],[Rahoitus ml. hark. kor. 
2023 ilman alv, €]]-Vertailu[[#This Row],[Rahoitus ml. hark. kor. 
2022 ilman alv, €]],0)</f>
        <v>426641</v>
      </c>
      <c r="U7" s="232">
        <f>IFERROR(Vertailu[[#This Row],[Muutos, € 2]]/Vertailu[[#This Row],[Rahoitus ml. hark. kor. 
2022 ilman alv, €]],0)</f>
        <v>0.12167316754176802</v>
      </c>
      <c r="V7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3666739</v>
      </c>
      <c r="W7" s="233">
        <f>IFERROR(VLOOKUP(Vertailu[[#This Row],[Y-tunnus]],'1.2 Ohjaus-laskentataulu'!A:AU,COLUMN('1.2 Ohjaus-laskentataulu'!AU:AU),FALSE),0)</f>
        <v>4094886</v>
      </c>
      <c r="X7" s="235">
        <f>IFERROR(Vertailu[[#This Row],[Rahoitus ml. hark. kor. + alv 2023, €]]-Vertailu[[#This Row],[Rahoitus ml. hark. kor. + alv 2022, €]],0)</f>
        <v>428147</v>
      </c>
      <c r="Y7" s="230">
        <f>IFERROR(Vertailu[[#This Row],[Muutos, € 3]]/Vertailu[[#This Row],[Rahoitus ml. hark. kor. + alv 2022, €]],0)</f>
        <v>0.11676506018017645</v>
      </c>
      <c r="Z7" s="228">
        <f>IFERROR(VLOOKUP(Vertailu[[#This Row],[Y-tunnus]],'Suoritepäätös 2022 oikaistu'!$B:$N,COLUMN('Suoritepäätös 2022 oikaistu'!G:G),FALSE),0)</f>
        <v>2267702</v>
      </c>
      <c r="AA7" s="228">
        <f>IFERROR(VLOOKUP(Vertailu[[#This Row],[Y-tunnus]],'1.2 Ohjaus-laskentataulu'!A:AU,COLUMN('1.2 Ohjaus-laskentataulu'!AP:AP),FALSE),0)</f>
        <v>2501384</v>
      </c>
      <c r="AB7" s="228">
        <f>Vertailu[[#This Row],[Perusrahoitus 2023, €]]-Vertailu[[#This Row],[Perusrahoitus 2022, €]]</f>
        <v>233682</v>
      </c>
      <c r="AC7" s="230">
        <f>IFERROR(Vertailu[[#This Row],[Perusrahoituksen muutos, €]]/Vertailu[[#This Row],[Perusrahoitus 2022, €]],0)</f>
        <v>0.10304793134194881</v>
      </c>
      <c r="AD7" s="228">
        <f>IFERROR(VLOOKUP(Vertailu[[#This Row],[Y-tunnus]],'Suoritepäätös 2022 oikaistu'!$B:$N,COLUMN('Suoritepäätös 2022 oikaistu'!M:M),FALSE),0)</f>
        <v>883418</v>
      </c>
      <c r="AE7" s="228">
        <f>IFERROR(VLOOKUP(Vertailu[[#This Row],[Y-tunnus]],'1.2 Ohjaus-laskentataulu'!A:AU,COLUMN('1.2 Ohjaus-laskentataulu'!O:O),FALSE),0)</f>
        <v>989614</v>
      </c>
      <c r="AF7" s="228">
        <f>Vertailu[[#This Row],[Suoritusrahoitus 2023, €]]-Vertailu[[#This Row],[Suoritusrahoitus 2022, €]]</f>
        <v>106196</v>
      </c>
      <c r="AG7" s="230">
        <f>IFERROR(Vertailu[[#This Row],[Suoritusrahoituksen muutos, €]]/Vertailu[[#This Row],[Suoritusrahoitus 2022, €]],0)</f>
        <v>0.12021036474239828</v>
      </c>
      <c r="AH7" s="228">
        <f>IFERROR(VLOOKUP(Vertailu[[#This Row],[Y-tunnus]],'Suoritepäätös 2022 oikaistu'!$Q:$AC,COLUMN('Suoritepäätös 2022 oikaistu'!K:K),FALSE),0)</f>
        <v>355331</v>
      </c>
      <c r="AI7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442094</v>
      </c>
      <c r="AJ7" s="228">
        <f>Vertailu[[#This Row],[Vaikuttavuusrahoitus 2023, €]]-Vertailu[[#This Row],[Vaikuttavuusrahoitus 2022, €]]</f>
        <v>86763</v>
      </c>
      <c r="AK7" s="230">
        <f>IFERROR(Vertailu[[#This Row],[Vaikuttavuusrahoituksen muutos, €]]/Vertailu[[#This Row],[Vaikuttavuusrahoitus 2022, €]],0)</f>
        <v>0.24417514936777257</v>
      </c>
    </row>
    <row r="8" spans="1:37" s="5" customFormat="1" ht="12.75" customHeight="1" x14ac:dyDescent="0.35">
      <c r="A8" s="7" t="s">
        <v>331</v>
      </c>
      <c r="B8" s="188" t="s">
        <v>16</v>
      </c>
      <c r="C8" s="188" t="s">
        <v>189</v>
      </c>
      <c r="D8" s="11" t="s">
        <v>337</v>
      </c>
      <c r="E8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0.91415594849133552</v>
      </c>
      <c r="F8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0.91415594849133552</v>
      </c>
      <c r="G8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8.0338793687310575E-2</v>
      </c>
      <c r="H8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5.505257821353895E-3</v>
      </c>
      <c r="I8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2.5702215853476663E-3</v>
      </c>
      <c r="J8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3.0083248935046006E-4</v>
      </c>
      <c r="K8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1.5935048101788872E-3</v>
      </c>
      <c r="L8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8.4037660598133162E-4</v>
      </c>
      <c r="M8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2.0032233049554999E-4</v>
      </c>
      <c r="N8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3937808</v>
      </c>
      <c r="O8" s="228">
        <f>IFERROR(VLOOKUP(Vertailu[[#This Row],[Y-tunnus]],'1.2 Ohjaus-laskentataulu'!A:AU,COLUMN('1.2 Ohjaus-laskentataulu'!AF:AF),FALSE),0)</f>
        <v>4298073</v>
      </c>
      <c r="P8" s="228">
        <f>IFERROR(Vertailu[[#This Row],[Rahoitus pl. hark. kor. 2023 ilman alv, €]]-Vertailu[[#This Row],[Rahoitus pl. hark. kor. 2022 ilman alv, €]],0)</f>
        <v>360265</v>
      </c>
      <c r="Q8" s="230">
        <f>IFERROR(Vertailu[[#This Row],[Muutos, € 1]]/Vertailu[[#This Row],[Rahoitus pl. hark. kor. 2022 ilman alv, €]],0)</f>
        <v>9.1488716565155032E-2</v>
      </c>
      <c r="R8" s="233">
        <f>IFERROR(VLOOKUP(Vertailu[[#This Row],[Y-tunnus]],'Suoritepäätös 2022 oikaistu'!$Q:$AC,COLUMN('Suoritepäätös 2022 oikaistu'!L:L),FALSE),0)</f>
        <v>3937808</v>
      </c>
      <c r="S8" s="234">
        <f>IFERROR(VLOOKUP(Vertailu[[#This Row],[Y-tunnus]],'1.2 Ohjaus-laskentataulu'!A:AU,COLUMN('1.2 Ohjaus-laskentataulu'!AS:AS),FALSE),0)</f>
        <v>4298073</v>
      </c>
      <c r="T8" s="228">
        <f>IFERROR(Vertailu[[#This Row],[Rahoitus ml. hark. kor. 
2023 ilman alv, €]]-Vertailu[[#This Row],[Rahoitus ml. hark. kor. 
2022 ilman alv, €]],0)</f>
        <v>360265</v>
      </c>
      <c r="U8" s="232">
        <f>IFERROR(Vertailu[[#This Row],[Muutos, € 2]]/Vertailu[[#This Row],[Rahoitus ml. hark. kor. 
2022 ilman alv, €]],0)</f>
        <v>9.1488716565155032E-2</v>
      </c>
      <c r="V8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4065594</v>
      </c>
      <c r="W8" s="233">
        <f>IFERROR(VLOOKUP(Vertailu[[#This Row],[Y-tunnus]],'1.2 Ohjaus-laskentataulu'!A:AU,COLUMN('1.2 Ohjaus-laskentataulu'!AU:AU),FALSE),0)</f>
        <v>4482703</v>
      </c>
      <c r="X8" s="235">
        <f>IFERROR(Vertailu[[#This Row],[Rahoitus ml. hark. kor. + alv 2023, €]]-Vertailu[[#This Row],[Rahoitus ml. hark. kor. + alv 2022, €]],0)</f>
        <v>417109</v>
      </c>
      <c r="Y8" s="230">
        <f>IFERROR(Vertailu[[#This Row],[Muutos, € 3]]/Vertailu[[#This Row],[Rahoitus ml. hark. kor. + alv 2022, €]],0)</f>
        <v>0.10259484837885928</v>
      </c>
      <c r="Z8" s="228">
        <f>IFERROR(VLOOKUP(Vertailu[[#This Row],[Y-tunnus]],'Suoritepäätös 2022 oikaistu'!$B:$N,COLUMN('Suoritepäätös 2022 oikaistu'!G:G),FALSE),0)</f>
        <v>3576782</v>
      </c>
      <c r="AA8" s="228">
        <f>IFERROR(VLOOKUP(Vertailu[[#This Row],[Y-tunnus]],'1.2 Ohjaus-laskentataulu'!A:AU,COLUMN('1.2 Ohjaus-laskentataulu'!AP:AP),FALSE),0)</f>
        <v>3929109</v>
      </c>
      <c r="AB8" s="228">
        <f>Vertailu[[#This Row],[Perusrahoitus 2023, €]]-Vertailu[[#This Row],[Perusrahoitus 2022, €]]</f>
        <v>352327</v>
      </c>
      <c r="AC8" s="230">
        <f>IFERROR(Vertailu[[#This Row],[Perusrahoituksen muutos, €]]/Vertailu[[#This Row],[Perusrahoitus 2022, €]],0)</f>
        <v>9.8503906584186562E-2</v>
      </c>
      <c r="AD8" s="228">
        <f>IFERROR(VLOOKUP(Vertailu[[#This Row],[Y-tunnus]],'Suoritepäätös 2022 oikaistu'!$B:$N,COLUMN('Suoritepäätös 2022 oikaistu'!M:M),FALSE),0)</f>
        <v>301816</v>
      </c>
      <c r="AE8" s="228">
        <f>IFERROR(VLOOKUP(Vertailu[[#This Row],[Y-tunnus]],'1.2 Ohjaus-laskentataulu'!A:AU,COLUMN('1.2 Ohjaus-laskentataulu'!O:O),FALSE),0)</f>
        <v>345302</v>
      </c>
      <c r="AF8" s="228">
        <f>Vertailu[[#This Row],[Suoritusrahoitus 2023, €]]-Vertailu[[#This Row],[Suoritusrahoitus 2022, €]]</f>
        <v>43486</v>
      </c>
      <c r="AG8" s="230">
        <f>IFERROR(Vertailu[[#This Row],[Suoritusrahoituksen muutos, €]]/Vertailu[[#This Row],[Suoritusrahoitus 2022, €]],0)</f>
        <v>0.14408116203249663</v>
      </c>
      <c r="AH8" s="228">
        <f>IFERROR(VLOOKUP(Vertailu[[#This Row],[Y-tunnus]],'Suoritepäätös 2022 oikaistu'!$Q:$AC,COLUMN('Suoritepäätös 2022 oikaistu'!K:K),FALSE),0)</f>
        <v>59210</v>
      </c>
      <c r="AI8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23662</v>
      </c>
      <c r="AJ8" s="228">
        <f>Vertailu[[#This Row],[Vaikuttavuusrahoitus 2023, €]]-Vertailu[[#This Row],[Vaikuttavuusrahoitus 2022, €]]</f>
        <v>-35548</v>
      </c>
      <c r="AK8" s="230">
        <f>IFERROR(Vertailu[[#This Row],[Vaikuttavuusrahoituksen muutos, €]]/Vertailu[[#This Row],[Vaikuttavuusrahoitus 2022, €]],0)</f>
        <v>-0.60037155885830096</v>
      </c>
    </row>
    <row r="9" spans="1:37" s="5" customFormat="1" ht="12.75" customHeight="1" x14ac:dyDescent="0.35">
      <c r="A9" s="7" t="s">
        <v>509</v>
      </c>
      <c r="B9" s="188" t="s">
        <v>510</v>
      </c>
      <c r="C9" s="188" t="s">
        <v>180</v>
      </c>
      <c r="D9" s="11" t="s">
        <v>337</v>
      </c>
      <c r="E9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0.83159711264863867</v>
      </c>
      <c r="F9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0.83159711264863867</v>
      </c>
      <c r="G9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0.15184190094794353</v>
      </c>
      <c r="H9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1.6560986403417809E-2</v>
      </c>
      <c r="I9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1.095525214812664E-2</v>
      </c>
      <c r="J9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6.2587532310305193E-4</v>
      </c>
      <c r="K9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2.4396782771612491E-3</v>
      </c>
      <c r="L9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2.1613865150302892E-3</v>
      </c>
      <c r="M9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3.7879413999657732E-4</v>
      </c>
      <c r="N9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58626077</v>
      </c>
      <c r="O9" s="228">
        <f>IFERROR(VLOOKUP(Vertailu[[#This Row],[Y-tunnus]],'1.2 Ohjaus-laskentataulu'!A:AU,COLUMN('1.2 Ohjaus-laskentataulu'!AF:AF),FALSE),0)</f>
        <v>64913887</v>
      </c>
      <c r="P9" s="228">
        <f>IFERROR(Vertailu[[#This Row],[Rahoitus pl. hark. kor. 2023 ilman alv, €]]-Vertailu[[#This Row],[Rahoitus pl. hark. kor. 2022 ilman alv, €]],0)</f>
        <v>6287810</v>
      </c>
      <c r="Q9" s="230">
        <f>IFERROR(Vertailu[[#This Row],[Muutos, € 1]]/Vertailu[[#This Row],[Rahoitus pl. hark. kor. 2022 ilman alv, €]],0)</f>
        <v>0.10725278445630944</v>
      </c>
      <c r="R9" s="233">
        <f>IFERROR(VLOOKUP(Vertailu[[#This Row],[Y-tunnus]],'Suoritepäätös 2022 oikaistu'!$Q:$AC,COLUMN('Suoritepäätös 2022 oikaistu'!L:L),FALSE),0)</f>
        <v>58626077</v>
      </c>
      <c r="S9" s="234">
        <f>IFERROR(VLOOKUP(Vertailu[[#This Row],[Y-tunnus]],'1.2 Ohjaus-laskentataulu'!A:AU,COLUMN('1.2 Ohjaus-laskentataulu'!AS:AS),FALSE),0)</f>
        <v>64913887</v>
      </c>
      <c r="T9" s="228">
        <f>IFERROR(Vertailu[[#This Row],[Rahoitus ml. hark. kor. 
2023 ilman alv, €]]-Vertailu[[#This Row],[Rahoitus ml. hark. kor. 
2022 ilman alv, €]],0)</f>
        <v>6287810</v>
      </c>
      <c r="U9" s="232">
        <f>IFERROR(Vertailu[[#This Row],[Muutos, € 2]]/Vertailu[[#This Row],[Rahoitus ml. hark. kor. 
2022 ilman alv, €]],0)</f>
        <v>0.10725278445630944</v>
      </c>
      <c r="V9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61324004</v>
      </c>
      <c r="W9" s="233">
        <f>IFERROR(VLOOKUP(Vertailu[[#This Row],[Y-tunnus]],'1.2 Ohjaus-laskentataulu'!A:AU,COLUMN('1.2 Ohjaus-laskentataulu'!AU:AU),FALSE),0)</f>
        <v>67555901</v>
      </c>
      <c r="X9" s="235">
        <f>IFERROR(Vertailu[[#This Row],[Rahoitus ml. hark. kor. + alv 2023, €]]-Vertailu[[#This Row],[Rahoitus ml. hark. kor. + alv 2022, €]],0)</f>
        <v>6231897</v>
      </c>
      <c r="Y9" s="230">
        <f>IFERROR(Vertailu[[#This Row],[Muutos, € 3]]/Vertailu[[#This Row],[Rahoitus ml. hark. kor. + alv 2022, €]],0)</f>
        <v>0.10162247396631179</v>
      </c>
      <c r="Z9" s="228">
        <f>IFERROR(VLOOKUP(Vertailu[[#This Row],[Y-tunnus]],'Suoritepäätös 2022 oikaistu'!$B:$N,COLUMN('Suoritepäätös 2022 oikaistu'!G:G),FALSE),0)</f>
        <v>49390981</v>
      </c>
      <c r="AA9" s="228">
        <f>IFERROR(VLOOKUP(Vertailu[[#This Row],[Y-tunnus]],'1.2 Ohjaus-laskentataulu'!A:AU,COLUMN('1.2 Ohjaus-laskentataulu'!AP:AP),FALSE),0)</f>
        <v>53982201</v>
      </c>
      <c r="AB9" s="228">
        <f>Vertailu[[#This Row],[Perusrahoitus 2023, €]]-Vertailu[[#This Row],[Perusrahoitus 2022, €]]</f>
        <v>4591220</v>
      </c>
      <c r="AC9" s="230">
        <f>IFERROR(Vertailu[[#This Row],[Perusrahoituksen muutos, €]]/Vertailu[[#This Row],[Perusrahoitus 2022, €]],0)</f>
        <v>9.2956647287487565E-2</v>
      </c>
      <c r="AD9" s="228">
        <f>IFERROR(VLOOKUP(Vertailu[[#This Row],[Y-tunnus]],'Suoritepäätös 2022 oikaistu'!$B:$N,COLUMN('Suoritepäätös 2022 oikaistu'!M:M),FALSE),0)</f>
        <v>8273313</v>
      </c>
      <c r="AE9" s="228">
        <f>IFERROR(VLOOKUP(Vertailu[[#This Row],[Y-tunnus]],'1.2 Ohjaus-laskentataulu'!A:AU,COLUMN('1.2 Ohjaus-laskentataulu'!O:O),FALSE),0)</f>
        <v>9856648</v>
      </c>
      <c r="AF9" s="228">
        <f>Vertailu[[#This Row],[Suoritusrahoitus 2023, €]]-Vertailu[[#This Row],[Suoritusrahoitus 2022, €]]</f>
        <v>1583335</v>
      </c>
      <c r="AG9" s="230">
        <f>IFERROR(Vertailu[[#This Row],[Suoritusrahoituksen muutos, €]]/Vertailu[[#This Row],[Suoritusrahoitus 2022, €]],0)</f>
        <v>0.19137859283215805</v>
      </c>
      <c r="AH9" s="228">
        <f>IFERROR(VLOOKUP(Vertailu[[#This Row],[Y-tunnus]],'Suoritepäätös 2022 oikaistu'!$Q:$AC,COLUMN('Suoritepäätös 2022 oikaistu'!K:K),FALSE),0)</f>
        <v>961783</v>
      </c>
      <c r="AI9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1075038</v>
      </c>
      <c r="AJ9" s="228">
        <f>Vertailu[[#This Row],[Vaikuttavuusrahoitus 2023, €]]-Vertailu[[#This Row],[Vaikuttavuusrahoitus 2022, €]]</f>
        <v>113255</v>
      </c>
      <c r="AK9" s="230">
        <f>IFERROR(Vertailu[[#This Row],[Vaikuttavuusrahoituksen muutos, €]]/Vertailu[[#This Row],[Vaikuttavuusrahoitus 2022, €]],0)</f>
        <v>0.11775525248418822</v>
      </c>
    </row>
    <row r="10" spans="1:37" s="5" customFormat="1" ht="12.75" customHeight="1" x14ac:dyDescent="0.35">
      <c r="A10" s="7" t="s">
        <v>330</v>
      </c>
      <c r="B10" s="188" t="s">
        <v>17</v>
      </c>
      <c r="C10" s="188" t="s">
        <v>180</v>
      </c>
      <c r="D10" s="11" t="s">
        <v>337</v>
      </c>
      <c r="E10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0.8302507347926148</v>
      </c>
      <c r="F10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0.83045861161977419</v>
      </c>
      <c r="G10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0.15816576555526707</v>
      </c>
      <c r="H10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1.1375622824958773E-2</v>
      </c>
      <c r="I10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6.7772626820975018E-3</v>
      </c>
      <c r="J10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6.4653850783103189E-4</v>
      </c>
      <c r="K10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1.776910330875467E-3</v>
      </c>
      <c r="L10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1.7016173440783479E-3</v>
      </c>
      <c r="M10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4.7329396007642386E-4</v>
      </c>
      <c r="N10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44147648</v>
      </c>
      <c r="O10" s="228">
        <f>IFERROR(VLOOKUP(Vertailu[[#This Row],[Y-tunnus]],'1.2 Ohjaus-laskentataulu'!A:AU,COLUMN('1.2 Ohjaus-laskentataulu'!AF:AF),FALSE),0)</f>
        <v>48095410</v>
      </c>
      <c r="P10" s="228">
        <f>IFERROR(Vertailu[[#This Row],[Rahoitus pl. hark. kor. 2023 ilman alv, €]]-Vertailu[[#This Row],[Rahoitus pl. hark. kor. 2022 ilman alv, €]],0)</f>
        <v>3947762</v>
      </c>
      <c r="Q10" s="230">
        <f>IFERROR(Vertailu[[#This Row],[Muutos, € 1]]/Vertailu[[#This Row],[Rahoitus pl. hark. kor. 2022 ilman alv, €]],0)</f>
        <v>8.942179660397763E-2</v>
      </c>
      <c r="R10" s="233">
        <f>IFERROR(VLOOKUP(Vertailu[[#This Row],[Y-tunnus]],'Suoritepäätös 2022 oikaistu'!$Q:$AC,COLUMN('Suoritepäätös 2022 oikaistu'!L:L),FALSE),0)</f>
        <v>44147648</v>
      </c>
      <c r="S10" s="234">
        <f>IFERROR(VLOOKUP(Vertailu[[#This Row],[Y-tunnus]],'1.2 Ohjaus-laskentataulu'!A:AU,COLUMN('1.2 Ohjaus-laskentataulu'!AS:AS),FALSE),0)</f>
        <v>48105410</v>
      </c>
      <c r="T10" s="228">
        <f>IFERROR(Vertailu[[#This Row],[Rahoitus ml. hark. kor. 
2023 ilman alv, €]]-Vertailu[[#This Row],[Rahoitus ml. hark. kor. 
2022 ilman alv, €]],0)</f>
        <v>3957762</v>
      </c>
      <c r="U10" s="232">
        <f>IFERROR(Vertailu[[#This Row],[Muutos, € 2]]/Vertailu[[#This Row],[Rahoitus ml. hark. kor. 
2022 ilman alv, €]],0)</f>
        <v>8.9648309237221432E-2</v>
      </c>
      <c r="V10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46364181</v>
      </c>
      <c r="W10" s="233">
        <f>IFERROR(VLOOKUP(Vertailu[[#This Row],[Y-tunnus]],'1.2 Ohjaus-laskentataulu'!A:AU,COLUMN('1.2 Ohjaus-laskentataulu'!AU:AU),FALSE),0)</f>
        <v>50620990</v>
      </c>
      <c r="X10" s="235">
        <f>IFERROR(Vertailu[[#This Row],[Rahoitus ml. hark. kor. + alv 2023, €]]-Vertailu[[#This Row],[Rahoitus ml. hark. kor. + alv 2022, €]],0)</f>
        <v>4256809</v>
      </c>
      <c r="Y10" s="230">
        <f>IFERROR(Vertailu[[#This Row],[Muutos, € 3]]/Vertailu[[#This Row],[Rahoitus ml. hark. kor. + alv 2022, €]],0)</f>
        <v>9.1812448924742135E-2</v>
      </c>
      <c r="Z10" s="228">
        <f>IFERROR(VLOOKUP(Vertailu[[#This Row],[Y-tunnus]],'Suoritepäätös 2022 oikaistu'!$B:$N,COLUMN('Suoritepäätös 2022 oikaistu'!G:G),FALSE),0)</f>
        <v>36813313</v>
      </c>
      <c r="AA10" s="228">
        <f>IFERROR(VLOOKUP(Vertailu[[#This Row],[Y-tunnus]],'1.2 Ohjaus-laskentataulu'!A:AU,COLUMN('1.2 Ohjaus-laskentataulu'!AP:AP),FALSE),0)</f>
        <v>39949552</v>
      </c>
      <c r="AB10" s="228">
        <f>Vertailu[[#This Row],[Perusrahoitus 2023, €]]-Vertailu[[#This Row],[Perusrahoitus 2022, €]]</f>
        <v>3136239</v>
      </c>
      <c r="AC10" s="230">
        <f>IFERROR(Vertailu[[#This Row],[Perusrahoituksen muutos, €]]/Vertailu[[#This Row],[Perusrahoitus 2022, €]],0)</f>
        <v>8.5193065888962513E-2</v>
      </c>
      <c r="AD10" s="228">
        <f>IFERROR(VLOOKUP(Vertailu[[#This Row],[Y-tunnus]],'Suoritepäätös 2022 oikaistu'!$B:$N,COLUMN('Suoritepäätös 2022 oikaistu'!M:M),FALSE),0)</f>
        <v>6807115</v>
      </c>
      <c r="AE10" s="228">
        <f>IFERROR(VLOOKUP(Vertailu[[#This Row],[Y-tunnus]],'1.2 Ohjaus-laskentataulu'!A:AU,COLUMN('1.2 Ohjaus-laskentataulu'!O:O),FALSE),0)</f>
        <v>7608629</v>
      </c>
      <c r="AF10" s="228">
        <f>Vertailu[[#This Row],[Suoritusrahoitus 2023, €]]-Vertailu[[#This Row],[Suoritusrahoitus 2022, €]]</f>
        <v>801514</v>
      </c>
      <c r="AG10" s="230">
        <f>IFERROR(Vertailu[[#This Row],[Suoritusrahoituksen muutos, €]]/Vertailu[[#This Row],[Suoritusrahoitus 2022, €]],0)</f>
        <v>0.11774650494372432</v>
      </c>
      <c r="AH10" s="228">
        <f>IFERROR(VLOOKUP(Vertailu[[#This Row],[Y-tunnus]],'Suoritepäätös 2022 oikaistu'!$Q:$AC,COLUMN('Suoritepäätös 2022 oikaistu'!K:K),FALSE),0)</f>
        <v>527220</v>
      </c>
      <c r="AI10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547229</v>
      </c>
      <c r="AJ10" s="228">
        <f>Vertailu[[#This Row],[Vaikuttavuusrahoitus 2023, €]]-Vertailu[[#This Row],[Vaikuttavuusrahoitus 2022, €]]</f>
        <v>20009</v>
      </c>
      <c r="AK10" s="230">
        <f>IFERROR(Vertailu[[#This Row],[Vaikuttavuusrahoituksen muutos, €]]/Vertailu[[#This Row],[Vaikuttavuusrahoitus 2022, €]],0)</f>
        <v>3.7951898638139678E-2</v>
      </c>
    </row>
    <row r="11" spans="1:37" s="5" customFormat="1" ht="12.75" customHeight="1" x14ac:dyDescent="0.35">
      <c r="A11" s="7" t="s">
        <v>328</v>
      </c>
      <c r="B11" s="188" t="s">
        <v>153</v>
      </c>
      <c r="C11" s="188" t="s">
        <v>180</v>
      </c>
      <c r="D11" s="11" t="s">
        <v>337</v>
      </c>
      <c r="E11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0.44523015377174069</v>
      </c>
      <c r="F11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0.45530693887422158</v>
      </c>
      <c r="G11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0.19535611358552168</v>
      </c>
      <c r="H11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0.34933694754025674</v>
      </c>
      <c r="I11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0.13068204719966142</v>
      </c>
      <c r="J11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1.671234809246458E-2</v>
      </c>
      <c r="K11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7.4139946391503259E-2</v>
      </c>
      <c r="L11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8.2900451439972586E-2</v>
      </c>
      <c r="M11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4.4902154416654912E-2</v>
      </c>
      <c r="N11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664277</v>
      </c>
      <c r="O11" s="228">
        <f>IFERROR(VLOOKUP(Vertailu[[#This Row],[Y-tunnus]],'1.2 Ohjaus-laskentataulu'!A:AU,COLUMN('1.2 Ohjaus-laskentataulu'!AF:AF),FALSE),0)</f>
        <v>785904</v>
      </c>
      <c r="P11" s="228">
        <f>IFERROR(Vertailu[[#This Row],[Rahoitus pl. hark. kor. 2023 ilman alv, €]]-Vertailu[[#This Row],[Rahoitus pl. hark. kor. 2022 ilman alv, €]],0)</f>
        <v>121627</v>
      </c>
      <c r="Q11" s="230">
        <f>IFERROR(Vertailu[[#This Row],[Muutos, € 1]]/Vertailu[[#This Row],[Rahoitus pl. hark. kor. 2022 ilman alv, €]],0)</f>
        <v>0.18309681051729926</v>
      </c>
      <c r="R11" s="233">
        <f>IFERROR(VLOOKUP(Vertailu[[#This Row],[Y-tunnus]],'Suoritepäätös 2022 oikaistu'!$Q:$AC,COLUMN('Suoritepäätös 2022 oikaistu'!L:L),FALSE),0)</f>
        <v>675277</v>
      </c>
      <c r="S11" s="234">
        <f>IFERROR(VLOOKUP(Vertailu[[#This Row],[Y-tunnus]],'1.2 Ohjaus-laskentataulu'!A:AU,COLUMN('1.2 Ohjaus-laskentataulu'!AS:AS),FALSE),0)</f>
        <v>793904</v>
      </c>
      <c r="T11" s="228">
        <f>IFERROR(Vertailu[[#This Row],[Rahoitus ml. hark. kor. 
2023 ilman alv, €]]-Vertailu[[#This Row],[Rahoitus ml. hark. kor. 
2022 ilman alv, €]],0)</f>
        <v>118627</v>
      </c>
      <c r="U11" s="232">
        <f>IFERROR(Vertailu[[#This Row],[Muutos, € 2]]/Vertailu[[#This Row],[Rahoitus ml. hark. kor. 
2022 ilman alv, €]],0)</f>
        <v>0.17567161327869896</v>
      </c>
      <c r="V11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735806</v>
      </c>
      <c r="W11" s="233">
        <f>IFERROR(VLOOKUP(Vertailu[[#This Row],[Y-tunnus]],'1.2 Ohjaus-laskentataulu'!A:AU,COLUMN('1.2 Ohjaus-laskentataulu'!AU:AU),FALSE),0)</f>
        <v>845494</v>
      </c>
      <c r="X11" s="235">
        <f>IFERROR(Vertailu[[#This Row],[Rahoitus ml. hark. kor. + alv 2023, €]]-Vertailu[[#This Row],[Rahoitus ml. hark. kor. + alv 2022, €]],0)</f>
        <v>109688</v>
      </c>
      <c r="Y11" s="230">
        <f>IFERROR(Vertailu[[#This Row],[Muutos, € 3]]/Vertailu[[#This Row],[Rahoitus ml. hark. kor. + alv 2022, €]],0)</f>
        <v>0.14907190210463084</v>
      </c>
      <c r="Z11" s="228">
        <f>IFERROR(VLOOKUP(Vertailu[[#This Row],[Y-tunnus]],'Suoritepäätös 2022 oikaistu'!$B:$N,COLUMN('Suoritepäätös 2022 oikaistu'!G:G),FALSE),0)</f>
        <v>343213</v>
      </c>
      <c r="AA11" s="228">
        <f>IFERROR(VLOOKUP(Vertailu[[#This Row],[Y-tunnus]],'1.2 Ohjaus-laskentataulu'!A:AU,COLUMN('1.2 Ohjaus-laskentataulu'!AP:AP),FALSE),0)</f>
        <v>361470</v>
      </c>
      <c r="AB11" s="228">
        <f>Vertailu[[#This Row],[Perusrahoitus 2023, €]]-Vertailu[[#This Row],[Perusrahoitus 2022, €]]</f>
        <v>18257</v>
      </c>
      <c r="AC11" s="230">
        <f>IFERROR(Vertailu[[#This Row],[Perusrahoituksen muutos, €]]/Vertailu[[#This Row],[Perusrahoitus 2022, €]],0)</f>
        <v>5.3194372008053305E-2</v>
      </c>
      <c r="AD11" s="228">
        <f>IFERROR(VLOOKUP(Vertailu[[#This Row],[Y-tunnus]],'Suoritepäätös 2022 oikaistu'!$B:$N,COLUMN('Suoritepäätös 2022 oikaistu'!M:M),FALSE),0)</f>
        <v>142189</v>
      </c>
      <c r="AE11" s="228">
        <f>IFERROR(VLOOKUP(Vertailu[[#This Row],[Y-tunnus]],'1.2 Ohjaus-laskentataulu'!A:AU,COLUMN('1.2 Ohjaus-laskentataulu'!O:O),FALSE),0)</f>
        <v>155094</v>
      </c>
      <c r="AF11" s="228">
        <f>Vertailu[[#This Row],[Suoritusrahoitus 2023, €]]-Vertailu[[#This Row],[Suoritusrahoitus 2022, €]]</f>
        <v>12905</v>
      </c>
      <c r="AG11" s="230">
        <f>IFERROR(Vertailu[[#This Row],[Suoritusrahoituksen muutos, €]]/Vertailu[[#This Row],[Suoritusrahoitus 2022, €]],0)</f>
        <v>9.075948209777128E-2</v>
      </c>
      <c r="AH11" s="228">
        <f>IFERROR(VLOOKUP(Vertailu[[#This Row],[Y-tunnus]],'Suoritepäätös 2022 oikaistu'!$Q:$AC,COLUMN('Suoritepäätös 2022 oikaistu'!K:K),FALSE),0)</f>
        <v>189875</v>
      </c>
      <c r="AI11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277340</v>
      </c>
      <c r="AJ11" s="228">
        <f>Vertailu[[#This Row],[Vaikuttavuusrahoitus 2023, €]]-Vertailu[[#This Row],[Vaikuttavuusrahoitus 2022, €]]</f>
        <v>87465</v>
      </c>
      <c r="AK11" s="230">
        <f>IFERROR(Vertailu[[#This Row],[Vaikuttavuusrahoituksen muutos, €]]/Vertailu[[#This Row],[Vaikuttavuusrahoitus 2022, €]],0)</f>
        <v>0.46064516129032257</v>
      </c>
    </row>
    <row r="12" spans="1:37" s="5" customFormat="1" ht="12.75" customHeight="1" x14ac:dyDescent="0.35">
      <c r="A12" s="7" t="s">
        <v>327</v>
      </c>
      <c r="B12" s="188" t="s">
        <v>19</v>
      </c>
      <c r="C12" s="188" t="s">
        <v>180</v>
      </c>
      <c r="D12" s="11" t="s">
        <v>337</v>
      </c>
      <c r="E12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0.6945657745423085</v>
      </c>
      <c r="F12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0.69618189306197631</v>
      </c>
      <c r="G12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0.20214216509781963</v>
      </c>
      <c r="H12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0.10167594184020412</v>
      </c>
      <c r="I12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7.5876064180376068E-2</v>
      </c>
      <c r="J12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3.9043268610480151E-3</v>
      </c>
      <c r="K12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1.1504716776576194E-2</v>
      </c>
      <c r="L12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7.6445099511151084E-3</v>
      </c>
      <c r="M12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2.7463240710887439E-3</v>
      </c>
      <c r="N12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17319823</v>
      </c>
      <c r="O12" s="228">
        <f>IFERROR(VLOOKUP(Vertailu[[#This Row],[Y-tunnus]],'1.2 Ohjaus-laskentataulu'!A:AU,COLUMN('1.2 Ohjaus-laskentataulu'!AF:AF),FALSE),0)</f>
        <v>18532995</v>
      </c>
      <c r="P12" s="228">
        <f>IFERROR(Vertailu[[#This Row],[Rahoitus pl. hark. kor. 2023 ilman alv, €]]-Vertailu[[#This Row],[Rahoitus pl. hark. kor. 2022 ilman alv, €]],0)</f>
        <v>1213172</v>
      </c>
      <c r="Q12" s="230">
        <f>IFERROR(Vertailu[[#This Row],[Muutos, € 1]]/Vertailu[[#This Row],[Rahoitus pl. hark. kor. 2022 ilman alv, €]],0)</f>
        <v>7.0045288569057548E-2</v>
      </c>
      <c r="R12" s="233">
        <f>IFERROR(VLOOKUP(Vertailu[[#This Row],[Y-tunnus]],'Suoritepäätös 2022 oikaistu'!$Q:$AC,COLUMN('Suoritepäätös 2022 oikaistu'!L:L),FALSE),0)</f>
        <v>17349823</v>
      </c>
      <c r="S12" s="234">
        <f>IFERROR(VLOOKUP(Vertailu[[#This Row],[Y-tunnus]],'1.2 Ohjaus-laskentataulu'!A:AU,COLUMN('1.2 Ohjaus-laskentataulu'!AS:AS),FALSE),0)</f>
        <v>18562995</v>
      </c>
      <c r="T12" s="228">
        <f>IFERROR(Vertailu[[#This Row],[Rahoitus ml. hark. kor. 
2023 ilman alv, €]]-Vertailu[[#This Row],[Rahoitus ml. hark. kor. 
2022 ilman alv, €]],0)</f>
        <v>1213172</v>
      </c>
      <c r="U12" s="232">
        <f>IFERROR(Vertailu[[#This Row],[Muutos, € 2]]/Vertailu[[#This Row],[Rahoitus ml. hark. kor. 
2022 ilman alv, €]],0)</f>
        <v>6.9924171560712747E-2</v>
      </c>
      <c r="V12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18596048</v>
      </c>
      <c r="W12" s="233">
        <f>IFERROR(VLOOKUP(Vertailu[[#This Row],[Y-tunnus]],'1.2 Ohjaus-laskentataulu'!A:AU,COLUMN('1.2 Ohjaus-laskentataulu'!AU:AU),FALSE),0)</f>
        <v>19840673</v>
      </c>
      <c r="X12" s="235">
        <f>IFERROR(Vertailu[[#This Row],[Rahoitus ml. hark. kor. + alv 2023, €]]-Vertailu[[#This Row],[Rahoitus ml. hark. kor. + alv 2022, €]],0)</f>
        <v>1244625</v>
      </c>
      <c r="Y12" s="230">
        <f>IFERROR(Vertailu[[#This Row],[Muutos, € 3]]/Vertailu[[#This Row],[Rahoitus ml. hark. kor. + alv 2022, €]],0)</f>
        <v>6.6929543309417139E-2</v>
      </c>
      <c r="Z12" s="228">
        <f>IFERROR(VLOOKUP(Vertailu[[#This Row],[Y-tunnus]],'Suoritepäätös 2022 oikaistu'!$B:$N,COLUMN('Suoritepäätös 2022 oikaistu'!G:G),FALSE),0)</f>
        <v>12072708</v>
      </c>
      <c r="AA12" s="228">
        <f>IFERROR(VLOOKUP(Vertailu[[#This Row],[Y-tunnus]],'1.2 Ohjaus-laskentataulu'!A:AU,COLUMN('1.2 Ohjaus-laskentataulu'!AP:AP),FALSE),0)</f>
        <v>12923221</v>
      </c>
      <c r="AB12" s="228">
        <f>Vertailu[[#This Row],[Perusrahoitus 2023, €]]-Vertailu[[#This Row],[Perusrahoitus 2022, €]]</f>
        <v>850513</v>
      </c>
      <c r="AC12" s="230">
        <f>IFERROR(Vertailu[[#This Row],[Perusrahoituksen muutos, €]]/Vertailu[[#This Row],[Perusrahoitus 2022, €]],0)</f>
        <v>7.0449231440038146E-2</v>
      </c>
      <c r="AD12" s="228">
        <f>IFERROR(VLOOKUP(Vertailu[[#This Row],[Y-tunnus]],'Suoritepäätös 2022 oikaistu'!$B:$N,COLUMN('Suoritepäätös 2022 oikaistu'!M:M),FALSE),0)</f>
        <v>3470463</v>
      </c>
      <c r="AE12" s="228">
        <f>IFERROR(VLOOKUP(Vertailu[[#This Row],[Y-tunnus]],'1.2 Ohjaus-laskentataulu'!A:AU,COLUMN('1.2 Ohjaus-laskentataulu'!O:O),FALSE),0)</f>
        <v>3752364</v>
      </c>
      <c r="AF12" s="228">
        <f>Vertailu[[#This Row],[Suoritusrahoitus 2023, €]]-Vertailu[[#This Row],[Suoritusrahoitus 2022, €]]</f>
        <v>281901</v>
      </c>
      <c r="AG12" s="230">
        <f>IFERROR(Vertailu[[#This Row],[Suoritusrahoituksen muutos, €]]/Vertailu[[#This Row],[Suoritusrahoitus 2022, €]],0)</f>
        <v>8.1228642979337337E-2</v>
      </c>
      <c r="AH12" s="228">
        <f>IFERROR(VLOOKUP(Vertailu[[#This Row],[Y-tunnus]],'Suoritepäätös 2022 oikaistu'!$Q:$AC,COLUMN('Suoritepäätös 2022 oikaistu'!K:K),FALSE),0)</f>
        <v>1806652</v>
      </c>
      <c r="AI12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1887410</v>
      </c>
      <c r="AJ12" s="228">
        <f>Vertailu[[#This Row],[Vaikuttavuusrahoitus 2023, €]]-Vertailu[[#This Row],[Vaikuttavuusrahoitus 2022, €]]</f>
        <v>80758</v>
      </c>
      <c r="AK12" s="230">
        <f>IFERROR(Vertailu[[#This Row],[Vaikuttavuusrahoituksen muutos, €]]/Vertailu[[#This Row],[Vaikuttavuusrahoitus 2022, €]],0)</f>
        <v>4.4700362881174682E-2</v>
      </c>
    </row>
    <row r="13" spans="1:37" s="5" customFormat="1" ht="12.75" customHeight="1" x14ac:dyDescent="0.35">
      <c r="A13" s="7" t="s">
        <v>181</v>
      </c>
      <c r="B13" s="188" t="s">
        <v>154</v>
      </c>
      <c r="C13" s="188" t="s">
        <v>180</v>
      </c>
      <c r="D13" s="11" t="s">
        <v>337</v>
      </c>
      <c r="E13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0.64973825606175151</v>
      </c>
      <c r="F13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0.65174426665186969</v>
      </c>
      <c r="G13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0.22278174459181971</v>
      </c>
      <c r="H13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0.12547398875631063</v>
      </c>
      <c r="I13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8.0919361124453054E-2</v>
      </c>
      <c r="J13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6.2851870839449103E-3</v>
      </c>
      <c r="K13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1.9865005193787904E-2</v>
      </c>
      <c r="L13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1.3366210337004926E-2</v>
      </c>
      <c r="M13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5.0382250171198441E-3</v>
      </c>
      <c r="N13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28756625</v>
      </c>
      <c r="O13" s="228">
        <f>IFERROR(VLOOKUP(Vertailu[[#This Row],[Y-tunnus]],'1.2 Ohjaus-laskentataulu'!A:AU,COLUMN('1.2 Ohjaus-laskentataulu'!AF:AF),FALSE),0)</f>
        <v>30845115</v>
      </c>
      <c r="P13" s="228">
        <f>IFERROR(Vertailu[[#This Row],[Rahoitus pl. hark. kor. 2023 ilman alv, €]]-Vertailu[[#This Row],[Rahoitus pl. hark. kor. 2022 ilman alv, €]],0)</f>
        <v>2088490</v>
      </c>
      <c r="Q13" s="230">
        <f>IFERROR(Vertailu[[#This Row],[Muutos, € 1]]/Vertailu[[#This Row],[Rahoitus pl. hark. kor. 2022 ilman alv, €]],0)</f>
        <v>7.2626394787288148E-2</v>
      </c>
      <c r="R13" s="233">
        <f>IFERROR(VLOOKUP(Vertailu[[#This Row],[Y-tunnus]],'Suoritepäätös 2022 oikaistu'!$Q:$AC,COLUMN('Suoritepäätös 2022 oikaistu'!L:L),FALSE),0)</f>
        <v>28811625</v>
      </c>
      <c r="S13" s="234">
        <f>IFERROR(VLOOKUP(Vertailu[[#This Row],[Y-tunnus]],'1.2 Ohjaus-laskentataulu'!A:AU,COLUMN('1.2 Ohjaus-laskentataulu'!AS:AS),FALSE),0)</f>
        <v>30907115</v>
      </c>
      <c r="T13" s="228">
        <f>IFERROR(Vertailu[[#This Row],[Rahoitus ml. hark. kor. 
2023 ilman alv, €]]-Vertailu[[#This Row],[Rahoitus ml. hark. kor. 
2022 ilman alv, €]],0)</f>
        <v>2095490</v>
      </c>
      <c r="U13" s="232">
        <f>IFERROR(Vertailu[[#This Row],[Muutos, € 2]]/Vertailu[[#This Row],[Rahoitus ml. hark. kor. 
2022 ilman alv, €]],0)</f>
        <v>7.2730711995592057E-2</v>
      </c>
      <c r="V13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31048038</v>
      </c>
      <c r="W13" s="233">
        <f>IFERROR(VLOOKUP(Vertailu[[#This Row],[Y-tunnus]],'1.2 Ohjaus-laskentataulu'!A:AU,COLUMN('1.2 Ohjaus-laskentataulu'!AU:AU),FALSE),0)</f>
        <v>32865228</v>
      </c>
      <c r="X13" s="235">
        <f>IFERROR(Vertailu[[#This Row],[Rahoitus ml. hark. kor. + alv 2023, €]]-Vertailu[[#This Row],[Rahoitus ml. hark. kor. + alv 2022, €]],0)</f>
        <v>1817190</v>
      </c>
      <c r="Y13" s="230">
        <f>IFERROR(Vertailu[[#This Row],[Muutos, € 3]]/Vertailu[[#This Row],[Rahoitus ml. hark. kor. + alv 2022, €]],0)</f>
        <v>5.8528335993404804E-2</v>
      </c>
      <c r="Z13" s="228">
        <f>IFERROR(VLOOKUP(Vertailu[[#This Row],[Y-tunnus]],'Suoritepäätös 2022 oikaistu'!$B:$N,COLUMN('Suoritepäätös 2022 oikaistu'!G:G),FALSE),0)</f>
        <v>18796923</v>
      </c>
      <c r="AA13" s="228">
        <f>IFERROR(VLOOKUP(Vertailu[[#This Row],[Y-tunnus]],'1.2 Ohjaus-laskentataulu'!A:AU,COLUMN('1.2 Ohjaus-laskentataulu'!AP:AP),FALSE),0)</f>
        <v>20143535</v>
      </c>
      <c r="AB13" s="228">
        <f>Vertailu[[#This Row],[Perusrahoitus 2023, €]]-Vertailu[[#This Row],[Perusrahoitus 2022, €]]</f>
        <v>1346612</v>
      </c>
      <c r="AC13" s="230">
        <f>IFERROR(Vertailu[[#This Row],[Perusrahoituksen muutos, €]]/Vertailu[[#This Row],[Perusrahoitus 2022, €]],0)</f>
        <v>7.16400232101818E-2</v>
      </c>
      <c r="AD13" s="228">
        <f>IFERROR(VLOOKUP(Vertailu[[#This Row],[Y-tunnus]],'Suoritepäätös 2022 oikaistu'!$B:$N,COLUMN('Suoritepäätös 2022 oikaistu'!M:M),FALSE),0)</f>
        <v>6447194</v>
      </c>
      <c r="AE13" s="228">
        <f>IFERROR(VLOOKUP(Vertailu[[#This Row],[Y-tunnus]],'1.2 Ohjaus-laskentataulu'!A:AU,COLUMN('1.2 Ohjaus-laskentataulu'!O:O),FALSE),0)</f>
        <v>6885541</v>
      </c>
      <c r="AF13" s="228">
        <f>Vertailu[[#This Row],[Suoritusrahoitus 2023, €]]-Vertailu[[#This Row],[Suoritusrahoitus 2022, €]]</f>
        <v>438347</v>
      </c>
      <c r="AG13" s="230">
        <f>IFERROR(Vertailu[[#This Row],[Suoritusrahoituksen muutos, €]]/Vertailu[[#This Row],[Suoritusrahoitus 2022, €]],0)</f>
        <v>6.7990353632913794E-2</v>
      </c>
      <c r="AH13" s="228">
        <f>IFERROR(VLOOKUP(Vertailu[[#This Row],[Y-tunnus]],'Suoritepäätös 2022 oikaistu'!$Q:$AC,COLUMN('Suoritepäätös 2022 oikaistu'!K:K),FALSE),0)</f>
        <v>3567508</v>
      </c>
      <c r="AI13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3878039</v>
      </c>
      <c r="AJ13" s="228">
        <f>Vertailu[[#This Row],[Vaikuttavuusrahoitus 2023, €]]-Vertailu[[#This Row],[Vaikuttavuusrahoitus 2022, €]]</f>
        <v>310531</v>
      </c>
      <c r="AK13" s="230">
        <f>IFERROR(Vertailu[[#This Row],[Vaikuttavuusrahoituksen muutos, €]]/Vertailu[[#This Row],[Vaikuttavuusrahoitus 2022, €]],0)</f>
        <v>8.7044233677962324E-2</v>
      </c>
    </row>
    <row r="14" spans="1:37" s="5" customFormat="1" ht="12.75" customHeight="1" x14ac:dyDescent="0.35">
      <c r="A14" s="7" t="s">
        <v>326</v>
      </c>
      <c r="B14" s="188" t="s">
        <v>20</v>
      </c>
      <c r="C14" s="188" t="s">
        <v>180</v>
      </c>
      <c r="D14" s="11" t="s">
        <v>337</v>
      </c>
      <c r="E14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0.26779550411292952</v>
      </c>
      <c r="F14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0.26779550411292952</v>
      </c>
      <c r="G14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0.26180213288454601</v>
      </c>
      <c r="H14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0.47040236300252442</v>
      </c>
      <c r="I14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0.41656505984784736</v>
      </c>
      <c r="J14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0</v>
      </c>
      <c r="K14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4.8565197231715068E-2</v>
      </c>
      <c r="L14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3.5891535436451375E-3</v>
      </c>
      <c r="M14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1.6829523793168587E-3</v>
      </c>
      <c r="N14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50415</v>
      </c>
      <c r="O14" s="228">
        <f>IFERROR(VLOOKUP(Vertailu[[#This Row],[Y-tunnus]],'1.2 Ohjaus-laskentataulu'!A:AU,COLUMN('1.2 Ohjaus-laskentataulu'!AF:AF),FALSE),0)</f>
        <v>58231</v>
      </c>
      <c r="P14" s="228">
        <f>IFERROR(Vertailu[[#This Row],[Rahoitus pl. hark. kor. 2023 ilman alv, €]]-Vertailu[[#This Row],[Rahoitus pl. hark. kor. 2022 ilman alv, €]],0)</f>
        <v>7816</v>
      </c>
      <c r="Q14" s="230">
        <f>IFERROR(Vertailu[[#This Row],[Muutos, € 1]]/Vertailu[[#This Row],[Rahoitus pl. hark. kor. 2022 ilman alv, €]],0)</f>
        <v>0.15503322423881782</v>
      </c>
      <c r="R14" s="233">
        <f>IFERROR(VLOOKUP(Vertailu[[#This Row],[Y-tunnus]],'Suoritepäätös 2022 oikaistu'!$Q:$AC,COLUMN('Suoritepäätös 2022 oikaistu'!L:L),FALSE),0)</f>
        <v>50415</v>
      </c>
      <c r="S14" s="234">
        <f>IFERROR(VLOOKUP(Vertailu[[#This Row],[Y-tunnus]],'1.2 Ohjaus-laskentataulu'!A:AU,COLUMN('1.2 Ohjaus-laskentataulu'!AS:AS),FALSE),0)</f>
        <v>58231</v>
      </c>
      <c r="T14" s="228">
        <f>IFERROR(Vertailu[[#This Row],[Rahoitus ml. hark. kor. 
2023 ilman alv, €]]-Vertailu[[#This Row],[Rahoitus ml. hark. kor. 
2022 ilman alv, €]],0)</f>
        <v>7816</v>
      </c>
      <c r="U14" s="232">
        <f>IFERROR(Vertailu[[#This Row],[Muutos, € 2]]/Vertailu[[#This Row],[Rahoitus ml. hark. kor. 
2022 ilman alv, €]],0)</f>
        <v>0.15503322423881782</v>
      </c>
      <c r="V14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50415</v>
      </c>
      <c r="W14" s="233">
        <f>IFERROR(VLOOKUP(Vertailu[[#This Row],[Y-tunnus]],'1.2 Ohjaus-laskentataulu'!A:AU,COLUMN('1.2 Ohjaus-laskentataulu'!AU:AU),FALSE),0)</f>
        <v>58734</v>
      </c>
      <c r="X14" s="235">
        <f>IFERROR(Vertailu[[#This Row],[Rahoitus ml. hark. kor. + alv 2023, €]]-Vertailu[[#This Row],[Rahoitus ml. hark. kor. + alv 2022, €]],0)</f>
        <v>8319</v>
      </c>
      <c r="Y14" s="230">
        <f>IFERROR(Vertailu[[#This Row],[Muutos, € 3]]/Vertailu[[#This Row],[Rahoitus ml. hark. kor. + alv 2022, €]],0)</f>
        <v>0.16501041356739066</v>
      </c>
      <c r="Z14" s="228">
        <f>IFERROR(VLOOKUP(Vertailu[[#This Row],[Y-tunnus]],'Suoritepäätös 2022 oikaistu'!$B:$N,COLUMN('Suoritepäätös 2022 oikaistu'!G:G),FALSE),0)</f>
        <v>24427</v>
      </c>
      <c r="AA14" s="228">
        <f>IFERROR(VLOOKUP(Vertailu[[#This Row],[Y-tunnus]],'1.2 Ohjaus-laskentataulu'!A:AU,COLUMN('1.2 Ohjaus-laskentataulu'!AP:AP),FALSE),0)</f>
        <v>15594</v>
      </c>
      <c r="AB14" s="228">
        <f>Vertailu[[#This Row],[Perusrahoitus 2023, €]]-Vertailu[[#This Row],[Perusrahoitus 2022, €]]</f>
        <v>-8833</v>
      </c>
      <c r="AC14" s="230">
        <f>IFERROR(Vertailu[[#This Row],[Perusrahoituksen muutos, €]]/Vertailu[[#This Row],[Perusrahoitus 2022, €]],0)</f>
        <v>-0.36160805665861545</v>
      </c>
      <c r="AD14" s="228">
        <f>IFERROR(VLOOKUP(Vertailu[[#This Row],[Y-tunnus]],'Suoritepäätös 2022 oikaistu'!$B:$N,COLUMN('Suoritepäätös 2022 oikaistu'!M:M),FALSE),0)</f>
        <v>5551</v>
      </c>
      <c r="AE14" s="228">
        <f>IFERROR(VLOOKUP(Vertailu[[#This Row],[Y-tunnus]],'1.2 Ohjaus-laskentataulu'!A:AU,COLUMN('1.2 Ohjaus-laskentataulu'!O:O),FALSE),0)</f>
        <v>15245</v>
      </c>
      <c r="AF14" s="228">
        <f>Vertailu[[#This Row],[Suoritusrahoitus 2023, €]]-Vertailu[[#This Row],[Suoritusrahoitus 2022, €]]</f>
        <v>9694</v>
      </c>
      <c r="AG14" s="230">
        <f>IFERROR(Vertailu[[#This Row],[Suoritusrahoituksen muutos, €]]/Vertailu[[#This Row],[Suoritusrahoitus 2022, €]],0)</f>
        <v>1.7463520086470905</v>
      </c>
      <c r="AH14" s="228">
        <f>IFERROR(VLOOKUP(Vertailu[[#This Row],[Y-tunnus]],'Suoritepäätös 2022 oikaistu'!$Q:$AC,COLUMN('Suoritepäätös 2022 oikaistu'!K:K),FALSE),0)</f>
        <v>20437</v>
      </c>
      <c r="AI14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27392</v>
      </c>
      <c r="AJ14" s="228">
        <f>Vertailu[[#This Row],[Vaikuttavuusrahoitus 2023, €]]-Vertailu[[#This Row],[Vaikuttavuusrahoitus 2022, €]]</f>
        <v>6955</v>
      </c>
      <c r="AK14" s="230">
        <f>IFERROR(Vertailu[[#This Row],[Vaikuttavuusrahoituksen muutos, €]]/Vertailu[[#This Row],[Vaikuttavuusrahoitus 2022, €]],0)</f>
        <v>0.34031413612565448</v>
      </c>
    </row>
    <row r="15" spans="1:37" s="5" customFormat="1" ht="12.75" customHeight="1" x14ac:dyDescent="0.35">
      <c r="A15" s="7" t="s">
        <v>325</v>
      </c>
      <c r="B15" s="188" t="s">
        <v>21</v>
      </c>
      <c r="C15" s="188" t="s">
        <v>180</v>
      </c>
      <c r="D15" s="11" t="s">
        <v>336</v>
      </c>
      <c r="E15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0.71711629735572391</v>
      </c>
      <c r="F15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0.71902939264237797</v>
      </c>
      <c r="G15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0.18724362864910182</v>
      </c>
      <c r="H15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9.3726978708520203E-2</v>
      </c>
      <c r="I15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7.1040810553616676E-2</v>
      </c>
      <c r="J15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3.4691120362641313E-3</v>
      </c>
      <c r="K15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1.0133428342020717E-2</v>
      </c>
      <c r="L15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7.9201027731545023E-3</v>
      </c>
      <c r="M15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1.1635250034641687E-3</v>
      </c>
      <c r="N15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66298249</v>
      </c>
      <c r="O15" s="228">
        <f>IFERROR(VLOOKUP(Vertailu[[#This Row],[Y-tunnus]],'1.2 Ohjaus-laskentataulu'!A:AU,COLUMN('1.2 Ohjaus-laskentataulu'!AF:AF),FALSE),0)</f>
        <v>71474697</v>
      </c>
      <c r="P15" s="228">
        <f>IFERROR(Vertailu[[#This Row],[Rahoitus pl. hark. kor. 2023 ilman alv, €]]-Vertailu[[#This Row],[Rahoitus pl. hark. kor. 2022 ilman alv, €]],0)</f>
        <v>5176448</v>
      </c>
      <c r="Q15" s="230">
        <f>IFERROR(Vertailu[[#This Row],[Muutos, € 1]]/Vertailu[[#This Row],[Rahoitus pl. hark. kor. 2022 ilman alv, €]],0)</f>
        <v>7.8078200828501518E-2</v>
      </c>
      <c r="R15" s="233">
        <f>IFERROR(VLOOKUP(Vertailu[[#This Row],[Y-tunnus]],'Suoritepäätös 2022 oikaistu'!$Q:$AC,COLUMN('Suoritepäätös 2022 oikaistu'!L:L),FALSE),0)</f>
        <v>66477249</v>
      </c>
      <c r="S15" s="234">
        <f>IFERROR(VLOOKUP(Vertailu[[#This Row],[Y-tunnus]],'1.2 Ohjaus-laskentataulu'!A:AU,COLUMN('1.2 Ohjaus-laskentataulu'!AS:AS),FALSE),0)</f>
        <v>71611697</v>
      </c>
      <c r="T15" s="228">
        <f>IFERROR(Vertailu[[#This Row],[Rahoitus ml. hark. kor. 
2023 ilman alv, €]]-Vertailu[[#This Row],[Rahoitus ml. hark. kor. 
2022 ilman alv, €]],0)</f>
        <v>5134448</v>
      </c>
      <c r="U15" s="232">
        <f>IFERROR(Vertailu[[#This Row],[Muutos, € 2]]/Vertailu[[#This Row],[Rahoitus ml. hark. kor. 
2022 ilman alv, €]],0)</f>
        <v>7.7236168422071733E-2</v>
      </c>
      <c r="V15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66477249</v>
      </c>
      <c r="W15" s="233">
        <f>IFERROR(VLOOKUP(Vertailu[[#This Row],[Y-tunnus]],'1.2 Ohjaus-laskentataulu'!A:AU,COLUMN('1.2 Ohjaus-laskentataulu'!AU:AU),FALSE),0)</f>
        <v>71611697</v>
      </c>
      <c r="X15" s="235">
        <f>IFERROR(Vertailu[[#This Row],[Rahoitus ml. hark. kor. + alv 2023, €]]-Vertailu[[#This Row],[Rahoitus ml. hark. kor. + alv 2022, €]],0)</f>
        <v>5134448</v>
      </c>
      <c r="Y15" s="230">
        <f>IFERROR(Vertailu[[#This Row],[Muutos, € 3]]/Vertailu[[#This Row],[Rahoitus ml. hark. kor. + alv 2022, €]],0)</f>
        <v>7.7236168422071733E-2</v>
      </c>
      <c r="Z15" s="228">
        <f>IFERROR(VLOOKUP(Vertailu[[#This Row],[Y-tunnus]],'Suoritepäätös 2022 oikaistu'!$B:$N,COLUMN('Suoritepäätös 2022 oikaistu'!G:G),FALSE),0)</f>
        <v>47237164</v>
      </c>
      <c r="AA15" s="228">
        <f>IFERROR(VLOOKUP(Vertailu[[#This Row],[Y-tunnus]],'1.2 Ohjaus-laskentataulu'!A:AU,COLUMN('1.2 Ohjaus-laskentataulu'!AP:AP),FALSE),0)</f>
        <v>51490915</v>
      </c>
      <c r="AB15" s="228">
        <f>Vertailu[[#This Row],[Perusrahoitus 2023, €]]-Vertailu[[#This Row],[Perusrahoitus 2022, €]]</f>
        <v>4253751</v>
      </c>
      <c r="AC15" s="230">
        <f>IFERROR(Vertailu[[#This Row],[Perusrahoituksen muutos, €]]/Vertailu[[#This Row],[Perusrahoitus 2022, €]],0)</f>
        <v>9.0050939552594647E-2</v>
      </c>
      <c r="AD15" s="228">
        <f>IFERROR(VLOOKUP(Vertailu[[#This Row],[Y-tunnus]],'Suoritepäätös 2022 oikaistu'!$B:$N,COLUMN('Suoritepäätös 2022 oikaistu'!M:M),FALSE),0)</f>
        <v>12343269</v>
      </c>
      <c r="AE15" s="228">
        <f>IFERROR(VLOOKUP(Vertailu[[#This Row],[Y-tunnus]],'1.2 Ohjaus-laskentataulu'!A:AU,COLUMN('1.2 Ohjaus-laskentataulu'!O:O),FALSE),0)</f>
        <v>13408834</v>
      </c>
      <c r="AF15" s="228">
        <f>Vertailu[[#This Row],[Suoritusrahoitus 2023, €]]-Vertailu[[#This Row],[Suoritusrahoitus 2022, €]]</f>
        <v>1065565</v>
      </c>
      <c r="AG15" s="230">
        <f>IFERROR(Vertailu[[#This Row],[Suoritusrahoituksen muutos, €]]/Vertailu[[#This Row],[Suoritusrahoitus 2022, €]],0)</f>
        <v>8.6327617100461801E-2</v>
      </c>
      <c r="AH15" s="228">
        <f>IFERROR(VLOOKUP(Vertailu[[#This Row],[Y-tunnus]],'Suoritepäätös 2022 oikaistu'!$Q:$AC,COLUMN('Suoritepäätös 2022 oikaistu'!K:K),FALSE),0)</f>
        <v>6896816</v>
      </c>
      <c r="AI15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6711948</v>
      </c>
      <c r="AJ15" s="228">
        <f>Vertailu[[#This Row],[Vaikuttavuusrahoitus 2023, €]]-Vertailu[[#This Row],[Vaikuttavuusrahoitus 2022, €]]</f>
        <v>-184868</v>
      </c>
      <c r="AK15" s="230">
        <f>IFERROR(Vertailu[[#This Row],[Vaikuttavuusrahoituksen muutos, €]]/Vertailu[[#This Row],[Vaikuttavuusrahoitus 2022, €]],0)</f>
        <v>-2.6804832838805616E-2</v>
      </c>
    </row>
    <row r="16" spans="1:37" s="5" customFormat="1" ht="12.75" customHeight="1" x14ac:dyDescent="0.35">
      <c r="A16" s="7" t="s">
        <v>324</v>
      </c>
      <c r="B16" s="188" t="s">
        <v>22</v>
      </c>
      <c r="C16" s="188" t="s">
        <v>323</v>
      </c>
      <c r="D16" s="11" t="s">
        <v>336</v>
      </c>
      <c r="E16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0.68664846040200334</v>
      </c>
      <c r="F16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0.68847248332481392</v>
      </c>
      <c r="G16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0.20913262489540957</v>
      </c>
      <c r="H16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0.10239489177977652</v>
      </c>
      <c r="I16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7.38482097183564E-2</v>
      </c>
      <c r="J16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4.1589295073634859E-3</v>
      </c>
      <c r="K16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1.2042639617790464E-2</v>
      </c>
      <c r="L16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8.8154398886012598E-3</v>
      </c>
      <c r="M16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3.5296730476649268E-3</v>
      </c>
      <c r="N16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29727714</v>
      </c>
      <c r="O16" s="228">
        <f>IFERROR(VLOOKUP(Vertailu[[#This Row],[Y-tunnus]],'1.2 Ohjaus-laskentataulu'!A:AU,COLUMN('1.2 Ohjaus-laskentataulu'!AF:AF),FALSE),0)</f>
        <v>31739846</v>
      </c>
      <c r="P16" s="228">
        <f>IFERROR(Vertailu[[#This Row],[Rahoitus pl. hark. kor. 2023 ilman alv, €]]-Vertailu[[#This Row],[Rahoitus pl. hark. kor. 2022 ilman alv, €]],0)</f>
        <v>2012132</v>
      </c>
      <c r="Q16" s="230">
        <f>IFERROR(Vertailu[[#This Row],[Muutos, € 1]]/Vertailu[[#This Row],[Rahoitus pl. hark. kor. 2022 ilman alv, €]],0)</f>
        <v>6.7685392829061802E-2</v>
      </c>
      <c r="R16" s="233">
        <f>IFERROR(VLOOKUP(Vertailu[[#This Row],[Y-tunnus]],'Suoritepäätös 2022 oikaistu'!$Q:$AC,COLUMN('Suoritepäätös 2022 oikaistu'!L:L),FALSE),0)</f>
        <v>29778714</v>
      </c>
      <c r="S16" s="234">
        <f>IFERROR(VLOOKUP(Vertailu[[#This Row],[Y-tunnus]],'1.2 Ohjaus-laskentataulu'!A:AU,COLUMN('1.2 Ohjaus-laskentataulu'!AS:AS),FALSE),0)</f>
        <v>31797846</v>
      </c>
      <c r="T16" s="228">
        <f>IFERROR(Vertailu[[#This Row],[Rahoitus ml. hark. kor. 
2023 ilman alv, €]]-Vertailu[[#This Row],[Rahoitus ml. hark. kor. 
2022 ilman alv, €]],0)</f>
        <v>2019132</v>
      </c>
      <c r="U16" s="232">
        <f>IFERROR(Vertailu[[#This Row],[Muutos, € 2]]/Vertailu[[#This Row],[Rahoitus ml. hark. kor. 
2022 ilman alv, €]],0)</f>
        <v>6.7804539846818099E-2</v>
      </c>
      <c r="V16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29778714</v>
      </c>
      <c r="W16" s="233">
        <f>IFERROR(VLOOKUP(Vertailu[[#This Row],[Y-tunnus]],'1.2 Ohjaus-laskentataulu'!A:AU,COLUMN('1.2 Ohjaus-laskentataulu'!AU:AU),FALSE),0)</f>
        <v>31797846</v>
      </c>
      <c r="X16" s="235">
        <f>IFERROR(Vertailu[[#This Row],[Rahoitus ml. hark. kor. + alv 2023, €]]-Vertailu[[#This Row],[Rahoitus ml. hark. kor. + alv 2022, €]],0)</f>
        <v>2019132</v>
      </c>
      <c r="Y16" s="230">
        <f>IFERROR(Vertailu[[#This Row],[Muutos, € 3]]/Vertailu[[#This Row],[Rahoitus ml. hark. kor. + alv 2022, €]],0)</f>
        <v>6.7804539846818099E-2</v>
      </c>
      <c r="Z16" s="228">
        <f>IFERROR(VLOOKUP(Vertailu[[#This Row],[Y-tunnus]],'Suoritepäätös 2022 oikaistu'!$B:$N,COLUMN('Suoritepäätös 2022 oikaistu'!G:G),FALSE),0)</f>
        <v>19773072</v>
      </c>
      <c r="AA16" s="228">
        <f>IFERROR(VLOOKUP(Vertailu[[#This Row],[Y-tunnus]],'1.2 Ohjaus-laskentataulu'!A:AU,COLUMN('1.2 Ohjaus-laskentataulu'!AP:AP),FALSE),0)</f>
        <v>21891942</v>
      </c>
      <c r="AB16" s="228">
        <f>Vertailu[[#This Row],[Perusrahoitus 2023, €]]-Vertailu[[#This Row],[Perusrahoitus 2022, €]]</f>
        <v>2118870</v>
      </c>
      <c r="AC16" s="230">
        <f>IFERROR(Vertailu[[#This Row],[Perusrahoituksen muutos, €]]/Vertailu[[#This Row],[Perusrahoitus 2022, €]],0)</f>
        <v>0.10715937311106742</v>
      </c>
      <c r="AD16" s="228">
        <f>IFERROR(VLOOKUP(Vertailu[[#This Row],[Y-tunnus]],'Suoritepäätös 2022 oikaistu'!$B:$N,COLUMN('Suoritepäätös 2022 oikaistu'!M:M),FALSE),0)</f>
        <v>6723432</v>
      </c>
      <c r="AE16" s="228">
        <f>IFERROR(VLOOKUP(Vertailu[[#This Row],[Y-tunnus]],'1.2 Ohjaus-laskentataulu'!A:AU,COLUMN('1.2 Ohjaus-laskentataulu'!O:O),FALSE),0)</f>
        <v>6649967</v>
      </c>
      <c r="AF16" s="228">
        <f>Vertailu[[#This Row],[Suoritusrahoitus 2023, €]]-Vertailu[[#This Row],[Suoritusrahoitus 2022, €]]</f>
        <v>-73465</v>
      </c>
      <c r="AG16" s="230">
        <f>IFERROR(Vertailu[[#This Row],[Suoritusrahoituksen muutos, €]]/Vertailu[[#This Row],[Suoritusrahoitus 2022, €]],0)</f>
        <v>-1.0926711239140963E-2</v>
      </c>
      <c r="AH16" s="228">
        <f>IFERROR(VLOOKUP(Vertailu[[#This Row],[Y-tunnus]],'Suoritepäätös 2022 oikaistu'!$Q:$AC,COLUMN('Suoritepäätös 2022 oikaistu'!K:K),FALSE),0)</f>
        <v>3282210</v>
      </c>
      <c r="AI16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3255937</v>
      </c>
      <c r="AJ16" s="228">
        <f>Vertailu[[#This Row],[Vaikuttavuusrahoitus 2023, €]]-Vertailu[[#This Row],[Vaikuttavuusrahoitus 2022, €]]</f>
        <v>-26273</v>
      </c>
      <c r="AK16" s="230">
        <f>IFERROR(Vertailu[[#This Row],[Vaikuttavuusrahoituksen muutos, €]]/Vertailu[[#This Row],[Vaikuttavuusrahoitus 2022, €]],0)</f>
        <v>-8.004667586778421E-3</v>
      </c>
    </row>
    <row r="17" spans="1:37" s="5" customFormat="1" ht="12.75" customHeight="1" x14ac:dyDescent="0.35">
      <c r="A17" s="7" t="s">
        <v>322</v>
      </c>
      <c r="B17" s="188" t="s">
        <v>23</v>
      </c>
      <c r="C17" s="188" t="s">
        <v>210</v>
      </c>
      <c r="D17" s="11" t="s">
        <v>337</v>
      </c>
      <c r="E17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0.69254397132379353</v>
      </c>
      <c r="F17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0.69383249089584631</v>
      </c>
      <c r="G17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0.20410665429145344</v>
      </c>
      <c r="H17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0.10206085481270029</v>
      </c>
      <c r="I17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7.0214347604399666E-2</v>
      </c>
      <c r="J17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3.118183455958011E-3</v>
      </c>
      <c r="K17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9.5807533695888829E-3</v>
      </c>
      <c r="L17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1.3657459753515021E-2</v>
      </c>
      <c r="M17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5.4901106292386996E-3</v>
      </c>
      <c r="N17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26988043</v>
      </c>
      <c r="O17" s="228">
        <f>IFERROR(VLOOKUP(Vertailu[[#This Row],[Y-tunnus]],'1.2 Ohjaus-laskentataulu'!A:AU,COLUMN('1.2 Ohjaus-laskentataulu'!AF:AF),FALSE),0)</f>
        <v>29453209</v>
      </c>
      <c r="P17" s="228">
        <f>IFERROR(Vertailu[[#This Row],[Rahoitus pl. hark. kor. 2023 ilman alv, €]]-Vertailu[[#This Row],[Rahoitus pl. hark. kor. 2022 ilman alv, €]],0)</f>
        <v>2465166</v>
      </c>
      <c r="Q17" s="230">
        <f>IFERROR(Vertailu[[#This Row],[Muutos, € 1]]/Vertailu[[#This Row],[Rahoitus pl. hark. kor. 2022 ilman alv, €]],0)</f>
        <v>9.1342895815009637E-2</v>
      </c>
      <c r="R17" s="233">
        <f>IFERROR(VLOOKUP(Vertailu[[#This Row],[Y-tunnus]],'Suoritepäätös 2022 oikaistu'!$Q:$AC,COLUMN('Suoritepäätös 2022 oikaistu'!L:L),FALSE),0)</f>
        <v>27038043</v>
      </c>
      <c r="S17" s="234">
        <f>IFERROR(VLOOKUP(Vertailu[[#This Row],[Y-tunnus]],'1.2 Ohjaus-laskentataulu'!A:AU,COLUMN('1.2 Ohjaus-laskentataulu'!AS:AS),FALSE),0)</f>
        <v>29491209</v>
      </c>
      <c r="T17" s="228">
        <f>IFERROR(Vertailu[[#This Row],[Rahoitus ml. hark. kor. 
2023 ilman alv, €]]-Vertailu[[#This Row],[Rahoitus ml. hark. kor. 
2022 ilman alv, €]],0)</f>
        <v>2453166</v>
      </c>
      <c r="U17" s="232">
        <f>IFERROR(Vertailu[[#This Row],[Muutos, € 2]]/Vertailu[[#This Row],[Rahoitus ml. hark. kor. 
2022 ilman alv, €]],0)</f>
        <v>9.0730161202865159E-2</v>
      </c>
      <c r="V17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29007808</v>
      </c>
      <c r="W17" s="233">
        <f>IFERROR(VLOOKUP(Vertailu[[#This Row],[Y-tunnus]],'1.2 Ohjaus-laskentataulu'!A:AU,COLUMN('1.2 Ohjaus-laskentataulu'!AU:AU),FALSE),0)</f>
        <v>31295037</v>
      </c>
      <c r="X17" s="235">
        <f>IFERROR(Vertailu[[#This Row],[Rahoitus ml. hark. kor. + alv 2023, €]]-Vertailu[[#This Row],[Rahoitus ml. hark. kor. + alv 2022, €]],0)</f>
        <v>2287229</v>
      </c>
      <c r="Y17" s="230">
        <f>IFERROR(Vertailu[[#This Row],[Muutos, € 3]]/Vertailu[[#This Row],[Rahoitus ml. hark. kor. + alv 2022, €]],0)</f>
        <v>7.8848736174756809E-2</v>
      </c>
      <c r="Z17" s="228">
        <f>IFERROR(VLOOKUP(Vertailu[[#This Row],[Y-tunnus]],'Suoritepäätös 2022 oikaistu'!$B:$N,COLUMN('Suoritepäätös 2022 oikaistu'!G:G),FALSE),0)</f>
        <v>18678335</v>
      </c>
      <c r="AA17" s="228">
        <f>IFERROR(VLOOKUP(Vertailu[[#This Row],[Y-tunnus]],'1.2 Ohjaus-laskentataulu'!A:AU,COLUMN('1.2 Ohjaus-laskentataulu'!AP:AP),FALSE),0)</f>
        <v>20461959</v>
      </c>
      <c r="AB17" s="228">
        <f>Vertailu[[#This Row],[Perusrahoitus 2023, €]]-Vertailu[[#This Row],[Perusrahoitus 2022, €]]</f>
        <v>1783624</v>
      </c>
      <c r="AC17" s="230">
        <f>IFERROR(Vertailu[[#This Row],[Perusrahoituksen muutos, €]]/Vertailu[[#This Row],[Perusrahoitus 2022, €]],0)</f>
        <v>9.5491594941412072E-2</v>
      </c>
      <c r="AD17" s="228">
        <f>IFERROR(VLOOKUP(Vertailu[[#This Row],[Y-tunnus]],'Suoritepäätös 2022 oikaistu'!$B:$N,COLUMN('Suoritepäätös 2022 oikaistu'!M:M),FALSE),0)</f>
        <v>5594905</v>
      </c>
      <c r="AE17" s="228">
        <f>IFERROR(VLOOKUP(Vertailu[[#This Row],[Y-tunnus]],'1.2 Ohjaus-laskentataulu'!A:AU,COLUMN('1.2 Ohjaus-laskentataulu'!O:O),FALSE),0)</f>
        <v>6019352</v>
      </c>
      <c r="AF17" s="228">
        <f>Vertailu[[#This Row],[Suoritusrahoitus 2023, €]]-Vertailu[[#This Row],[Suoritusrahoitus 2022, €]]</f>
        <v>424447</v>
      </c>
      <c r="AG17" s="230">
        <f>IFERROR(Vertailu[[#This Row],[Suoritusrahoituksen muutos, €]]/Vertailu[[#This Row],[Suoritusrahoitus 2022, €]],0)</f>
        <v>7.5863129043299213E-2</v>
      </c>
      <c r="AH17" s="228">
        <f>IFERROR(VLOOKUP(Vertailu[[#This Row],[Y-tunnus]],'Suoritepäätös 2022 oikaistu'!$Q:$AC,COLUMN('Suoritepäätös 2022 oikaistu'!K:K),FALSE),0)</f>
        <v>2764803</v>
      </c>
      <c r="AI17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3009898</v>
      </c>
      <c r="AJ17" s="228">
        <f>Vertailu[[#This Row],[Vaikuttavuusrahoitus 2023, €]]-Vertailu[[#This Row],[Vaikuttavuusrahoitus 2022, €]]</f>
        <v>245095</v>
      </c>
      <c r="AK17" s="230">
        <f>IFERROR(Vertailu[[#This Row],[Vaikuttavuusrahoituksen muutos, €]]/Vertailu[[#This Row],[Vaikuttavuusrahoitus 2022, €]],0)</f>
        <v>8.8648268972509076E-2</v>
      </c>
    </row>
    <row r="18" spans="1:37" s="5" customFormat="1" ht="12.75" customHeight="1" x14ac:dyDescent="0.35">
      <c r="A18" s="7" t="s">
        <v>321</v>
      </c>
      <c r="B18" s="188" t="s">
        <v>24</v>
      </c>
      <c r="C18" s="188" t="s">
        <v>224</v>
      </c>
      <c r="D18" s="11" t="s">
        <v>337</v>
      </c>
      <c r="E18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0.61821139375834433</v>
      </c>
      <c r="F18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0.61821139375834433</v>
      </c>
      <c r="G18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0.15295688336666785</v>
      </c>
      <c r="H18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0.22883172287498785</v>
      </c>
      <c r="I18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0.18223670412751353</v>
      </c>
      <c r="J18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6.895387558633813E-3</v>
      </c>
      <c r="K18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2.8047040047469732E-2</v>
      </c>
      <c r="L18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8.8801133544423594E-3</v>
      </c>
      <c r="M18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2.7724777869284323E-3</v>
      </c>
      <c r="N18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196515</v>
      </c>
      <c r="O18" s="228">
        <f>IFERROR(VLOOKUP(Vertailu[[#This Row],[Y-tunnus]],'1.2 Ohjaus-laskentataulu'!A:AU,COLUMN('1.2 Ohjaus-laskentataulu'!AF:AF),FALSE),0)</f>
        <v>195493</v>
      </c>
      <c r="P18" s="228">
        <f>IFERROR(Vertailu[[#This Row],[Rahoitus pl. hark. kor. 2023 ilman alv, €]]-Vertailu[[#This Row],[Rahoitus pl. hark. kor. 2022 ilman alv, €]],0)</f>
        <v>-1022</v>
      </c>
      <c r="Q18" s="230">
        <f>IFERROR(Vertailu[[#This Row],[Muutos, € 1]]/Vertailu[[#This Row],[Rahoitus pl. hark. kor. 2022 ilman alv, €]],0)</f>
        <v>-5.200620817749281E-3</v>
      </c>
      <c r="R18" s="233">
        <f>IFERROR(VLOOKUP(Vertailu[[#This Row],[Y-tunnus]],'Suoritepäätös 2022 oikaistu'!$Q:$AC,COLUMN('Suoritepäätös 2022 oikaistu'!L:L),FALSE),0)</f>
        <v>196515</v>
      </c>
      <c r="S18" s="234">
        <f>IFERROR(VLOOKUP(Vertailu[[#This Row],[Y-tunnus]],'1.2 Ohjaus-laskentataulu'!A:AU,COLUMN('1.2 Ohjaus-laskentataulu'!AS:AS),FALSE),0)</f>
        <v>195493</v>
      </c>
      <c r="T18" s="228">
        <f>IFERROR(Vertailu[[#This Row],[Rahoitus ml. hark. kor. 
2023 ilman alv, €]]-Vertailu[[#This Row],[Rahoitus ml. hark. kor. 
2022 ilman alv, €]],0)</f>
        <v>-1022</v>
      </c>
      <c r="U18" s="232">
        <f>IFERROR(Vertailu[[#This Row],[Muutos, € 2]]/Vertailu[[#This Row],[Rahoitus ml. hark. kor. 
2022 ilman alv, €]],0)</f>
        <v>-5.200620817749281E-3</v>
      </c>
      <c r="V18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196515</v>
      </c>
      <c r="W18" s="233">
        <f>IFERROR(VLOOKUP(Vertailu[[#This Row],[Y-tunnus]],'1.2 Ohjaus-laskentataulu'!A:AU,COLUMN('1.2 Ohjaus-laskentataulu'!AU:AU),FALSE),0)</f>
        <v>195493</v>
      </c>
      <c r="X18" s="235">
        <f>IFERROR(Vertailu[[#This Row],[Rahoitus ml. hark. kor. + alv 2023, €]]-Vertailu[[#This Row],[Rahoitus ml. hark. kor. + alv 2022, €]],0)</f>
        <v>-1022</v>
      </c>
      <c r="Y18" s="230">
        <f>IFERROR(Vertailu[[#This Row],[Muutos, € 3]]/Vertailu[[#This Row],[Rahoitus ml. hark. kor. + alv 2022, €]],0)</f>
        <v>-5.200620817749281E-3</v>
      </c>
      <c r="Z18" s="228">
        <f>IFERROR(VLOOKUP(Vertailu[[#This Row],[Y-tunnus]],'Suoritepäätös 2022 oikaistu'!$B:$N,COLUMN('Suoritepäätös 2022 oikaistu'!G:G),FALSE),0)</f>
        <v>110534</v>
      </c>
      <c r="AA18" s="228">
        <f>IFERROR(VLOOKUP(Vertailu[[#This Row],[Y-tunnus]],'1.2 Ohjaus-laskentataulu'!A:AU,COLUMN('1.2 Ohjaus-laskentataulu'!AP:AP),FALSE),0)</f>
        <v>120856</v>
      </c>
      <c r="AB18" s="228">
        <f>Vertailu[[#This Row],[Perusrahoitus 2023, €]]-Vertailu[[#This Row],[Perusrahoitus 2022, €]]</f>
        <v>10322</v>
      </c>
      <c r="AC18" s="230">
        <f>IFERROR(Vertailu[[#This Row],[Perusrahoituksen muutos, €]]/Vertailu[[#This Row],[Perusrahoitus 2022, €]],0)</f>
        <v>9.3383031465431449E-2</v>
      </c>
      <c r="AD18" s="228">
        <f>IFERROR(VLOOKUP(Vertailu[[#This Row],[Y-tunnus]],'Suoritepäätös 2022 oikaistu'!$B:$N,COLUMN('Suoritepäätös 2022 oikaistu'!M:M),FALSE),0)</f>
        <v>45971</v>
      </c>
      <c r="AE18" s="228">
        <f>IFERROR(VLOOKUP(Vertailu[[#This Row],[Y-tunnus]],'1.2 Ohjaus-laskentataulu'!A:AU,COLUMN('1.2 Ohjaus-laskentataulu'!O:O),FALSE),0)</f>
        <v>29902</v>
      </c>
      <c r="AF18" s="228">
        <f>Vertailu[[#This Row],[Suoritusrahoitus 2023, €]]-Vertailu[[#This Row],[Suoritusrahoitus 2022, €]]</f>
        <v>-16069</v>
      </c>
      <c r="AG18" s="230">
        <f>IFERROR(Vertailu[[#This Row],[Suoritusrahoituksen muutos, €]]/Vertailu[[#This Row],[Suoritusrahoitus 2022, €]],0)</f>
        <v>-0.34954645319875571</v>
      </c>
      <c r="AH18" s="228">
        <f>IFERROR(VLOOKUP(Vertailu[[#This Row],[Y-tunnus]],'Suoritepäätös 2022 oikaistu'!$Q:$AC,COLUMN('Suoritepäätös 2022 oikaistu'!K:K),FALSE),0)</f>
        <v>40010</v>
      </c>
      <c r="AI18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44735</v>
      </c>
      <c r="AJ18" s="228">
        <f>Vertailu[[#This Row],[Vaikuttavuusrahoitus 2023, €]]-Vertailu[[#This Row],[Vaikuttavuusrahoitus 2022, €]]</f>
        <v>4725</v>
      </c>
      <c r="AK18" s="230">
        <f>IFERROR(Vertailu[[#This Row],[Vaikuttavuusrahoituksen muutos, €]]/Vertailu[[#This Row],[Vaikuttavuusrahoitus 2022, €]],0)</f>
        <v>0.11809547613096726</v>
      </c>
    </row>
    <row r="19" spans="1:37" s="5" customFormat="1" ht="12.75" customHeight="1" x14ac:dyDescent="0.35">
      <c r="A19" s="7" t="s">
        <v>329</v>
      </c>
      <c r="B19" s="188" t="s">
        <v>491</v>
      </c>
      <c r="C19" s="188" t="s">
        <v>180</v>
      </c>
      <c r="D19" s="11" t="s">
        <v>337</v>
      </c>
      <c r="E19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8.9886454234030244E-2</v>
      </c>
      <c r="F19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1</v>
      </c>
      <c r="G19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</v>
      </c>
      <c r="H19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0</v>
      </c>
      <c r="I19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0</v>
      </c>
      <c r="J19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0</v>
      </c>
      <c r="K19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0</v>
      </c>
      <c r="L19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0</v>
      </c>
      <c r="M19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0</v>
      </c>
      <c r="N19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123288</v>
      </c>
      <c r="O19" s="228">
        <f>IFERROR(VLOOKUP(Vertailu[[#This Row],[Y-tunnus]],'1.2 Ohjaus-laskentataulu'!A:AU,COLUMN('1.2 Ohjaus-laskentataulu'!AF:AF),FALSE),0)</f>
        <v>123455</v>
      </c>
      <c r="P19" s="228">
        <f>IFERROR(Vertailu[[#This Row],[Rahoitus pl. hark. kor. 2023 ilman alv, €]]-Vertailu[[#This Row],[Rahoitus pl. hark. kor. 2022 ilman alv, €]],0)</f>
        <v>167</v>
      </c>
      <c r="Q19" s="230">
        <f>IFERROR(Vertailu[[#This Row],[Muutos, € 1]]/Vertailu[[#This Row],[Rahoitus pl. hark. kor. 2022 ilman alv, €]],0)</f>
        <v>1.3545519434170399E-3</v>
      </c>
      <c r="R19" s="233">
        <f>IFERROR(VLOOKUP(Vertailu[[#This Row],[Y-tunnus]],'Suoritepäätös 2022 oikaistu'!$Q:$AC,COLUMN('Suoritepäätös 2022 oikaistu'!L:L),FALSE),0)</f>
        <v>1373288</v>
      </c>
      <c r="S19" s="234">
        <f>IFERROR(VLOOKUP(Vertailu[[#This Row],[Y-tunnus]],'1.2 Ohjaus-laskentataulu'!A:AU,COLUMN('1.2 Ohjaus-laskentataulu'!AS:AS),FALSE),0)</f>
        <v>1373455</v>
      </c>
      <c r="T19" s="228">
        <f>IFERROR(Vertailu[[#This Row],[Rahoitus ml. hark. kor. 
2023 ilman alv, €]]-Vertailu[[#This Row],[Rahoitus ml. hark. kor. 
2022 ilman alv, €]],0)</f>
        <v>167</v>
      </c>
      <c r="U19" s="232">
        <f>IFERROR(Vertailu[[#This Row],[Muutos, € 2]]/Vertailu[[#This Row],[Rahoitus ml. hark. kor. 
2022 ilman alv, €]],0)</f>
        <v>1.2160595592475869E-4</v>
      </c>
      <c r="V19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1409348</v>
      </c>
      <c r="W19" s="233">
        <f>IFERROR(VLOOKUP(Vertailu[[#This Row],[Y-tunnus]],'1.2 Ohjaus-laskentataulu'!A:AU,COLUMN('1.2 Ohjaus-laskentataulu'!AU:AU),FALSE),0)</f>
        <v>1470048</v>
      </c>
      <c r="X19" s="235">
        <f>IFERROR(Vertailu[[#This Row],[Rahoitus ml. hark. kor. + alv 2023, €]]-Vertailu[[#This Row],[Rahoitus ml. hark. kor. + alv 2022, €]],0)</f>
        <v>60700</v>
      </c>
      <c r="Y19" s="230">
        <f>IFERROR(Vertailu[[#This Row],[Muutos, € 3]]/Vertailu[[#This Row],[Rahoitus ml. hark. kor. + alv 2022, €]],0)</f>
        <v>4.3069561243922722E-2</v>
      </c>
      <c r="Z19" s="228">
        <f>IFERROR(VLOOKUP(Vertailu[[#This Row],[Y-tunnus]],'Suoritepäätös 2022 oikaistu'!$B:$N,COLUMN('Suoritepäätös 2022 oikaistu'!G:G),FALSE),0)</f>
        <v>1366030</v>
      </c>
      <c r="AA19" s="228">
        <f>IFERROR(VLOOKUP(Vertailu[[#This Row],[Y-tunnus]],'1.2 Ohjaus-laskentataulu'!A:AU,COLUMN('1.2 Ohjaus-laskentataulu'!AP:AP),FALSE),0)</f>
        <v>1373455</v>
      </c>
      <c r="AB19" s="228">
        <f>Vertailu[[#This Row],[Perusrahoitus 2023, €]]-Vertailu[[#This Row],[Perusrahoitus 2022, €]]</f>
        <v>7425</v>
      </c>
      <c r="AC19" s="230">
        <f>IFERROR(Vertailu[[#This Row],[Perusrahoituksen muutos, €]]/Vertailu[[#This Row],[Perusrahoitus 2022, €]],0)</f>
        <v>5.4354589577095668E-3</v>
      </c>
      <c r="AD19" s="228">
        <f>IFERROR(VLOOKUP(Vertailu[[#This Row],[Y-tunnus]],'Suoritepäätös 2022 oikaistu'!$B:$N,COLUMN('Suoritepäätös 2022 oikaistu'!M:M),FALSE),0)</f>
        <v>0</v>
      </c>
      <c r="AE19" s="228">
        <f>IFERROR(VLOOKUP(Vertailu[[#This Row],[Y-tunnus]],'1.2 Ohjaus-laskentataulu'!A:AU,COLUMN('1.2 Ohjaus-laskentataulu'!O:O),FALSE),0)</f>
        <v>0</v>
      </c>
      <c r="AF19" s="228">
        <f>Vertailu[[#This Row],[Suoritusrahoitus 2023, €]]-Vertailu[[#This Row],[Suoritusrahoitus 2022, €]]</f>
        <v>0</v>
      </c>
      <c r="AG19" s="230">
        <f>IFERROR(Vertailu[[#This Row],[Suoritusrahoituksen muutos, €]]/Vertailu[[#This Row],[Suoritusrahoitus 2022, €]],0)</f>
        <v>0</v>
      </c>
      <c r="AH19" s="228">
        <f>IFERROR(VLOOKUP(Vertailu[[#This Row],[Y-tunnus]],'Suoritepäätös 2022 oikaistu'!$Q:$AC,COLUMN('Suoritepäätös 2022 oikaistu'!K:K),FALSE),0)</f>
        <v>7258</v>
      </c>
      <c r="AI19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0</v>
      </c>
      <c r="AJ19" s="228">
        <f>Vertailu[[#This Row],[Vaikuttavuusrahoitus 2023, €]]-Vertailu[[#This Row],[Vaikuttavuusrahoitus 2022, €]]</f>
        <v>-7258</v>
      </c>
      <c r="AK19" s="230">
        <f>IFERROR(Vertailu[[#This Row],[Vaikuttavuusrahoituksen muutos, €]]/Vertailu[[#This Row],[Vaikuttavuusrahoitus 2022, €]],0)</f>
        <v>-1</v>
      </c>
    </row>
    <row r="20" spans="1:37" s="5" customFormat="1" ht="12.75" customHeight="1" x14ac:dyDescent="0.35">
      <c r="A20" s="7" t="s">
        <v>320</v>
      </c>
      <c r="B20" s="188" t="s">
        <v>25</v>
      </c>
      <c r="C20" s="188" t="s">
        <v>180</v>
      </c>
      <c r="D20" s="11" t="s">
        <v>337</v>
      </c>
      <c r="E20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0.65600616049419502</v>
      </c>
      <c r="F20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0.65600616049419502</v>
      </c>
      <c r="G20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0.26514605758169052</v>
      </c>
      <c r="H20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7.8847781924114443E-2</v>
      </c>
      <c r="I20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6.1854423268719427E-2</v>
      </c>
      <c r="J20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2.6414637951191638E-3</v>
      </c>
      <c r="K20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9.4475712380174479E-3</v>
      </c>
      <c r="L20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4.7769537688330645E-3</v>
      </c>
      <c r="M20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1.2736985342534345E-4</v>
      </c>
      <c r="N20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1593367</v>
      </c>
      <c r="O20" s="228">
        <f>IFERROR(VLOOKUP(Vertailu[[#This Row],[Y-tunnus]],'1.2 Ohjaus-laskentataulu'!A:AU,COLUMN('1.2 Ohjaus-laskentataulu'!AF:AF),FALSE),0)</f>
        <v>1711551</v>
      </c>
      <c r="P20" s="228">
        <f>IFERROR(Vertailu[[#This Row],[Rahoitus pl. hark. kor. 2023 ilman alv, €]]-Vertailu[[#This Row],[Rahoitus pl. hark. kor. 2022 ilman alv, €]],0)</f>
        <v>118184</v>
      </c>
      <c r="Q20" s="230">
        <f>IFERROR(Vertailu[[#This Row],[Muutos, € 1]]/Vertailu[[#This Row],[Rahoitus pl. hark. kor. 2022 ilman alv, €]],0)</f>
        <v>7.4172491334388121E-2</v>
      </c>
      <c r="R20" s="233">
        <f>IFERROR(VLOOKUP(Vertailu[[#This Row],[Y-tunnus]],'Suoritepäätös 2022 oikaistu'!$Q:$AC,COLUMN('Suoritepäätös 2022 oikaistu'!L:L),FALSE),0)</f>
        <v>1593367</v>
      </c>
      <c r="S20" s="234">
        <f>IFERROR(VLOOKUP(Vertailu[[#This Row],[Y-tunnus]],'1.2 Ohjaus-laskentataulu'!A:AU,COLUMN('1.2 Ohjaus-laskentataulu'!AS:AS),FALSE),0)</f>
        <v>1711551</v>
      </c>
      <c r="T20" s="228">
        <f>IFERROR(Vertailu[[#This Row],[Rahoitus ml. hark. kor. 
2023 ilman alv, €]]-Vertailu[[#This Row],[Rahoitus ml. hark. kor. 
2022 ilman alv, €]],0)</f>
        <v>118184</v>
      </c>
      <c r="U20" s="232">
        <f>IFERROR(Vertailu[[#This Row],[Muutos, € 2]]/Vertailu[[#This Row],[Rahoitus ml. hark. kor. 
2022 ilman alv, €]],0)</f>
        <v>7.4172491334388121E-2</v>
      </c>
      <c r="V20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1746917</v>
      </c>
      <c r="W20" s="233">
        <f>IFERROR(VLOOKUP(Vertailu[[#This Row],[Y-tunnus]],'1.2 Ohjaus-laskentataulu'!A:AU,COLUMN('1.2 Ohjaus-laskentataulu'!AU:AU),FALSE),0)</f>
        <v>1905278</v>
      </c>
      <c r="X20" s="235">
        <f>IFERROR(Vertailu[[#This Row],[Rahoitus ml. hark. kor. + alv 2023, €]]-Vertailu[[#This Row],[Rahoitus ml. hark. kor. + alv 2022, €]],0)</f>
        <v>158361</v>
      </c>
      <c r="Y20" s="230">
        <f>IFERROR(Vertailu[[#This Row],[Muutos, € 3]]/Vertailu[[#This Row],[Rahoitus ml. hark. kor. + alv 2022, €]],0)</f>
        <v>9.0651702399140888E-2</v>
      </c>
      <c r="Z20" s="228">
        <f>IFERROR(VLOOKUP(Vertailu[[#This Row],[Y-tunnus]],'Suoritepäätös 2022 oikaistu'!$B:$N,COLUMN('Suoritepäätös 2022 oikaistu'!G:G),FALSE),0)</f>
        <v>1060760</v>
      </c>
      <c r="AA20" s="228">
        <f>IFERROR(VLOOKUP(Vertailu[[#This Row],[Y-tunnus]],'1.2 Ohjaus-laskentataulu'!A:AU,COLUMN('1.2 Ohjaus-laskentataulu'!AP:AP),FALSE),0)</f>
        <v>1122788</v>
      </c>
      <c r="AB20" s="228">
        <f>Vertailu[[#This Row],[Perusrahoitus 2023, €]]-Vertailu[[#This Row],[Perusrahoitus 2022, €]]</f>
        <v>62028</v>
      </c>
      <c r="AC20" s="230">
        <f>IFERROR(Vertailu[[#This Row],[Perusrahoituksen muutos, €]]/Vertailu[[#This Row],[Perusrahoitus 2022, €]],0)</f>
        <v>5.8475055620498512E-2</v>
      </c>
      <c r="AD20" s="228">
        <f>IFERROR(VLOOKUP(Vertailu[[#This Row],[Y-tunnus]],'Suoritepäätös 2022 oikaistu'!$B:$N,COLUMN('Suoritepäätös 2022 oikaistu'!M:M),FALSE),0)</f>
        <v>397499</v>
      </c>
      <c r="AE20" s="228">
        <f>IFERROR(VLOOKUP(Vertailu[[#This Row],[Y-tunnus]],'1.2 Ohjaus-laskentataulu'!A:AU,COLUMN('1.2 Ohjaus-laskentataulu'!O:O),FALSE),0)</f>
        <v>453811</v>
      </c>
      <c r="AF20" s="228">
        <f>Vertailu[[#This Row],[Suoritusrahoitus 2023, €]]-Vertailu[[#This Row],[Suoritusrahoitus 2022, €]]</f>
        <v>56312</v>
      </c>
      <c r="AG20" s="230">
        <f>IFERROR(Vertailu[[#This Row],[Suoritusrahoituksen muutos, €]]/Vertailu[[#This Row],[Suoritusrahoitus 2022, €]],0)</f>
        <v>0.14166576519689358</v>
      </c>
      <c r="AH20" s="228">
        <f>IFERROR(VLOOKUP(Vertailu[[#This Row],[Y-tunnus]],'Suoritepäätös 2022 oikaistu'!$Q:$AC,COLUMN('Suoritepäätös 2022 oikaistu'!K:K),FALSE),0)</f>
        <v>135108</v>
      </c>
      <c r="AI20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134952</v>
      </c>
      <c r="AJ20" s="228">
        <f>Vertailu[[#This Row],[Vaikuttavuusrahoitus 2023, €]]-Vertailu[[#This Row],[Vaikuttavuusrahoitus 2022, €]]</f>
        <v>-156</v>
      </c>
      <c r="AK20" s="230">
        <f>IFERROR(Vertailu[[#This Row],[Vaikuttavuusrahoituksen muutos, €]]/Vertailu[[#This Row],[Vaikuttavuusrahoitus 2022, €]],0)</f>
        <v>-1.1546318500754952E-3</v>
      </c>
    </row>
    <row r="21" spans="1:37" s="5" customFormat="1" ht="12.75" customHeight="1" x14ac:dyDescent="0.35">
      <c r="A21" s="7" t="s">
        <v>319</v>
      </c>
      <c r="B21" s="188" t="s">
        <v>396</v>
      </c>
      <c r="C21" s="188" t="s">
        <v>186</v>
      </c>
      <c r="D21" s="11" t="s">
        <v>337</v>
      </c>
      <c r="E21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0.83224009073697924</v>
      </c>
      <c r="F21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0.83224009073697924</v>
      </c>
      <c r="G21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0.10819867258354574</v>
      </c>
      <c r="H21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5.956123667947507E-2</v>
      </c>
      <c r="I21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5.4192057064244716E-2</v>
      </c>
      <c r="J21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2.048482182517606E-3</v>
      </c>
      <c r="K21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3.3206974327127511E-3</v>
      </c>
      <c r="L21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0</v>
      </c>
      <c r="M21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0</v>
      </c>
      <c r="N21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243950</v>
      </c>
      <c r="O21" s="228">
        <f>IFERROR(VLOOKUP(Vertailu[[#This Row],[Y-tunnus]],'1.2 Ohjaus-laskentataulu'!A:AU,COLUMN('1.2 Ohjaus-laskentataulu'!AF:AF),FALSE),0)</f>
        <v>231879</v>
      </c>
      <c r="P21" s="228">
        <f>IFERROR(Vertailu[[#This Row],[Rahoitus pl. hark. kor. 2023 ilman alv, €]]-Vertailu[[#This Row],[Rahoitus pl. hark. kor. 2022 ilman alv, €]],0)</f>
        <v>-12071</v>
      </c>
      <c r="Q21" s="230">
        <f>IFERROR(Vertailu[[#This Row],[Muutos, € 1]]/Vertailu[[#This Row],[Rahoitus pl. hark. kor. 2022 ilman alv, €]],0)</f>
        <v>-4.9481451117032178E-2</v>
      </c>
      <c r="R21" s="233">
        <f>IFERROR(VLOOKUP(Vertailu[[#This Row],[Y-tunnus]],'Suoritepäätös 2022 oikaistu'!$Q:$AC,COLUMN('Suoritepäätös 2022 oikaistu'!L:L),FALSE),0)</f>
        <v>243950</v>
      </c>
      <c r="S21" s="234">
        <f>IFERROR(VLOOKUP(Vertailu[[#This Row],[Y-tunnus]],'1.2 Ohjaus-laskentataulu'!A:AU,COLUMN('1.2 Ohjaus-laskentataulu'!AS:AS),FALSE),0)</f>
        <v>231879</v>
      </c>
      <c r="T21" s="228">
        <f>IFERROR(Vertailu[[#This Row],[Rahoitus ml. hark. kor. 
2023 ilman alv, €]]-Vertailu[[#This Row],[Rahoitus ml. hark. kor. 
2022 ilman alv, €]],0)</f>
        <v>-12071</v>
      </c>
      <c r="U21" s="232">
        <f>IFERROR(Vertailu[[#This Row],[Muutos, € 2]]/Vertailu[[#This Row],[Rahoitus ml. hark. kor. 
2022 ilman alv, €]],0)</f>
        <v>-4.9481451117032178E-2</v>
      </c>
      <c r="V21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243950</v>
      </c>
      <c r="W21" s="233">
        <f>IFERROR(VLOOKUP(Vertailu[[#This Row],[Y-tunnus]],'1.2 Ohjaus-laskentataulu'!A:AU,COLUMN('1.2 Ohjaus-laskentataulu'!AU:AU),FALSE),0)</f>
        <v>231879</v>
      </c>
      <c r="X21" s="235">
        <f>IFERROR(Vertailu[[#This Row],[Rahoitus ml. hark. kor. + alv 2023, €]]-Vertailu[[#This Row],[Rahoitus ml. hark. kor. + alv 2022, €]],0)</f>
        <v>-12071</v>
      </c>
      <c r="Y21" s="230">
        <f>IFERROR(Vertailu[[#This Row],[Muutos, € 3]]/Vertailu[[#This Row],[Rahoitus ml. hark. kor. + alv 2022, €]],0)</f>
        <v>-4.9481451117032178E-2</v>
      </c>
      <c r="Z21" s="228">
        <f>IFERROR(VLOOKUP(Vertailu[[#This Row],[Y-tunnus]],'Suoritepäätös 2022 oikaistu'!$B:$N,COLUMN('Suoritepäätös 2022 oikaistu'!G:G),FALSE),0)</f>
        <v>202137</v>
      </c>
      <c r="AA21" s="228">
        <f>IFERROR(VLOOKUP(Vertailu[[#This Row],[Y-tunnus]],'1.2 Ohjaus-laskentataulu'!A:AU,COLUMN('1.2 Ohjaus-laskentataulu'!AP:AP),FALSE),0)</f>
        <v>192979</v>
      </c>
      <c r="AB21" s="228">
        <f>Vertailu[[#This Row],[Perusrahoitus 2023, €]]-Vertailu[[#This Row],[Perusrahoitus 2022, €]]</f>
        <v>-9158</v>
      </c>
      <c r="AC21" s="230">
        <f>IFERROR(Vertailu[[#This Row],[Perusrahoituksen muutos, €]]/Vertailu[[#This Row],[Perusrahoitus 2022, €]],0)</f>
        <v>-4.5305906390220495E-2</v>
      </c>
      <c r="AD21" s="228">
        <f>IFERROR(VLOOKUP(Vertailu[[#This Row],[Y-tunnus]],'Suoritepäätös 2022 oikaistu'!$B:$N,COLUMN('Suoritepäätös 2022 oikaistu'!M:M),FALSE),0)</f>
        <v>24697</v>
      </c>
      <c r="AE21" s="228">
        <f>IFERROR(VLOOKUP(Vertailu[[#This Row],[Y-tunnus]],'1.2 Ohjaus-laskentataulu'!A:AU,COLUMN('1.2 Ohjaus-laskentataulu'!O:O),FALSE),0)</f>
        <v>25089</v>
      </c>
      <c r="AF21" s="228">
        <f>Vertailu[[#This Row],[Suoritusrahoitus 2023, €]]-Vertailu[[#This Row],[Suoritusrahoitus 2022, €]]</f>
        <v>392</v>
      </c>
      <c r="AG21" s="230">
        <f>IFERROR(Vertailu[[#This Row],[Suoritusrahoituksen muutos, €]]/Vertailu[[#This Row],[Suoritusrahoitus 2022, €]],0)</f>
        <v>1.5872373162732316E-2</v>
      </c>
      <c r="AH21" s="228">
        <f>IFERROR(VLOOKUP(Vertailu[[#This Row],[Y-tunnus]],'Suoritepäätös 2022 oikaistu'!$Q:$AC,COLUMN('Suoritepäätös 2022 oikaistu'!K:K),FALSE),0)</f>
        <v>17116</v>
      </c>
      <c r="AI21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13811</v>
      </c>
      <c r="AJ21" s="228">
        <f>Vertailu[[#This Row],[Vaikuttavuusrahoitus 2023, €]]-Vertailu[[#This Row],[Vaikuttavuusrahoitus 2022, €]]</f>
        <v>-3305</v>
      </c>
      <c r="AK21" s="230">
        <f>IFERROR(Vertailu[[#This Row],[Vaikuttavuusrahoituksen muutos, €]]/Vertailu[[#This Row],[Vaikuttavuusrahoitus 2022, €]],0)</f>
        <v>-0.19309418088338398</v>
      </c>
    </row>
    <row r="22" spans="1:37" s="5" customFormat="1" ht="12.75" customHeight="1" x14ac:dyDescent="0.35">
      <c r="A22" s="7" t="s">
        <v>318</v>
      </c>
      <c r="B22" s="188" t="s">
        <v>131</v>
      </c>
      <c r="C22" s="188" t="s">
        <v>189</v>
      </c>
      <c r="D22" s="11" t="s">
        <v>337</v>
      </c>
      <c r="E22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0.31166988294808279</v>
      </c>
      <c r="F22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0.31166988294808279</v>
      </c>
      <c r="G22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0.31245156146946679</v>
      </c>
      <c r="H22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0.37587855558245042</v>
      </c>
      <c r="I22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0.28691821022266734</v>
      </c>
      <c r="J22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1.4234543528612321E-2</v>
      </c>
      <c r="K22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7.4725801831170766E-2</v>
      </c>
      <c r="L22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0</v>
      </c>
      <c r="M22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0</v>
      </c>
      <c r="N22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403262</v>
      </c>
      <c r="O22" s="228">
        <f>IFERROR(VLOOKUP(Vertailu[[#This Row],[Y-tunnus]],'1.2 Ohjaus-laskentataulu'!A:AU,COLUMN('1.2 Ohjaus-laskentataulu'!AF:AF),FALSE),0)</f>
        <v>450313</v>
      </c>
      <c r="P22" s="228">
        <f>IFERROR(Vertailu[[#This Row],[Rahoitus pl. hark. kor. 2023 ilman alv, €]]-Vertailu[[#This Row],[Rahoitus pl. hark. kor. 2022 ilman alv, €]],0)</f>
        <v>47051</v>
      </c>
      <c r="Q22" s="230">
        <f>IFERROR(Vertailu[[#This Row],[Muutos, € 1]]/Vertailu[[#This Row],[Rahoitus pl. hark. kor. 2022 ilman alv, €]],0)</f>
        <v>0.11667600716159718</v>
      </c>
      <c r="R22" s="233">
        <f>IFERROR(VLOOKUP(Vertailu[[#This Row],[Y-tunnus]],'Suoritepäätös 2022 oikaistu'!$Q:$AC,COLUMN('Suoritepäätös 2022 oikaistu'!L:L),FALSE),0)</f>
        <v>403262</v>
      </c>
      <c r="S22" s="234">
        <f>IFERROR(VLOOKUP(Vertailu[[#This Row],[Y-tunnus]],'1.2 Ohjaus-laskentataulu'!A:AU,COLUMN('1.2 Ohjaus-laskentataulu'!AS:AS),FALSE),0)</f>
        <v>450313</v>
      </c>
      <c r="T22" s="228">
        <f>IFERROR(Vertailu[[#This Row],[Rahoitus ml. hark. kor. 
2023 ilman alv, €]]-Vertailu[[#This Row],[Rahoitus ml. hark. kor. 
2022 ilman alv, €]],0)</f>
        <v>47051</v>
      </c>
      <c r="U22" s="232">
        <f>IFERROR(Vertailu[[#This Row],[Muutos, € 2]]/Vertailu[[#This Row],[Rahoitus ml. hark. kor. 
2022 ilman alv, €]],0)</f>
        <v>0.11667600716159718</v>
      </c>
      <c r="V22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415745</v>
      </c>
      <c r="W22" s="233">
        <f>IFERROR(VLOOKUP(Vertailu[[#This Row],[Y-tunnus]],'1.2 Ohjaus-laskentataulu'!A:AU,COLUMN('1.2 Ohjaus-laskentataulu'!AU:AU),FALSE),0)</f>
        <v>463742</v>
      </c>
      <c r="X22" s="235">
        <f>IFERROR(Vertailu[[#This Row],[Rahoitus ml. hark. kor. + alv 2023, €]]-Vertailu[[#This Row],[Rahoitus ml. hark. kor. + alv 2022, €]],0)</f>
        <v>47997</v>
      </c>
      <c r="Y22" s="230">
        <f>IFERROR(Vertailu[[#This Row],[Muutos, € 3]]/Vertailu[[#This Row],[Rahoitus ml. hark. kor. + alv 2022, €]],0)</f>
        <v>0.11544817135503735</v>
      </c>
      <c r="Z22" s="228">
        <f>IFERROR(VLOOKUP(Vertailu[[#This Row],[Y-tunnus]],'Suoritepäätös 2022 oikaistu'!$B:$N,COLUMN('Suoritepäätös 2022 oikaistu'!G:G),FALSE),0)</f>
        <v>134351</v>
      </c>
      <c r="AA22" s="228">
        <f>IFERROR(VLOOKUP(Vertailu[[#This Row],[Y-tunnus]],'1.2 Ohjaus-laskentataulu'!A:AU,COLUMN('1.2 Ohjaus-laskentataulu'!AP:AP),FALSE),0)</f>
        <v>140349</v>
      </c>
      <c r="AB22" s="228">
        <f>Vertailu[[#This Row],[Perusrahoitus 2023, €]]-Vertailu[[#This Row],[Perusrahoitus 2022, €]]</f>
        <v>5998</v>
      </c>
      <c r="AC22" s="230">
        <f>IFERROR(Vertailu[[#This Row],[Perusrahoituksen muutos, €]]/Vertailu[[#This Row],[Perusrahoitus 2022, €]],0)</f>
        <v>4.4644252740954661E-2</v>
      </c>
      <c r="AD22" s="228">
        <f>IFERROR(VLOOKUP(Vertailu[[#This Row],[Y-tunnus]],'Suoritepäätös 2022 oikaistu'!$B:$N,COLUMN('Suoritepäätös 2022 oikaistu'!M:M),FALSE),0)</f>
        <v>82478</v>
      </c>
      <c r="AE22" s="228">
        <f>IFERROR(VLOOKUP(Vertailu[[#This Row],[Y-tunnus]],'1.2 Ohjaus-laskentataulu'!A:AU,COLUMN('1.2 Ohjaus-laskentataulu'!O:O),FALSE),0)</f>
        <v>140701</v>
      </c>
      <c r="AF22" s="228">
        <f>Vertailu[[#This Row],[Suoritusrahoitus 2023, €]]-Vertailu[[#This Row],[Suoritusrahoitus 2022, €]]</f>
        <v>58223</v>
      </c>
      <c r="AG22" s="230">
        <f>IFERROR(Vertailu[[#This Row],[Suoritusrahoituksen muutos, €]]/Vertailu[[#This Row],[Suoritusrahoitus 2022, €]],0)</f>
        <v>0.70592157908775677</v>
      </c>
      <c r="AH22" s="228">
        <f>IFERROR(VLOOKUP(Vertailu[[#This Row],[Y-tunnus]],'Suoritepäätös 2022 oikaistu'!$Q:$AC,COLUMN('Suoritepäätös 2022 oikaistu'!K:K),FALSE),0)</f>
        <v>186433</v>
      </c>
      <c r="AI22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169263</v>
      </c>
      <c r="AJ22" s="228">
        <f>Vertailu[[#This Row],[Vaikuttavuusrahoitus 2023, €]]-Vertailu[[#This Row],[Vaikuttavuusrahoitus 2022, €]]</f>
        <v>-17170</v>
      </c>
      <c r="AK22" s="230">
        <f>IFERROR(Vertailu[[#This Row],[Vaikuttavuusrahoituksen muutos, €]]/Vertailu[[#This Row],[Vaikuttavuusrahoitus 2022, €]],0)</f>
        <v>-9.2097429103216708E-2</v>
      </c>
    </row>
    <row r="23" spans="1:37" s="5" customFormat="1" ht="12.75" customHeight="1" x14ac:dyDescent="0.35">
      <c r="A23" s="7" t="s">
        <v>317</v>
      </c>
      <c r="B23" s="188" t="s">
        <v>26</v>
      </c>
      <c r="C23" s="188" t="s">
        <v>187</v>
      </c>
      <c r="D23" s="11" t="s">
        <v>337</v>
      </c>
      <c r="E23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0.66680335023906179</v>
      </c>
      <c r="F23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0.6704710668507371</v>
      </c>
      <c r="G23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0.18719071979672047</v>
      </c>
      <c r="H23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0.14233821335254238</v>
      </c>
      <c r="I23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9.058966613509227E-2</v>
      </c>
      <c r="J23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6.3832939909598124E-3</v>
      </c>
      <c r="K23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1.5803457336386828E-2</v>
      </c>
      <c r="L23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2.2543986925323823E-2</v>
      </c>
      <c r="M23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7.0178089647796506E-3</v>
      </c>
      <c r="N23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1117152</v>
      </c>
      <c r="O23" s="228">
        <f>IFERROR(VLOOKUP(Vertailu[[#This Row],[Y-tunnus]],'1.2 Ohjaus-laskentataulu'!A:AU,COLUMN('1.2 Ohjaus-laskentataulu'!AF:AF),FALSE),0)</f>
        <v>1358246</v>
      </c>
      <c r="P23" s="228">
        <f>IFERROR(Vertailu[[#This Row],[Rahoitus pl. hark. kor. 2023 ilman alv, €]]-Vertailu[[#This Row],[Rahoitus pl. hark. kor. 2022 ilman alv, €]],0)</f>
        <v>241094</v>
      </c>
      <c r="Q23" s="230">
        <f>IFERROR(Vertailu[[#This Row],[Muutos, € 1]]/Vertailu[[#This Row],[Rahoitus pl. hark. kor. 2022 ilman alv, €]],0)</f>
        <v>0.21581127724785884</v>
      </c>
      <c r="R23" s="233">
        <f>IFERROR(VLOOKUP(Vertailu[[#This Row],[Y-tunnus]],'Suoritepäätös 2022 oikaistu'!$Q:$AC,COLUMN('Suoritepäätös 2022 oikaistu'!L:L),FALSE),0)</f>
        <v>1122152</v>
      </c>
      <c r="S23" s="234">
        <f>IFERROR(VLOOKUP(Vertailu[[#This Row],[Y-tunnus]],'1.2 Ohjaus-laskentataulu'!A:AU,COLUMN('1.2 Ohjaus-laskentataulu'!AS:AS),FALSE),0)</f>
        <v>1363246</v>
      </c>
      <c r="T23" s="228">
        <f>IFERROR(Vertailu[[#This Row],[Rahoitus ml. hark. kor. 
2023 ilman alv, €]]-Vertailu[[#This Row],[Rahoitus ml. hark. kor. 
2022 ilman alv, €]],0)</f>
        <v>241094</v>
      </c>
      <c r="U23" s="232">
        <f>IFERROR(Vertailu[[#This Row],[Muutos, € 2]]/Vertailu[[#This Row],[Rahoitus ml. hark. kor. 
2022 ilman alv, €]],0)</f>
        <v>0.21484968168305185</v>
      </c>
      <c r="V23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1186238</v>
      </c>
      <c r="W23" s="233">
        <f>IFERROR(VLOOKUP(Vertailu[[#This Row],[Y-tunnus]],'1.2 Ohjaus-laskentataulu'!A:AU,COLUMN('1.2 Ohjaus-laskentataulu'!AU:AU),FALSE),0)</f>
        <v>1428686</v>
      </c>
      <c r="X23" s="235">
        <f>IFERROR(Vertailu[[#This Row],[Rahoitus ml. hark. kor. + alv 2023, €]]-Vertailu[[#This Row],[Rahoitus ml. hark. kor. + alv 2022, €]],0)</f>
        <v>242448</v>
      </c>
      <c r="Y23" s="230">
        <f>IFERROR(Vertailu[[#This Row],[Muutos, € 3]]/Vertailu[[#This Row],[Rahoitus ml. hark. kor. + alv 2022, €]],0)</f>
        <v>0.20438394318846639</v>
      </c>
      <c r="Z23" s="228">
        <f>IFERROR(VLOOKUP(Vertailu[[#This Row],[Y-tunnus]],'Suoritepäätös 2022 oikaistu'!$B:$N,COLUMN('Suoritepäätös 2022 oikaistu'!G:G),FALSE),0)</f>
        <v>834310</v>
      </c>
      <c r="AA23" s="228">
        <f>IFERROR(VLOOKUP(Vertailu[[#This Row],[Y-tunnus]],'1.2 Ohjaus-laskentataulu'!A:AU,COLUMN('1.2 Ohjaus-laskentataulu'!AP:AP),FALSE),0)</f>
        <v>914017</v>
      </c>
      <c r="AB23" s="228">
        <f>Vertailu[[#This Row],[Perusrahoitus 2023, €]]-Vertailu[[#This Row],[Perusrahoitus 2022, €]]</f>
        <v>79707</v>
      </c>
      <c r="AC23" s="230">
        <f>IFERROR(Vertailu[[#This Row],[Perusrahoituksen muutos, €]]/Vertailu[[#This Row],[Perusrahoitus 2022, €]],0)</f>
        <v>9.553643130251345E-2</v>
      </c>
      <c r="AD23" s="228">
        <f>IFERROR(VLOOKUP(Vertailu[[#This Row],[Y-tunnus]],'Suoritepäätös 2022 oikaistu'!$B:$N,COLUMN('Suoritepäätös 2022 oikaistu'!M:M),FALSE),0)</f>
        <v>156895</v>
      </c>
      <c r="AE23" s="228">
        <f>IFERROR(VLOOKUP(Vertailu[[#This Row],[Y-tunnus]],'1.2 Ohjaus-laskentataulu'!A:AU,COLUMN('1.2 Ohjaus-laskentataulu'!O:O),FALSE),0)</f>
        <v>255187</v>
      </c>
      <c r="AF23" s="228">
        <f>Vertailu[[#This Row],[Suoritusrahoitus 2023, €]]-Vertailu[[#This Row],[Suoritusrahoitus 2022, €]]</f>
        <v>98292</v>
      </c>
      <c r="AG23" s="230">
        <f>IFERROR(Vertailu[[#This Row],[Suoritusrahoituksen muutos, €]]/Vertailu[[#This Row],[Suoritusrahoitus 2022, €]],0)</f>
        <v>0.62648267949902803</v>
      </c>
      <c r="AH23" s="228">
        <f>IFERROR(VLOOKUP(Vertailu[[#This Row],[Y-tunnus]],'Suoritepäätös 2022 oikaistu'!$Q:$AC,COLUMN('Suoritepäätös 2022 oikaistu'!K:K),FALSE),0)</f>
        <v>130947</v>
      </c>
      <c r="AI23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194042</v>
      </c>
      <c r="AJ23" s="228">
        <f>Vertailu[[#This Row],[Vaikuttavuusrahoitus 2023, €]]-Vertailu[[#This Row],[Vaikuttavuusrahoitus 2022, €]]</f>
        <v>63095</v>
      </c>
      <c r="AK23" s="230">
        <f>IFERROR(Vertailu[[#This Row],[Vaikuttavuusrahoituksen muutos, €]]/Vertailu[[#This Row],[Vaikuttavuusrahoitus 2022, €]],0)</f>
        <v>0.48183616272232277</v>
      </c>
    </row>
    <row r="24" spans="1:37" s="5" customFormat="1" ht="12.75" customHeight="1" x14ac:dyDescent="0.35">
      <c r="A24" s="7" t="s">
        <v>316</v>
      </c>
      <c r="B24" s="188" t="s">
        <v>27</v>
      </c>
      <c r="C24" s="188" t="s">
        <v>196</v>
      </c>
      <c r="D24" s="11" t="s">
        <v>337</v>
      </c>
      <c r="E24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0.76970240705125015</v>
      </c>
      <c r="F24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0.77125944185907469</v>
      </c>
      <c r="G24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0.15875340056402029</v>
      </c>
      <c r="H24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6.998715757690506E-2</v>
      </c>
      <c r="I24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4.2284394276090924E-2</v>
      </c>
      <c r="J24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2.3617103965082559E-3</v>
      </c>
      <c r="K24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5.0759334735079866E-3</v>
      </c>
      <c r="L24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1.6846493806738347E-2</v>
      </c>
      <c r="M24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3.4186256240595508E-3</v>
      </c>
      <c r="N24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2949308</v>
      </c>
      <c r="O24" s="228">
        <f>IFERROR(VLOOKUP(Vertailu[[#This Row],[Y-tunnus]],'1.2 Ohjaus-laskentataulu'!A:AU,COLUMN('1.2 Ohjaus-laskentataulu'!AF:AF),FALSE),0)</f>
        <v>3206232</v>
      </c>
      <c r="P24" s="228">
        <f>IFERROR(Vertailu[[#This Row],[Rahoitus pl. hark. kor. 2023 ilman alv, €]]-Vertailu[[#This Row],[Rahoitus pl. hark. kor. 2022 ilman alv, €]],0)</f>
        <v>256924</v>
      </c>
      <c r="Q24" s="230">
        <f>IFERROR(Vertailu[[#This Row],[Muutos, € 1]]/Vertailu[[#This Row],[Rahoitus pl. hark. kor. 2022 ilman alv, €]],0)</f>
        <v>8.7113316072787245E-2</v>
      </c>
      <c r="R24" s="233">
        <f>IFERROR(VLOOKUP(Vertailu[[#This Row],[Y-tunnus]],'Suoritepäätös 2022 oikaistu'!$Q:$AC,COLUMN('Suoritepäätös 2022 oikaistu'!L:L),FALSE),0)</f>
        <v>2956308</v>
      </c>
      <c r="S24" s="234">
        <f>IFERROR(VLOOKUP(Vertailu[[#This Row],[Y-tunnus]],'1.2 Ohjaus-laskentataulu'!A:AU,COLUMN('1.2 Ohjaus-laskentataulu'!AS:AS),FALSE),0)</f>
        <v>3211232</v>
      </c>
      <c r="T24" s="228">
        <f>IFERROR(Vertailu[[#This Row],[Rahoitus ml. hark. kor. 
2023 ilman alv, €]]-Vertailu[[#This Row],[Rahoitus ml. hark. kor. 
2022 ilman alv, €]],0)</f>
        <v>254924</v>
      </c>
      <c r="U24" s="232">
        <f>IFERROR(Vertailu[[#This Row],[Muutos, € 2]]/Vertailu[[#This Row],[Rahoitus ml. hark. kor. 
2022 ilman alv, €]],0)</f>
        <v>8.6230528077588672E-2</v>
      </c>
      <c r="V24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3156333</v>
      </c>
      <c r="W24" s="233">
        <f>IFERROR(VLOOKUP(Vertailu[[#This Row],[Y-tunnus]],'1.2 Ohjaus-laskentataulu'!A:AU,COLUMN('1.2 Ohjaus-laskentataulu'!AU:AU),FALSE),0)</f>
        <v>3471173</v>
      </c>
      <c r="X24" s="235">
        <f>IFERROR(Vertailu[[#This Row],[Rahoitus ml. hark. kor. + alv 2023, €]]-Vertailu[[#This Row],[Rahoitus ml. hark. kor. + alv 2022, €]],0)</f>
        <v>314840</v>
      </c>
      <c r="Y24" s="230">
        <f>IFERROR(Vertailu[[#This Row],[Muutos, € 3]]/Vertailu[[#This Row],[Rahoitus ml. hark. kor. + alv 2022, €]],0)</f>
        <v>9.9748664035131912E-2</v>
      </c>
      <c r="Z24" s="228">
        <f>IFERROR(VLOOKUP(Vertailu[[#This Row],[Y-tunnus]],'Suoritepäätös 2022 oikaistu'!$B:$N,COLUMN('Suoritepäätös 2022 oikaistu'!G:G),FALSE),0)</f>
        <v>2320885</v>
      </c>
      <c r="AA24" s="228">
        <f>IFERROR(VLOOKUP(Vertailu[[#This Row],[Y-tunnus]],'1.2 Ohjaus-laskentataulu'!A:AU,COLUMN('1.2 Ohjaus-laskentataulu'!AP:AP),FALSE),0)</f>
        <v>2476693</v>
      </c>
      <c r="AB24" s="228">
        <f>Vertailu[[#This Row],[Perusrahoitus 2023, €]]-Vertailu[[#This Row],[Perusrahoitus 2022, €]]</f>
        <v>155808</v>
      </c>
      <c r="AC24" s="230">
        <f>IFERROR(Vertailu[[#This Row],[Perusrahoituksen muutos, €]]/Vertailu[[#This Row],[Perusrahoitus 2022, €]],0)</f>
        <v>6.713301176059995E-2</v>
      </c>
      <c r="AD24" s="228">
        <f>IFERROR(VLOOKUP(Vertailu[[#This Row],[Y-tunnus]],'Suoritepäätös 2022 oikaistu'!$B:$N,COLUMN('Suoritepäätös 2022 oikaistu'!M:M),FALSE),0)</f>
        <v>436415</v>
      </c>
      <c r="AE24" s="228">
        <f>IFERROR(VLOOKUP(Vertailu[[#This Row],[Y-tunnus]],'1.2 Ohjaus-laskentataulu'!A:AU,COLUMN('1.2 Ohjaus-laskentataulu'!O:O),FALSE),0)</f>
        <v>509794</v>
      </c>
      <c r="AF24" s="228">
        <f>Vertailu[[#This Row],[Suoritusrahoitus 2023, €]]-Vertailu[[#This Row],[Suoritusrahoitus 2022, €]]</f>
        <v>73379</v>
      </c>
      <c r="AG24" s="230">
        <f>IFERROR(Vertailu[[#This Row],[Suoritusrahoituksen muutos, €]]/Vertailu[[#This Row],[Suoritusrahoitus 2022, €]],0)</f>
        <v>0.16814041680510522</v>
      </c>
      <c r="AH24" s="228">
        <f>IFERROR(VLOOKUP(Vertailu[[#This Row],[Y-tunnus]],'Suoritepäätös 2022 oikaistu'!$Q:$AC,COLUMN('Suoritepäätös 2022 oikaistu'!K:K),FALSE),0)</f>
        <v>199008</v>
      </c>
      <c r="AI24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224745</v>
      </c>
      <c r="AJ24" s="228">
        <f>Vertailu[[#This Row],[Vaikuttavuusrahoitus 2023, €]]-Vertailu[[#This Row],[Vaikuttavuusrahoitus 2022, €]]</f>
        <v>25737</v>
      </c>
      <c r="AK24" s="230">
        <f>IFERROR(Vertailu[[#This Row],[Vaikuttavuusrahoituksen muutos, €]]/Vertailu[[#This Row],[Vaikuttavuusrahoitus 2022, €]],0)</f>
        <v>0.12932645923781957</v>
      </c>
    </row>
    <row r="25" spans="1:37" s="5" customFormat="1" ht="12.75" customHeight="1" x14ac:dyDescent="0.35">
      <c r="A25" s="7" t="s">
        <v>315</v>
      </c>
      <c r="B25" s="188" t="s">
        <v>147</v>
      </c>
      <c r="C25" s="188" t="s">
        <v>180</v>
      </c>
      <c r="D25" s="11" t="s">
        <v>337</v>
      </c>
      <c r="E25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0.64921986513756957</v>
      </c>
      <c r="F25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0.64921986513756957</v>
      </c>
      <c r="G25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0.22470837229905991</v>
      </c>
      <c r="H25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0.12607176256337058</v>
      </c>
      <c r="I25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8.8128168528818232E-2</v>
      </c>
      <c r="J25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6.6496037800856424E-3</v>
      </c>
      <c r="K25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3.1293990254466705E-2</v>
      </c>
      <c r="L25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0</v>
      </c>
      <c r="M25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0</v>
      </c>
      <c r="N25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183130</v>
      </c>
      <c r="O25" s="228">
        <f>IFERROR(VLOOKUP(Vertailu[[#This Row],[Y-tunnus]],'1.2 Ohjaus-laskentataulu'!A:AU,COLUMN('1.2 Ohjaus-laskentataulu'!AF:AF),FALSE),0)</f>
        <v>203170</v>
      </c>
      <c r="P25" s="228">
        <f>IFERROR(Vertailu[[#This Row],[Rahoitus pl. hark. kor. 2023 ilman alv, €]]-Vertailu[[#This Row],[Rahoitus pl. hark. kor. 2022 ilman alv, €]],0)</f>
        <v>20040</v>
      </c>
      <c r="Q25" s="230">
        <f>IFERROR(Vertailu[[#This Row],[Muutos, € 1]]/Vertailu[[#This Row],[Rahoitus pl. hark. kor. 2022 ilman alv, €]],0)</f>
        <v>0.10943045923660788</v>
      </c>
      <c r="R25" s="233">
        <f>IFERROR(VLOOKUP(Vertailu[[#This Row],[Y-tunnus]],'Suoritepäätös 2022 oikaistu'!$Q:$AC,COLUMN('Suoritepäätös 2022 oikaistu'!L:L),FALSE),0)</f>
        <v>183130</v>
      </c>
      <c r="S25" s="234">
        <f>IFERROR(VLOOKUP(Vertailu[[#This Row],[Y-tunnus]],'1.2 Ohjaus-laskentataulu'!A:AU,COLUMN('1.2 Ohjaus-laskentataulu'!AS:AS),FALSE),0)</f>
        <v>203170</v>
      </c>
      <c r="T25" s="228">
        <f>IFERROR(Vertailu[[#This Row],[Rahoitus ml. hark. kor. 
2023 ilman alv, €]]-Vertailu[[#This Row],[Rahoitus ml. hark. kor. 
2022 ilman alv, €]],0)</f>
        <v>20040</v>
      </c>
      <c r="U25" s="232">
        <f>IFERROR(Vertailu[[#This Row],[Muutos, € 2]]/Vertailu[[#This Row],[Rahoitus ml. hark. kor. 
2022 ilman alv, €]],0)</f>
        <v>0.10943045923660788</v>
      </c>
      <c r="V25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196576</v>
      </c>
      <c r="W25" s="233">
        <f>IFERROR(VLOOKUP(Vertailu[[#This Row],[Y-tunnus]],'1.2 Ohjaus-laskentataulu'!A:AU,COLUMN('1.2 Ohjaus-laskentataulu'!AU:AU),FALSE),0)</f>
        <v>216163</v>
      </c>
      <c r="X25" s="235">
        <f>IFERROR(Vertailu[[#This Row],[Rahoitus ml. hark. kor. + alv 2023, €]]-Vertailu[[#This Row],[Rahoitus ml. hark. kor. + alv 2022, €]],0)</f>
        <v>19587</v>
      </c>
      <c r="Y25" s="230">
        <f>IFERROR(Vertailu[[#This Row],[Muutos, € 3]]/Vertailu[[#This Row],[Rahoitus ml. hark. kor. + alv 2022, €]],0)</f>
        <v>9.96408513755494E-2</v>
      </c>
      <c r="Z25" s="228">
        <f>IFERROR(VLOOKUP(Vertailu[[#This Row],[Y-tunnus]],'Suoritepäätös 2022 oikaistu'!$B:$N,COLUMN('Suoritepäätös 2022 oikaistu'!G:G),FALSE),0)</f>
        <v>123969</v>
      </c>
      <c r="AA25" s="228">
        <f>IFERROR(VLOOKUP(Vertailu[[#This Row],[Y-tunnus]],'1.2 Ohjaus-laskentataulu'!A:AU,COLUMN('1.2 Ohjaus-laskentataulu'!AP:AP),FALSE),0)</f>
        <v>131902</v>
      </c>
      <c r="AB25" s="228">
        <f>Vertailu[[#This Row],[Perusrahoitus 2023, €]]-Vertailu[[#This Row],[Perusrahoitus 2022, €]]</f>
        <v>7933</v>
      </c>
      <c r="AC25" s="230">
        <f>IFERROR(Vertailu[[#This Row],[Perusrahoituksen muutos, €]]/Vertailu[[#This Row],[Perusrahoitus 2022, €]],0)</f>
        <v>6.3991804402713584E-2</v>
      </c>
      <c r="AD25" s="228">
        <f>IFERROR(VLOOKUP(Vertailu[[#This Row],[Y-tunnus]],'Suoritepäätös 2022 oikaistu'!$B:$N,COLUMN('Suoritepäätös 2022 oikaistu'!M:M),FALSE),0)</f>
        <v>44970</v>
      </c>
      <c r="AE25" s="228">
        <f>IFERROR(VLOOKUP(Vertailu[[#This Row],[Y-tunnus]],'1.2 Ohjaus-laskentataulu'!A:AU,COLUMN('1.2 Ohjaus-laskentataulu'!O:O),FALSE),0)</f>
        <v>45654</v>
      </c>
      <c r="AF25" s="228">
        <f>Vertailu[[#This Row],[Suoritusrahoitus 2023, €]]-Vertailu[[#This Row],[Suoritusrahoitus 2022, €]]</f>
        <v>684</v>
      </c>
      <c r="AG25" s="230">
        <f>IFERROR(Vertailu[[#This Row],[Suoritusrahoituksen muutos, €]]/Vertailu[[#This Row],[Suoritusrahoitus 2022, €]],0)</f>
        <v>1.5210140093395597E-2</v>
      </c>
      <c r="AH25" s="228">
        <f>IFERROR(VLOOKUP(Vertailu[[#This Row],[Y-tunnus]],'Suoritepäätös 2022 oikaistu'!$Q:$AC,COLUMN('Suoritepäätös 2022 oikaistu'!K:K),FALSE),0)</f>
        <v>14191</v>
      </c>
      <c r="AI25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25614</v>
      </c>
      <c r="AJ25" s="228">
        <f>Vertailu[[#This Row],[Vaikuttavuusrahoitus 2023, €]]-Vertailu[[#This Row],[Vaikuttavuusrahoitus 2022, €]]</f>
        <v>11423</v>
      </c>
      <c r="AK25" s="230">
        <f>IFERROR(Vertailu[[#This Row],[Vaikuttavuusrahoituksen muutos, €]]/Vertailu[[#This Row],[Vaikuttavuusrahoitus 2022, €]],0)</f>
        <v>0.8049467972658727</v>
      </c>
    </row>
    <row r="26" spans="1:37" s="5" customFormat="1" ht="12.75" customHeight="1" x14ac:dyDescent="0.35">
      <c r="A26" s="7" t="s">
        <v>314</v>
      </c>
      <c r="B26" s="188" t="s">
        <v>28</v>
      </c>
      <c r="C26" s="188" t="s">
        <v>180</v>
      </c>
      <c r="D26" s="11" t="s">
        <v>338</v>
      </c>
      <c r="E26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0.7162007538419275</v>
      </c>
      <c r="F26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0.71793790297820081</v>
      </c>
      <c r="G26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0.18503378351081881</v>
      </c>
      <c r="H26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9.7028313510980402E-2</v>
      </c>
      <c r="I26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7.4094743305916005E-2</v>
      </c>
      <c r="J26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2.7904270962946206E-3</v>
      </c>
      <c r="K26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7.3214675274307969E-3</v>
      </c>
      <c r="L26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1.0432186545577945E-2</v>
      </c>
      <c r="M26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2.3894890357610329E-3</v>
      </c>
      <c r="N26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92019147</v>
      </c>
      <c r="O26" s="228">
        <f>IFERROR(VLOOKUP(Vertailu[[#This Row],[Y-tunnus]],'1.2 Ohjaus-laskentataulu'!A:AU,COLUMN('1.2 Ohjaus-laskentataulu'!AF:AF),FALSE),0)</f>
        <v>98840800</v>
      </c>
      <c r="P26" s="228">
        <f>IFERROR(Vertailu[[#This Row],[Rahoitus pl. hark. kor. 2023 ilman alv, €]]-Vertailu[[#This Row],[Rahoitus pl. hark. kor. 2022 ilman alv, €]],0)</f>
        <v>6821653</v>
      </c>
      <c r="Q26" s="230">
        <f>IFERROR(Vertailu[[#This Row],[Muutos, € 1]]/Vertailu[[#This Row],[Rahoitus pl. hark. kor. 2022 ilman alv, €]],0)</f>
        <v>7.4132973651668391E-2</v>
      </c>
      <c r="R26" s="233">
        <f>IFERROR(VLOOKUP(Vertailu[[#This Row],[Y-tunnus]],'Suoritepäätös 2022 oikaistu'!$Q:$AC,COLUMN('Suoritepäätös 2022 oikaistu'!L:L),FALSE),0)</f>
        <v>92189147</v>
      </c>
      <c r="S26" s="234">
        <f>IFERROR(VLOOKUP(Vertailu[[#This Row],[Y-tunnus]],'1.2 Ohjaus-laskentataulu'!A:AU,COLUMN('1.2 Ohjaus-laskentataulu'!AS:AS),FALSE),0)</f>
        <v>99012800</v>
      </c>
      <c r="T26" s="228">
        <f>IFERROR(Vertailu[[#This Row],[Rahoitus ml. hark. kor. 
2023 ilman alv, €]]-Vertailu[[#This Row],[Rahoitus ml. hark. kor. 
2022 ilman alv, €]],0)</f>
        <v>6823653</v>
      </c>
      <c r="U26" s="232">
        <f>IFERROR(Vertailu[[#This Row],[Muutos, € 2]]/Vertailu[[#This Row],[Rahoitus ml. hark. kor. 
2022 ilman alv, €]],0)</f>
        <v>7.4017964392272775E-2</v>
      </c>
      <c r="V26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92189147</v>
      </c>
      <c r="W26" s="233">
        <f>IFERROR(VLOOKUP(Vertailu[[#This Row],[Y-tunnus]],'1.2 Ohjaus-laskentataulu'!A:AU,COLUMN('1.2 Ohjaus-laskentataulu'!AU:AU),FALSE),0)</f>
        <v>99012800</v>
      </c>
      <c r="X26" s="235">
        <f>IFERROR(Vertailu[[#This Row],[Rahoitus ml. hark. kor. + alv 2023, €]]-Vertailu[[#This Row],[Rahoitus ml. hark. kor. + alv 2022, €]],0)</f>
        <v>6823653</v>
      </c>
      <c r="Y26" s="230">
        <f>IFERROR(Vertailu[[#This Row],[Muutos, € 3]]/Vertailu[[#This Row],[Rahoitus ml. hark. kor. + alv 2022, €]],0)</f>
        <v>7.4017964392272775E-2</v>
      </c>
      <c r="Z26" s="228">
        <f>IFERROR(VLOOKUP(Vertailu[[#This Row],[Y-tunnus]],'Suoritepäätös 2022 oikaistu'!$B:$N,COLUMN('Suoritepäätös 2022 oikaistu'!G:G),FALSE),0)</f>
        <v>65962759</v>
      </c>
      <c r="AA26" s="228">
        <f>IFERROR(VLOOKUP(Vertailu[[#This Row],[Y-tunnus]],'1.2 Ohjaus-laskentataulu'!A:AU,COLUMN('1.2 Ohjaus-laskentataulu'!AP:AP),FALSE),0)</f>
        <v>71085042</v>
      </c>
      <c r="AB26" s="228">
        <f>Vertailu[[#This Row],[Perusrahoitus 2023, €]]-Vertailu[[#This Row],[Perusrahoitus 2022, €]]</f>
        <v>5122283</v>
      </c>
      <c r="AC26" s="230">
        <f>IFERROR(Vertailu[[#This Row],[Perusrahoituksen muutos, €]]/Vertailu[[#This Row],[Perusrahoitus 2022, €]],0)</f>
        <v>7.765416543598487E-2</v>
      </c>
      <c r="AD26" s="228">
        <f>IFERROR(VLOOKUP(Vertailu[[#This Row],[Y-tunnus]],'Suoritepäätös 2022 oikaistu'!$B:$N,COLUMN('Suoritepäätös 2022 oikaistu'!M:M),FALSE),0)</f>
        <v>16911214</v>
      </c>
      <c r="AE26" s="228">
        <f>IFERROR(VLOOKUP(Vertailu[[#This Row],[Y-tunnus]],'1.2 Ohjaus-laskentataulu'!A:AU,COLUMN('1.2 Ohjaus-laskentataulu'!O:O),FALSE),0)</f>
        <v>18320713</v>
      </c>
      <c r="AF26" s="228">
        <f>Vertailu[[#This Row],[Suoritusrahoitus 2023, €]]-Vertailu[[#This Row],[Suoritusrahoitus 2022, €]]</f>
        <v>1409499</v>
      </c>
      <c r="AG26" s="230">
        <f>IFERROR(Vertailu[[#This Row],[Suoritusrahoituksen muutos, €]]/Vertailu[[#This Row],[Suoritusrahoitus 2022, €]],0)</f>
        <v>8.3347002763964784E-2</v>
      </c>
      <c r="AH26" s="228">
        <f>IFERROR(VLOOKUP(Vertailu[[#This Row],[Y-tunnus]],'Suoritepäätös 2022 oikaistu'!$Q:$AC,COLUMN('Suoritepäätös 2022 oikaistu'!K:K),FALSE),0)</f>
        <v>9315174</v>
      </c>
      <c r="AI26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9607045</v>
      </c>
      <c r="AJ26" s="228">
        <f>Vertailu[[#This Row],[Vaikuttavuusrahoitus 2023, €]]-Vertailu[[#This Row],[Vaikuttavuusrahoitus 2022, €]]</f>
        <v>291871</v>
      </c>
      <c r="AK26" s="230">
        <f>IFERROR(Vertailu[[#This Row],[Vaikuttavuusrahoituksen muutos, €]]/Vertailu[[#This Row],[Vaikuttavuusrahoitus 2022, €]],0)</f>
        <v>3.1332855403452473E-2</v>
      </c>
    </row>
    <row r="27" spans="1:37" s="5" customFormat="1" ht="12.75" customHeight="1" x14ac:dyDescent="0.35">
      <c r="A27" s="7" t="s">
        <v>310</v>
      </c>
      <c r="B27" s="188" t="s">
        <v>29</v>
      </c>
      <c r="C27" s="188" t="s">
        <v>180</v>
      </c>
      <c r="D27" s="11" t="s">
        <v>337</v>
      </c>
      <c r="E27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0.61105558861162745</v>
      </c>
      <c r="F27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0.61105558861162745</v>
      </c>
      <c r="G27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0.28480725384781452</v>
      </c>
      <c r="H27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0.10413715754055805</v>
      </c>
      <c r="I27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8.545913128643115E-2</v>
      </c>
      <c r="J27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3.587958696876991E-3</v>
      </c>
      <c r="K27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1.3631504952267618E-2</v>
      </c>
      <c r="L27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1.3290296082943242E-3</v>
      </c>
      <c r="M27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1.2953299668795712E-4</v>
      </c>
      <c r="N27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901661</v>
      </c>
      <c r="O27" s="228">
        <f>IFERROR(VLOOKUP(Vertailu[[#This Row],[Y-tunnus]],'1.2 Ohjaus-laskentataulu'!A:AU,COLUMN('1.2 Ohjaus-laskentataulu'!AF:AF),FALSE),0)</f>
        <v>949565</v>
      </c>
      <c r="P27" s="228">
        <f>IFERROR(Vertailu[[#This Row],[Rahoitus pl. hark. kor. 2023 ilman alv, €]]-Vertailu[[#This Row],[Rahoitus pl. hark. kor. 2022 ilman alv, €]],0)</f>
        <v>47904</v>
      </c>
      <c r="Q27" s="230">
        <f>IFERROR(Vertailu[[#This Row],[Muutos, € 1]]/Vertailu[[#This Row],[Rahoitus pl. hark. kor. 2022 ilman alv, €]],0)</f>
        <v>5.3128614856359543E-2</v>
      </c>
      <c r="R27" s="233">
        <f>IFERROR(VLOOKUP(Vertailu[[#This Row],[Y-tunnus]],'Suoritepäätös 2022 oikaistu'!$Q:$AC,COLUMN('Suoritepäätös 2022 oikaistu'!L:L),FALSE),0)</f>
        <v>901661</v>
      </c>
      <c r="S27" s="234">
        <f>IFERROR(VLOOKUP(Vertailu[[#This Row],[Y-tunnus]],'1.2 Ohjaus-laskentataulu'!A:AU,COLUMN('1.2 Ohjaus-laskentataulu'!AS:AS),FALSE),0)</f>
        <v>949565</v>
      </c>
      <c r="T27" s="228">
        <f>IFERROR(Vertailu[[#This Row],[Rahoitus ml. hark. kor. 
2023 ilman alv, €]]-Vertailu[[#This Row],[Rahoitus ml. hark. kor. 
2022 ilman alv, €]],0)</f>
        <v>47904</v>
      </c>
      <c r="U27" s="232">
        <f>IFERROR(Vertailu[[#This Row],[Muutos, € 2]]/Vertailu[[#This Row],[Rahoitus ml. hark. kor. 
2022 ilman alv, €]],0)</f>
        <v>5.3128614856359543E-2</v>
      </c>
      <c r="V27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924686</v>
      </c>
      <c r="W27" s="233">
        <f>IFERROR(VLOOKUP(Vertailu[[#This Row],[Y-tunnus]],'1.2 Ohjaus-laskentataulu'!A:AU,COLUMN('1.2 Ohjaus-laskentataulu'!AU:AU),FALSE),0)</f>
        <v>977659</v>
      </c>
      <c r="X27" s="235">
        <f>IFERROR(Vertailu[[#This Row],[Rahoitus ml. hark. kor. + alv 2023, €]]-Vertailu[[#This Row],[Rahoitus ml. hark. kor. + alv 2022, €]],0)</f>
        <v>52973</v>
      </c>
      <c r="Y27" s="230">
        <f>IFERROR(Vertailu[[#This Row],[Muutos, € 3]]/Vertailu[[#This Row],[Rahoitus ml. hark. kor. + alv 2022, €]],0)</f>
        <v>5.7287554910531793E-2</v>
      </c>
      <c r="Z27" s="228">
        <f>IFERROR(VLOOKUP(Vertailu[[#This Row],[Y-tunnus]],'Suoritepäätös 2022 oikaistu'!$B:$N,COLUMN('Suoritepäätös 2022 oikaistu'!G:G),FALSE),0)</f>
        <v>547174</v>
      </c>
      <c r="AA27" s="228">
        <f>IFERROR(VLOOKUP(Vertailu[[#This Row],[Y-tunnus]],'1.2 Ohjaus-laskentataulu'!A:AU,COLUMN('1.2 Ohjaus-laskentataulu'!AP:AP),FALSE),0)</f>
        <v>580237</v>
      </c>
      <c r="AB27" s="228">
        <f>Vertailu[[#This Row],[Perusrahoitus 2023, €]]-Vertailu[[#This Row],[Perusrahoitus 2022, €]]</f>
        <v>33063</v>
      </c>
      <c r="AC27" s="230">
        <f>IFERROR(Vertailu[[#This Row],[Perusrahoituksen muutos, €]]/Vertailu[[#This Row],[Perusrahoitus 2022, €]],0)</f>
        <v>6.0425020194672996E-2</v>
      </c>
      <c r="AD27" s="228">
        <f>IFERROR(VLOOKUP(Vertailu[[#This Row],[Y-tunnus]],'Suoritepäätös 2022 oikaistu'!$B:$N,COLUMN('Suoritepäätös 2022 oikaistu'!M:M),FALSE),0)</f>
        <v>261807</v>
      </c>
      <c r="AE27" s="228">
        <f>IFERROR(VLOOKUP(Vertailu[[#This Row],[Y-tunnus]],'1.2 Ohjaus-laskentataulu'!A:AU,COLUMN('1.2 Ohjaus-laskentataulu'!O:O),FALSE),0)</f>
        <v>270443</v>
      </c>
      <c r="AF27" s="228">
        <f>Vertailu[[#This Row],[Suoritusrahoitus 2023, €]]-Vertailu[[#This Row],[Suoritusrahoitus 2022, €]]</f>
        <v>8636</v>
      </c>
      <c r="AG27" s="230">
        <f>IFERROR(Vertailu[[#This Row],[Suoritusrahoituksen muutos, €]]/Vertailu[[#This Row],[Suoritusrahoitus 2022, €]],0)</f>
        <v>3.2986131004900554E-2</v>
      </c>
      <c r="AH27" s="228">
        <f>IFERROR(VLOOKUP(Vertailu[[#This Row],[Y-tunnus]],'Suoritepäätös 2022 oikaistu'!$Q:$AC,COLUMN('Suoritepäätös 2022 oikaistu'!K:K),FALSE),0)</f>
        <v>92680</v>
      </c>
      <c r="AI27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98885</v>
      </c>
      <c r="AJ27" s="228">
        <f>Vertailu[[#This Row],[Vaikuttavuusrahoitus 2023, €]]-Vertailu[[#This Row],[Vaikuttavuusrahoitus 2022, €]]</f>
        <v>6205</v>
      </c>
      <c r="AK27" s="230">
        <f>IFERROR(Vertailu[[#This Row],[Vaikuttavuusrahoituksen muutos, €]]/Vertailu[[#This Row],[Vaikuttavuusrahoitus 2022, €]],0)</f>
        <v>6.6950798446266724E-2</v>
      </c>
    </row>
    <row r="28" spans="1:37" s="5" customFormat="1" ht="12.75" customHeight="1" x14ac:dyDescent="0.35">
      <c r="A28" s="7" t="s">
        <v>313</v>
      </c>
      <c r="B28" s="188" t="s">
        <v>30</v>
      </c>
      <c r="C28" s="188" t="s">
        <v>180</v>
      </c>
      <c r="D28" s="11" t="s">
        <v>337</v>
      </c>
      <c r="E28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0.66372788354897871</v>
      </c>
      <c r="F28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0.66372788354897871</v>
      </c>
      <c r="G28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0.22301806389921314</v>
      </c>
      <c r="H28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0.11325405255180809</v>
      </c>
      <c r="I28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8.1323419907368508E-2</v>
      </c>
      <c r="J28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4.1879830641921197E-3</v>
      </c>
      <c r="K28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1.5237724241550392E-2</v>
      </c>
      <c r="L28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1.0362807515246769E-2</v>
      </c>
      <c r="M28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2.1421178234503043E-3</v>
      </c>
      <c r="N28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17137922</v>
      </c>
      <c r="O28" s="228">
        <f>IFERROR(VLOOKUP(Vertailu[[#This Row],[Y-tunnus]],'1.2 Ohjaus-laskentataulu'!A:AU,COLUMN('1.2 Ohjaus-laskentataulu'!AF:AF),FALSE),0)</f>
        <v>18077437</v>
      </c>
      <c r="P28" s="228">
        <f>IFERROR(Vertailu[[#This Row],[Rahoitus pl. hark. kor. 2023 ilman alv, €]]-Vertailu[[#This Row],[Rahoitus pl. hark. kor. 2022 ilman alv, €]],0)</f>
        <v>939515</v>
      </c>
      <c r="Q28" s="230">
        <f>IFERROR(Vertailu[[#This Row],[Muutos, € 1]]/Vertailu[[#This Row],[Rahoitus pl. hark. kor. 2022 ilman alv, €]],0)</f>
        <v>5.4820823668120321E-2</v>
      </c>
      <c r="R28" s="233">
        <f>IFERROR(VLOOKUP(Vertailu[[#This Row],[Y-tunnus]],'Suoritepäätös 2022 oikaistu'!$Q:$AC,COLUMN('Suoritepäätös 2022 oikaistu'!L:L),FALSE),0)</f>
        <v>17137922</v>
      </c>
      <c r="S28" s="234">
        <f>IFERROR(VLOOKUP(Vertailu[[#This Row],[Y-tunnus]],'1.2 Ohjaus-laskentataulu'!A:AU,COLUMN('1.2 Ohjaus-laskentataulu'!AS:AS),FALSE),0)</f>
        <v>18077437</v>
      </c>
      <c r="T28" s="228">
        <f>IFERROR(Vertailu[[#This Row],[Rahoitus ml. hark. kor. 
2023 ilman alv, €]]-Vertailu[[#This Row],[Rahoitus ml. hark. kor. 
2022 ilman alv, €]],0)</f>
        <v>939515</v>
      </c>
      <c r="U28" s="232">
        <f>IFERROR(Vertailu[[#This Row],[Muutos, € 2]]/Vertailu[[#This Row],[Rahoitus ml. hark. kor. 
2022 ilman alv, €]],0)</f>
        <v>5.4820823668120321E-2</v>
      </c>
      <c r="V28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18381719</v>
      </c>
      <c r="W28" s="233">
        <f>IFERROR(VLOOKUP(Vertailu[[#This Row],[Y-tunnus]],'1.2 Ohjaus-laskentataulu'!A:AU,COLUMN('1.2 Ohjaus-laskentataulu'!AU:AU),FALSE),0)</f>
        <v>19399828</v>
      </c>
      <c r="X28" s="235">
        <f>IFERROR(Vertailu[[#This Row],[Rahoitus ml. hark. kor. + alv 2023, €]]-Vertailu[[#This Row],[Rahoitus ml. hark. kor. + alv 2022, €]],0)</f>
        <v>1018109</v>
      </c>
      <c r="Y28" s="230">
        <f>IFERROR(Vertailu[[#This Row],[Muutos, € 3]]/Vertailu[[#This Row],[Rahoitus ml. hark. kor. + alv 2022, €]],0)</f>
        <v>5.5387039699605893E-2</v>
      </c>
      <c r="Z28" s="228">
        <f>IFERROR(VLOOKUP(Vertailu[[#This Row],[Y-tunnus]],'Suoritepäätös 2022 oikaistu'!$B:$N,COLUMN('Suoritepäätös 2022 oikaistu'!G:G),FALSE),0)</f>
        <v>11443626</v>
      </c>
      <c r="AA28" s="228">
        <f>IFERROR(VLOOKUP(Vertailu[[#This Row],[Y-tunnus]],'1.2 Ohjaus-laskentataulu'!A:AU,COLUMN('1.2 Ohjaus-laskentataulu'!AP:AP),FALSE),0)</f>
        <v>11998499</v>
      </c>
      <c r="AB28" s="228">
        <f>Vertailu[[#This Row],[Perusrahoitus 2023, €]]-Vertailu[[#This Row],[Perusrahoitus 2022, €]]</f>
        <v>554873</v>
      </c>
      <c r="AC28" s="230">
        <f>IFERROR(Vertailu[[#This Row],[Perusrahoituksen muutos, €]]/Vertailu[[#This Row],[Perusrahoitus 2022, €]],0)</f>
        <v>4.8487516107219859E-2</v>
      </c>
      <c r="AD28" s="228">
        <f>IFERROR(VLOOKUP(Vertailu[[#This Row],[Y-tunnus]],'Suoritepäätös 2022 oikaistu'!$B:$N,COLUMN('Suoritepäätös 2022 oikaistu'!M:M),FALSE),0)</f>
        <v>3621487</v>
      </c>
      <c r="AE28" s="228">
        <f>IFERROR(VLOOKUP(Vertailu[[#This Row],[Y-tunnus]],'1.2 Ohjaus-laskentataulu'!A:AU,COLUMN('1.2 Ohjaus-laskentataulu'!O:O),FALSE),0)</f>
        <v>4031595</v>
      </c>
      <c r="AF28" s="228">
        <f>Vertailu[[#This Row],[Suoritusrahoitus 2023, €]]-Vertailu[[#This Row],[Suoritusrahoitus 2022, €]]</f>
        <v>410108</v>
      </c>
      <c r="AG28" s="230">
        <f>IFERROR(Vertailu[[#This Row],[Suoritusrahoituksen muutos, €]]/Vertailu[[#This Row],[Suoritusrahoitus 2022, €]],0)</f>
        <v>0.11324298554709709</v>
      </c>
      <c r="AH28" s="228">
        <f>IFERROR(VLOOKUP(Vertailu[[#This Row],[Y-tunnus]],'Suoritepäätös 2022 oikaistu'!$Q:$AC,COLUMN('Suoritepäätös 2022 oikaistu'!K:K),FALSE),0)</f>
        <v>2072809</v>
      </c>
      <c r="AI28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2047343</v>
      </c>
      <c r="AJ28" s="228">
        <f>Vertailu[[#This Row],[Vaikuttavuusrahoitus 2023, €]]-Vertailu[[#This Row],[Vaikuttavuusrahoitus 2022, €]]</f>
        <v>-25466</v>
      </c>
      <c r="AK28" s="230">
        <f>IFERROR(Vertailu[[#This Row],[Vaikuttavuusrahoituksen muutos, €]]/Vertailu[[#This Row],[Vaikuttavuusrahoitus 2022, €]],0)</f>
        <v>-1.2285743645458891E-2</v>
      </c>
    </row>
    <row r="29" spans="1:37" s="5" customFormat="1" ht="12.75" customHeight="1" x14ac:dyDescent="0.35">
      <c r="A29" s="7" t="s">
        <v>311</v>
      </c>
      <c r="B29" s="188" t="s">
        <v>32</v>
      </c>
      <c r="C29" s="188" t="s">
        <v>265</v>
      </c>
      <c r="D29" s="11" t="s">
        <v>337</v>
      </c>
      <c r="E29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0.70722864158751531</v>
      </c>
      <c r="F29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0.70878673995961405</v>
      </c>
      <c r="G29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0.19602524653567957</v>
      </c>
      <c r="H29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9.5188013504706348E-2</v>
      </c>
      <c r="I29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4.7282498370674275E-2</v>
      </c>
      <c r="J29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2.090077673429704E-3</v>
      </c>
      <c r="K29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9.141363149103781E-3</v>
      </c>
      <c r="L29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2.0248156101869363E-2</v>
      </c>
      <c r="M29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1.6425918209629225E-2</v>
      </c>
      <c r="N29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4433489</v>
      </c>
      <c r="O29" s="228">
        <f>IFERROR(VLOOKUP(Vertailu[[#This Row],[Y-tunnus]],'1.2 Ohjaus-laskentataulu'!A:AU,COLUMN('1.2 Ohjaus-laskentataulu'!AF:AF),FALSE),0)</f>
        <v>4485656</v>
      </c>
      <c r="P29" s="228">
        <f>IFERROR(Vertailu[[#This Row],[Rahoitus pl. hark. kor. 2023 ilman alv, €]]-Vertailu[[#This Row],[Rahoitus pl. hark. kor. 2022 ilman alv, €]],0)</f>
        <v>52167</v>
      </c>
      <c r="Q29" s="230">
        <f>IFERROR(Vertailu[[#This Row],[Muutos, € 1]]/Vertailu[[#This Row],[Rahoitus pl. hark. kor. 2022 ilman alv, €]],0)</f>
        <v>1.1766579323868853E-2</v>
      </c>
      <c r="R29" s="233">
        <f>IFERROR(VLOOKUP(Vertailu[[#This Row],[Y-tunnus]],'Suoritepäätös 2022 oikaistu'!$Q:$AC,COLUMN('Suoritepäätös 2022 oikaistu'!L:L),FALSE),0)</f>
        <v>4442489</v>
      </c>
      <c r="S29" s="234">
        <f>IFERROR(VLOOKUP(Vertailu[[#This Row],[Y-tunnus]],'1.2 Ohjaus-laskentataulu'!A:AU,COLUMN('1.2 Ohjaus-laskentataulu'!AS:AS),FALSE),0)</f>
        <v>4492656</v>
      </c>
      <c r="T29" s="228">
        <f>IFERROR(Vertailu[[#This Row],[Rahoitus ml. hark. kor. 
2023 ilman alv, €]]-Vertailu[[#This Row],[Rahoitus ml. hark. kor. 
2022 ilman alv, €]],0)</f>
        <v>50167</v>
      </c>
      <c r="U29" s="232">
        <f>IFERROR(Vertailu[[#This Row],[Muutos, € 2]]/Vertailu[[#This Row],[Rahoitus ml. hark. kor. 
2022 ilman alv, €]],0)</f>
        <v>1.1292543436798605E-2</v>
      </c>
      <c r="V29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4775597</v>
      </c>
      <c r="W29" s="233">
        <f>IFERROR(VLOOKUP(Vertailu[[#This Row],[Y-tunnus]],'1.2 Ohjaus-laskentataulu'!A:AU,COLUMN('1.2 Ohjaus-laskentataulu'!AU:AU),FALSE),0)</f>
        <v>4820920</v>
      </c>
      <c r="X29" s="235">
        <f>IFERROR(Vertailu[[#This Row],[Rahoitus ml. hark. kor. + alv 2023, €]]-Vertailu[[#This Row],[Rahoitus ml. hark. kor. + alv 2022, €]],0)</f>
        <v>45323</v>
      </c>
      <c r="Y29" s="230">
        <f>IFERROR(Vertailu[[#This Row],[Muutos, € 3]]/Vertailu[[#This Row],[Rahoitus ml. hark. kor. + alv 2022, €]],0)</f>
        <v>9.4905411825997876E-3</v>
      </c>
      <c r="Z29" s="228">
        <f>IFERROR(VLOOKUP(Vertailu[[#This Row],[Y-tunnus]],'Suoritepäätös 2022 oikaistu'!$B:$N,COLUMN('Suoritepäätös 2022 oikaistu'!G:G),FALSE),0)</f>
        <v>3122883</v>
      </c>
      <c r="AA29" s="228">
        <f>IFERROR(VLOOKUP(Vertailu[[#This Row],[Y-tunnus]],'1.2 Ohjaus-laskentataulu'!A:AU,COLUMN('1.2 Ohjaus-laskentataulu'!AP:AP),FALSE),0)</f>
        <v>3184335</v>
      </c>
      <c r="AB29" s="228">
        <f>Vertailu[[#This Row],[Perusrahoitus 2023, €]]-Vertailu[[#This Row],[Perusrahoitus 2022, €]]</f>
        <v>61452</v>
      </c>
      <c r="AC29" s="230">
        <f>IFERROR(Vertailu[[#This Row],[Perusrahoituksen muutos, €]]/Vertailu[[#This Row],[Perusrahoitus 2022, €]],0)</f>
        <v>1.9677970644433364E-2</v>
      </c>
      <c r="AD29" s="228">
        <f>IFERROR(VLOOKUP(Vertailu[[#This Row],[Y-tunnus]],'Suoritepäätös 2022 oikaistu'!$B:$N,COLUMN('Suoritepäätös 2022 oikaistu'!M:M),FALSE),0)</f>
        <v>1052066</v>
      </c>
      <c r="AE29" s="228">
        <f>IFERROR(VLOOKUP(Vertailu[[#This Row],[Y-tunnus]],'1.2 Ohjaus-laskentataulu'!A:AU,COLUMN('1.2 Ohjaus-laskentataulu'!O:O),FALSE),0)</f>
        <v>880674</v>
      </c>
      <c r="AF29" s="228">
        <f>Vertailu[[#This Row],[Suoritusrahoitus 2023, €]]-Vertailu[[#This Row],[Suoritusrahoitus 2022, €]]</f>
        <v>-171392</v>
      </c>
      <c r="AG29" s="230">
        <f>IFERROR(Vertailu[[#This Row],[Suoritusrahoituksen muutos, €]]/Vertailu[[#This Row],[Suoritusrahoitus 2022, €]],0)</f>
        <v>-0.16290993150619829</v>
      </c>
      <c r="AH29" s="228">
        <f>IFERROR(VLOOKUP(Vertailu[[#This Row],[Y-tunnus]],'Suoritepäätös 2022 oikaistu'!$Q:$AC,COLUMN('Suoritepäätös 2022 oikaistu'!K:K),FALSE),0)</f>
        <v>267540</v>
      </c>
      <c r="AI29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427647</v>
      </c>
      <c r="AJ29" s="228">
        <f>Vertailu[[#This Row],[Vaikuttavuusrahoitus 2023, €]]-Vertailu[[#This Row],[Vaikuttavuusrahoitus 2022, €]]</f>
        <v>160107</v>
      </c>
      <c r="AK29" s="230">
        <f>IFERROR(Vertailu[[#This Row],[Vaikuttavuusrahoituksen muutos, €]]/Vertailu[[#This Row],[Vaikuttavuusrahoitus 2022, €]],0)</f>
        <v>0.59844135456380354</v>
      </c>
    </row>
    <row r="30" spans="1:37" s="5" customFormat="1" ht="12.75" customHeight="1" x14ac:dyDescent="0.35">
      <c r="A30" s="7" t="s">
        <v>308</v>
      </c>
      <c r="B30" s="188" t="s">
        <v>33</v>
      </c>
      <c r="C30" s="188" t="s">
        <v>180</v>
      </c>
      <c r="D30" s="11" t="s">
        <v>337</v>
      </c>
      <c r="E30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0.70540142659767713</v>
      </c>
      <c r="F30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0.70703312328484336</v>
      </c>
      <c r="G30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0.19331221216015113</v>
      </c>
      <c r="H30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9.9654664555005518E-2</v>
      </c>
      <c r="I30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7.4806108377609773E-2</v>
      </c>
      <c r="J30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3.3496890749327227E-3</v>
      </c>
      <c r="K30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1.0464702479321008E-2</v>
      </c>
      <c r="L30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8.404316964134623E-3</v>
      </c>
      <c r="M30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2.6298476590073945E-3</v>
      </c>
      <c r="N30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33989345</v>
      </c>
      <c r="O30" s="228">
        <f>IFERROR(VLOOKUP(Vertailu[[#This Row],[Y-tunnus]],'1.2 Ohjaus-laskentataulu'!A:AU,COLUMN('1.2 Ohjaus-laskentataulu'!AF:AF),FALSE),0)</f>
        <v>37935258</v>
      </c>
      <c r="P30" s="228">
        <f>IFERROR(Vertailu[[#This Row],[Rahoitus pl. hark. kor. 2023 ilman alv, €]]-Vertailu[[#This Row],[Rahoitus pl. hark. kor. 2022 ilman alv, €]],0)</f>
        <v>3945913</v>
      </c>
      <c r="Q30" s="230">
        <f>IFERROR(Vertailu[[#This Row],[Muutos, € 1]]/Vertailu[[#This Row],[Rahoitus pl. hark. kor. 2022 ilman alv, €]],0)</f>
        <v>0.11609264609247398</v>
      </c>
      <c r="R30" s="233">
        <f>IFERROR(VLOOKUP(Vertailu[[#This Row],[Y-tunnus]],'Suoritepäätös 2022 oikaistu'!$Q:$AC,COLUMN('Suoritepäätös 2022 oikaistu'!L:L),FALSE),0)</f>
        <v>34054345</v>
      </c>
      <c r="S30" s="234">
        <f>IFERROR(VLOOKUP(Vertailu[[#This Row],[Y-tunnus]],'1.2 Ohjaus-laskentataulu'!A:AU,COLUMN('1.2 Ohjaus-laskentataulu'!AS:AS),FALSE),0)</f>
        <v>37997258</v>
      </c>
      <c r="T30" s="228">
        <f>IFERROR(Vertailu[[#This Row],[Rahoitus ml. hark. kor. 
2023 ilman alv, €]]-Vertailu[[#This Row],[Rahoitus ml. hark. kor. 
2022 ilman alv, €]],0)</f>
        <v>3942913</v>
      </c>
      <c r="U30" s="232">
        <f>IFERROR(Vertailu[[#This Row],[Muutos, € 2]]/Vertailu[[#This Row],[Rahoitus ml. hark. kor. 
2022 ilman alv, €]],0)</f>
        <v>0.1157829639653912</v>
      </c>
      <c r="V30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37737233</v>
      </c>
      <c r="W30" s="233">
        <f>IFERROR(VLOOKUP(Vertailu[[#This Row],[Y-tunnus]],'1.2 Ohjaus-laskentataulu'!A:AU,COLUMN('1.2 Ohjaus-laskentataulu'!AU:AU),FALSE),0)</f>
        <v>42746108</v>
      </c>
      <c r="X30" s="235">
        <f>IFERROR(Vertailu[[#This Row],[Rahoitus ml. hark. kor. + alv 2023, €]]-Vertailu[[#This Row],[Rahoitus ml. hark. kor. + alv 2022, €]],0)</f>
        <v>5008875</v>
      </c>
      <c r="Y30" s="230">
        <f>IFERROR(Vertailu[[#This Row],[Muutos, € 3]]/Vertailu[[#This Row],[Rahoitus ml. hark. kor. + alv 2022, €]],0)</f>
        <v>0.13273031968189083</v>
      </c>
      <c r="Z30" s="228">
        <f>IFERROR(VLOOKUP(Vertailu[[#This Row],[Y-tunnus]],'Suoritepäätös 2022 oikaistu'!$B:$N,COLUMN('Suoritepäätös 2022 oikaistu'!G:G),FALSE),0)</f>
        <v>23697288</v>
      </c>
      <c r="AA30" s="228">
        <f>IFERROR(VLOOKUP(Vertailu[[#This Row],[Y-tunnus]],'1.2 Ohjaus-laskentataulu'!A:AU,COLUMN('1.2 Ohjaus-laskentataulu'!AP:AP),FALSE),0)</f>
        <v>26865320</v>
      </c>
      <c r="AB30" s="228">
        <f>Vertailu[[#This Row],[Perusrahoitus 2023, €]]-Vertailu[[#This Row],[Perusrahoitus 2022, €]]</f>
        <v>3168032</v>
      </c>
      <c r="AC30" s="230">
        <f>IFERROR(Vertailu[[#This Row],[Perusrahoituksen muutos, €]]/Vertailu[[#This Row],[Perusrahoitus 2022, €]],0)</f>
        <v>0.13368753420222601</v>
      </c>
      <c r="AD30" s="228">
        <f>IFERROR(VLOOKUP(Vertailu[[#This Row],[Y-tunnus]],'Suoritepäätös 2022 oikaistu'!$B:$N,COLUMN('Suoritepäätös 2022 oikaistu'!M:M),FALSE),0)</f>
        <v>6467180</v>
      </c>
      <c r="AE30" s="228">
        <f>IFERROR(VLOOKUP(Vertailu[[#This Row],[Y-tunnus]],'1.2 Ohjaus-laskentataulu'!A:AU,COLUMN('1.2 Ohjaus-laskentataulu'!O:O),FALSE),0)</f>
        <v>7345334</v>
      </c>
      <c r="AF30" s="228">
        <f>Vertailu[[#This Row],[Suoritusrahoitus 2023, €]]-Vertailu[[#This Row],[Suoritusrahoitus 2022, €]]</f>
        <v>878154</v>
      </c>
      <c r="AG30" s="230">
        <f>IFERROR(Vertailu[[#This Row],[Suoritusrahoituksen muutos, €]]/Vertailu[[#This Row],[Suoritusrahoitus 2022, €]],0)</f>
        <v>0.13578623140224952</v>
      </c>
      <c r="AH30" s="228">
        <f>IFERROR(VLOOKUP(Vertailu[[#This Row],[Y-tunnus]],'Suoritepäätös 2022 oikaistu'!$Q:$AC,COLUMN('Suoritepäätös 2022 oikaistu'!K:K),FALSE),0)</f>
        <v>3889877</v>
      </c>
      <c r="AI30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3786604</v>
      </c>
      <c r="AJ30" s="228">
        <f>Vertailu[[#This Row],[Vaikuttavuusrahoitus 2023, €]]-Vertailu[[#This Row],[Vaikuttavuusrahoitus 2022, €]]</f>
        <v>-103273</v>
      </c>
      <c r="AK30" s="230">
        <f>IFERROR(Vertailu[[#This Row],[Vaikuttavuusrahoituksen muutos, €]]/Vertailu[[#This Row],[Vaikuttavuusrahoitus 2022, €]],0)</f>
        <v>-2.6549168521266868E-2</v>
      </c>
    </row>
    <row r="31" spans="1:37" s="5" customFormat="1" ht="12.75" customHeight="1" x14ac:dyDescent="0.35">
      <c r="A31" s="7" t="s">
        <v>307</v>
      </c>
      <c r="B31" s="188" t="s">
        <v>34</v>
      </c>
      <c r="C31" s="188" t="s">
        <v>265</v>
      </c>
      <c r="D31" s="11" t="s">
        <v>337</v>
      </c>
      <c r="E31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0.68945636556655054</v>
      </c>
      <c r="F31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0.69082067439490769</v>
      </c>
      <c r="G31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0.20697076541988735</v>
      </c>
      <c r="H31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0.10220856018520492</v>
      </c>
      <c r="I31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6.9391475627901822E-2</v>
      </c>
      <c r="J31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4.0434702900435304E-3</v>
      </c>
      <c r="K31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1.2028940401021527E-2</v>
      </c>
      <c r="L31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1.2760721548831597E-2</v>
      </c>
      <c r="M31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3.983952317406449E-3</v>
      </c>
      <c r="N31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5397499</v>
      </c>
      <c r="O31" s="228">
        <f>IFERROR(VLOOKUP(Vertailu[[#This Row],[Y-tunnus]],'1.2 Ohjaus-laskentataulu'!A:AU,COLUMN('1.2 Ohjaus-laskentataulu'!AF:AF),FALSE),0)</f>
        <v>5855775</v>
      </c>
      <c r="P31" s="228">
        <f>IFERROR(Vertailu[[#This Row],[Rahoitus pl. hark. kor. 2023 ilman alv, €]]-Vertailu[[#This Row],[Rahoitus pl. hark. kor. 2022 ilman alv, €]],0)</f>
        <v>458276</v>
      </c>
      <c r="Q31" s="230">
        <f>IFERROR(Vertailu[[#This Row],[Muutos, € 1]]/Vertailu[[#This Row],[Rahoitus pl. hark. kor. 2022 ilman alv, €]],0)</f>
        <v>8.4905249635062463E-2</v>
      </c>
      <c r="R31" s="233">
        <f>IFERROR(VLOOKUP(Vertailu[[#This Row],[Y-tunnus]],'Suoritepäätös 2022 oikaistu'!$Q:$AC,COLUMN('Suoritepäätös 2022 oikaistu'!L:L),FALSE),0)</f>
        <v>5397499</v>
      </c>
      <c r="S31" s="234">
        <f>IFERROR(VLOOKUP(Vertailu[[#This Row],[Y-tunnus]],'1.2 Ohjaus-laskentataulu'!A:AU,COLUMN('1.2 Ohjaus-laskentataulu'!AS:AS),FALSE),0)</f>
        <v>5863775</v>
      </c>
      <c r="T31" s="228">
        <f>IFERROR(Vertailu[[#This Row],[Rahoitus ml. hark. kor. 
2023 ilman alv, €]]-Vertailu[[#This Row],[Rahoitus ml. hark. kor. 
2022 ilman alv, €]],0)</f>
        <v>466276</v>
      </c>
      <c r="U31" s="232">
        <f>IFERROR(Vertailu[[#This Row],[Muutos, € 2]]/Vertailu[[#This Row],[Rahoitus ml. hark. kor. 
2022 ilman alv, €]],0)</f>
        <v>8.638741757988283E-2</v>
      </c>
      <c r="V31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5917467</v>
      </c>
      <c r="W31" s="233">
        <f>IFERROR(VLOOKUP(Vertailu[[#This Row],[Y-tunnus]],'1.2 Ohjaus-laskentataulu'!A:AU,COLUMN('1.2 Ohjaus-laskentataulu'!AU:AU),FALSE),0)</f>
        <v>6408210</v>
      </c>
      <c r="X31" s="235">
        <f>IFERROR(Vertailu[[#This Row],[Rahoitus ml. hark. kor. + alv 2023, €]]-Vertailu[[#This Row],[Rahoitus ml. hark. kor. + alv 2022, €]],0)</f>
        <v>490743</v>
      </c>
      <c r="Y31" s="230">
        <f>IFERROR(Vertailu[[#This Row],[Muutos, € 3]]/Vertailu[[#This Row],[Rahoitus ml. hark. kor. + alv 2022, €]],0)</f>
        <v>8.2931260960137171E-2</v>
      </c>
      <c r="Z31" s="228">
        <f>IFERROR(VLOOKUP(Vertailu[[#This Row],[Y-tunnus]],'Suoritepäätös 2022 oikaistu'!$B:$N,COLUMN('Suoritepäätös 2022 oikaistu'!G:G),FALSE),0)</f>
        <v>3681820</v>
      </c>
      <c r="AA31" s="228">
        <f>IFERROR(VLOOKUP(Vertailu[[#This Row],[Y-tunnus]],'1.2 Ohjaus-laskentataulu'!A:AU,COLUMN('1.2 Ohjaus-laskentataulu'!AP:AP),FALSE),0)</f>
        <v>4050817</v>
      </c>
      <c r="AB31" s="228">
        <f>Vertailu[[#This Row],[Perusrahoitus 2023, €]]-Vertailu[[#This Row],[Perusrahoitus 2022, €]]</f>
        <v>368997</v>
      </c>
      <c r="AC31" s="230">
        <f>IFERROR(Vertailu[[#This Row],[Perusrahoituksen muutos, €]]/Vertailu[[#This Row],[Perusrahoitus 2022, €]],0)</f>
        <v>0.10022135791537881</v>
      </c>
      <c r="AD31" s="228">
        <f>IFERROR(VLOOKUP(Vertailu[[#This Row],[Y-tunnus]],'Suoritepäätös 2022 oikaistu'!$B:$N,COLUMN('Suoritepäätös 2022 oikaistu'!M:M),FALSE),0)</f>
        <v>1200447</v>
      </c>
      <c r="AE31" s="228">
        <f>IFERROR(VLOOKUP(Vertailu[[#This Row],[Y-tunnus]],'1.2 Ohjaus-laskentataulu'!A:AU,COLUMN('1.2 Ohjaus-laskentataulu'!O:O),FALSE),0)</f>
        <v>1213630</v>
      </c>
      <c r="AF31" s="228">
        <f>Vertailu[[#This Row],[Suoritusrahoitus 2023, €]]-Vertailu[[#This Row],[Suoritusrahoitus 2022, €]]</f>
        <v>13183</v>
      </c>
      <c r="AG31" s="230">
        <f>IFERROR(Vertailu[[#This Row],[Suoritusrahoituksen muutos, €]]/Vertailu[[#This Row],[Suoritusrahoitus 2022, €]],0)</f>
        <v>1.0981742634202093E-2</v>
      </c>
      <c r="AH31" s="228">
        <f>IFERROR(VLOOKUP(Vertailu[[#This Row],[Y-tunnus]],'Suoritepäätös 2022 oikaistu'!$Q:$AC,COLUMN('Suoritepäätös 2022 oikaistu'!K:K),FALSE),0)</f>
        <v>515232</v>
      </c>
      <c r="AI31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599328</v>
      </c>
      <c r="AJ31" s="228">
        <f>Vertailu[[#This Row],[Vaikuttavuusrahoitus 2023, €]]-Vertailu[[#This Row],[Vaikuttavuusrahoitus 2022, €]]</f>
        <v>84096</v>
      </c>
      <c r="AK31" s="230">
        <f>IFERROR(Vertailu[[#This Row],[Vaikuttavuusrahoituksen muutos, €]]/Vertailu[[#This Row],[Vaikuttavuusrahoitus 2022, €]],0)</f>
        <v>0.16321967579653437</v>
      </c>
    </row>
    <row r="32" spans="1:37" s="5" customFormat="1" ht="12.75" customHeight="1" x14ac:dyDescent="0.35">
      <c r="A32" s="7" t="s">
        <v>305</v>
      </c>
      <c r="B32" s="188" t="s">
        <v>35</v>
      </c>
      <c r="C32" s="188" t="s">
        <v>210</v>
      </c>
      <c r="D32" s="11" t="s">
        <v>337</v>
      </c>
      <c r="E32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0.65374866347356142</v>
      </c>
      <c r="F32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0.65374866347356142</v>
      </c>
      <c r="G32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0.27223082236208906</v>
      </c>
      <c r="H32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7.4020514164349488E-2</v>
      </c>
      <c r="I32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5.3682666161981342E-2</v>
      </c>
      <c r="J32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2.5994529340495984E-3</v>
      </c>
      <c r="K32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1.3118583257711414E-2</v>
      </c>
      <c r="L32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3.5004456436112824E-3</v>
      </c>
      <c r="M32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1.1193661669958443E-3</v>
      </c>
      <c r="N32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592713</v>
      </c>
      <c r="O32" s="228">
        <f>IFERROR(VLOOKUP(Vertailu[[#This Row],[Y-tunnus]],'1.2 Ohjaus-laskentataulu'!A:AU,COLUMN('1.2 Ohjaus-laskentataulu'!AF:AF),FALSE),0)</f>
        <v>618207</v>
      </c>
      <c r="P32" s="228">
        <f>IFERROR(Vertailu[[#This Row],[Rahoitus pl. hark. kor. 2023 ilman alv, €]]-Vertailu[[#This Row],[Rahoitus pl. hark. kor. 2022 ilman alv, €]],0)</f>
        <v>25494</v>
      </c>
      <c r="Q32" s="230">
        <f>IFERROR(Vertailu[[#This Row],[Muutos, € 1]]/Vertailu[[#This Row],[Rahoitus pl. hark. kor. 2022 ilman alv, €]],0)</f>
        <v>4.3012385420937285E-2</v>
      </c>
      <c r="R32" s="233">
        <f>IFERROR(VLOOKUP(Vertailu[[#This Row],[Y-tunnus]],'Suoritepäätös 2022 oikaistu'!$Q:$AC,COLUMN('Suoritepäätös 2022 oikaistu'!L:L),FALSE),0)</f>
        <v>592713</v>
      </c>
      <c r="S32" s="234">
        <f>IFERROR(VLOOKUP(Vertailu[[#This Row],[Y-tunnus]],'1.2 Ohjaus-laskentataulu'!A:AU,COLUMN('1.2 Ohjaus-laskentataulu'!AS:AS),FALSE),0)</f>
        <v>618207</v>
      </c>
      <c r="T32" s="228">
        <f>IFERROR(Vertailu[[#This Row],[Rahoitus ml. hark. kor. 
2023 ilman alv, €]]-Vertailu[[#This Row],[Rahoitus ml. hark. kor. 
2022 ilman alv, €]],0)</f>
        <v>25494</v>
      </c>
      <c r="U32" s="232">
        <f>IFERROR(Vertailu[[#This Row],[Muutos, € 2]]/Vertailu[[#This Row],[Rahoitus ml. hark. kor. 
2022 ilman alv, €]],0)</f>
        <v>4.3012385420937285E-2</v>
      </c>
      <c r="V32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634282</v>
      </c>
      <c r="W32" s="233">
        <f>IFERROR(VLOOKUP(Vertailu[[#This Row],[Y-tunnus]],'1.2 Ohjaus-laskentataulu'!A:AU,COLUMN('1.2 Ohjaus-laskentataulu'!AU:AU),FALSE),0)</f>
        <v>655723</v>
      </c>
      <c r="X32" s="235">
        <f>IFERROR(Vertailu[[#This Row],[Rahoitus ml. hark. kor. + alv 2023, €]]-Vertailu[[#This Row],[Rahoitus ml. hark. kor. + alv 2022, €]],0)</f>
        <v>21441</v>
      </c>
      <c r="Y32" s="230">
        <f>IFERROR(Vertailu[[#This Row],[Muutos, € 3]]/Vertailu[[#This Row],[Rahoitus ml. hark. kor. + alv 2022, €]],0)</f>
        <v>3.3803576327248765E-2</v>
      </c>
      <c r="Z32" s="228">
        <f>IFERROR(VLOOKUP(Vertailu[[#This Row],[Y-tunnus]],'Suoritepäätös 2022 oikaistu'!$B:$N,COLUMN('Suoritepäätös 2022 oikaistu'!G:G),FALSE),0)</f>
        <v>410380</v>
      </c>
      <c r="AA32" s="228">
        <f>IFERROR(VLOOKUP(Vertailu[[#This Row],[Y-tunnus]],'1.2 Ohjaus-laskentataulu'!A:AU,COLUMN('1.2 Ohjaus-laskentataulu'!AP:AP),FALSE),0)</f>
        <v>404152</v>
      </c>
      <c r="AB32" s="228">
        <f>Vertailu[[#This Row],[Perusrahoitus 2023, €]]-Vertailu[[#This Row],[Perusrahoitus 2022, €]]</f>
        <v>-6228</v>
      </c>
      <c r="AC32" s="230">
        <f>IFERROR(Vertailu[[#This Row],[Perusrahoituksen muutos, €]]/Vertailu[[#This Row],[Perusrahoitus 2022, €]],0)</f>
        <v>-1.5176178176324382E-2</v>
      </c>
      <c r="AD32" s="228">
        <f>IFERROR(VLOOKUP(Vertailu[[#This Row],[Y-tunnus]],'Suoritepäätös 2022 oikaistu'!$B:$N,COLUMN('Suoritepäätös 2022 oikaistu'!M:M),FALSE),0)</f>
        <v>132117</v>
      </c>
      <c r="AE32" s="228">
        <f>IFERROR(VLOOKUP(Vertailu[[#This Row],[Y-tunnus]],'1.2 Ohjaus-laskentataulu'!A:AU,COLUMN('1.2 Ohjaus-laskentataulu'!O:O),FALSE),0)</f>
        <v>168295</v>
      </c>
      <c r="AF32" s="228">
        <f>Vertailu[[#This Row],[Suoritusrahoitus 2023, €]]-Vertailu[[#This Row],[Suoritusrahoitus 2022, €]]</f>
        <v>36178</v>
      </c>
      <c r="AG32" s="230">
        <f>IFERROR(Vertailu[[#This Row],[Suoritusrahoituksen muutos, €]]/Vertailu[[#This Row],[Suoritusrahoitus 2022, €]],0)</f>
        <v>0.27383304192496044</v>
      </c>
      <c r="AH32" s="228">
        <f>IFERROR(VLOOKUP(Vertailu[[#This Row],[Y-tunnus]],'Suoritepäätös 2022 oikaistu'!$Q:$AC,COLUMN('Suoritepäätös 2022 oikaistu'!K:K),FALSE),0)</f>
        <v>50216</v>
      </c>
      <c r="AI32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45760</v>
      </c>
      <c r="AJ32" s="228">
        <f>Vertailu[[#This Row],[Vaikuttavuusrahoitus 2023, €]]-Vertailu[[#This Row],[Vaikuttavuusrahoitus 2022, €]]</f>
        <v>-4456</v>
      </c>
      <c r="AK32" s="230">
        <f>IFERROR(Vertailu[[#This Row],[Vaikuttavuusrahoituksen muutos, €]]/Vertailu[[#This Row],[Vaikuttavuusrahoitus 2022, €]],0)</f>
        <v>-8.8736657638999517E-2</v>
      </c>
    </row>
    <row r="33" spans="1:37" s="5" customFormat="1" ht="12.75" customHeight="1" x14ac:dyDescent="0.35">
      <c r="A33" s="7" t="s">
        <v>304</v>
      </c>
      <c r="B33" s="188" t="s">
        <v>36</v>
      </c>
      <c r="C33" s="188" t="s">
        <v>210</v>
      </c>
      <c r="D33" s="11" t="s">
        <v>336</v>
      </c>
      <c r="E33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0.62272758281503182</v>
      </c>
      <c r="F33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0.62447679581494964</v>
      </c>
      <c r="G33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0.23932837217655156</v>
      </c>
      <c r="H33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0.13619483200849886</v>
      </c>
      <c r="I33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9.7331284033125423E-2</v>
      </c>
      <c r="J33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6.4136643854985579E-3</v>
      </c>
      <c r="K33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1.6180453477639519E-2</v>
      </c>
      <c r="L33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9.2047086481673781E-3</v>
      </c>
      <c r="M33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7.064721464067958E-3</v>
      </c>
      <c r="N33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15847081</v>
      </c>
      <c r="O33" s="228">
        <f>IFERROR(VLOOKUP(Vertailu[[#This Row],[Y-tunnus]],'1.2 Ohjaus-laskentataulu'!A:AU,COLUMN('1.2 Ohjaus-laskentataulu'!AF:AF),FALSE),0)</f>
        <v>17120570</v>
      </c>
      <c r="P33" s="228">
        <f>IFERROR(Vertailu[[#This Row],[Rahoitus pl. hark. kor. 2023 ilman alv, €]]-Vertailu[[#This Row],[Rahoitus pl. hark. kor. 2022 ilman alv, €]],0)</f>
        <v>1273489</v>
      </c>
      <c r="Q33" s="230">
        <f>IFERROR(Vertailu[[#This Row],[Muutos, € 1]]/Vertailu[[#This Row],[Rahoitus pl. hark. kor. 2022 ilman alv, €]],0)</f>
        <v>8.0361108774543402E-2</v>
      </c>
      <c r="R33" s="233">
        <f>IFERROR(VLOOKUP(Vertailu[[#This Row],[Y-tunnus]],'Suoritepäätös 2022 oikaistu'!$Q:$AC,COLUMN('Suoritepäätös 2022 oikaistu'!L:L),FALSE),0)</f>
        <v>15878081</v>
      </c>
      <c r="S33" s="234">
        <f>IFERROR(VLOOKUP(Vertailu[[#This Row],[Y-tunnus]],'1.2 Ohjaus-laskentataulu'!A:AU,COLUMN('1.2 Ohjaus-laskentataulu'!AS:AS),FALSE),0)</f>
        <v>17150570</v>
      </c>
      <c r="T33" s="228">
        <f>IFERROR(Vertailu[[#This Row],[Rahoitus ml. hark. kor. 
2023 ilman alv, €]]-Vertailu[[#This Row],[Rahoitus ml. hark. kor. 
2022 ilman alv, €]],0)</f>
        <v>1272489</v>
      </c>
      <c r="U33" s="232">
        <f>IFERROR(Vertailu[[#This Row],[Muutos, € 2]]/Vertailu[[#This Row],[Rahoitus ml. hark. kor. 
2022 ilman alv, €]],0)</f>
        <v>8.0141233691905206E-2</v>
      </c>
      <c r="V33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15878081</v>
      </c>
      <c r="W33" s="233">
        <f>IFERROR(VLOOKUP(Vertailu[[#This Row],[Y-tunnus]],'1.2 Ohjaus-laskentataulu'!A:AU,COLUMN('1.2 Ohjaus-laskentataulu'!AU:AU),FALSE),0)</f>
        <v>17150570</v>
      </c>
      <c r="X33" s="235">
        <f>IFERROR(Vertailu[[#This Row],[Rahoitus ml. hark. kor. + alv 2023, €]]-Vertailu[[#This Row],[Rahoitus ml. hark. kor. + alv 2022, €]],0)</f>
        <v>1272489</v>
      </c>
      <c r="Y33" s="230">
        <f>IFERROR(Vertailu[[#This Row],[Muutos, € 3]]/Vertailu[[#This Row],[Rahoitus ml. hark. kor. + alv 2022, €]],0)</f>
        <v>8.0141233691905206E-2</v>
      </c>
      <c r="Z33" s="228">
        <f>IFERROR(VLOOKUP(Vertailu[[#This Row],[Y-tunnus]],'Suoritepäätös 2022 oikaistu'!$B:$N,COLUMN('Suoritepäätös 2022 oikaistu'!G:G),FALSE),0)</f>
        <v>9829441</v>
      </c>
      <c r="AA33" s="228">
        <f>IFERROR(VLOOKUP(Vertailu[[#This Row],[Y-tunnus]],'1.2 Ohjaus-laskentataulu'!A:AU,COLUMN('1.2 Ohjaus-laskentataulu'!AP:AP),FALSE),0)</f>
        <v>10710133</v>
      </c>
      <c r="AB33" s="228">
        <f>Vertailu[[#This Row],[Perusrahoitus 2023, €]]-Vertailu[[#This Row],[Perusrahoitus 2022, €]]</f>
        <v>880692</v>
      </c>
      <c r="AC33" s="230">
        <f>IFERROR(Vertailu[[#This Row],[Perusrahoituksen muutos, €]]/Vertailu[[#This Row],[Perusrahoitus 2022, €]],0)</f>
        <v>8.9597363675106248E-2</v>
      </c>
      <c r="AD33" s="228">
        <f>IFERROR(VLOOKUP(Vertailu[[#This Row],[Y-tunnus]],'Suoritepäätös 2022 oikaistu'!$B:$N,COLUMN('Suoritepäätös 2022 oikaistu'!M:M),FALSE),0)</f>
        <v>4029493</v>
      </c>
      <c r="AE33" s="228">
        <f>IFERROR(VLOOKUP(Vertailu[[#This Row],[Y-tunnus]],'1.2 Ohjaus-laskentataulu'!A:AU,COLUMN('1.2 Ohjaus-laskentataulu'!O:O),FALSE),0)</f>
        <v>4104618</v>
      </c>
      <c r="AF33" s="228">
        <f>Vertailu[[#This Row],[Suoritusrahoitus 2023, €]]-Vertailu[[#This Row],[Suoritusrahoitus 2022, €]]</f>
        <v>75125</v>
      </c>
      <c r="AG33" s="230">
        <f>IFERROR(Vertailu[[#This Row],[Suoritusrahoituksen muutos, €]]/Vertailu[[#This Row],[Suoritusrahoitus 2022, €]],0)</f>
        <v>1.8643784714354884E-2</v>
      </c>
      <c r="AH33" s="228">
        <f>IFERROR(VLOOKUP(Vertailu[[#This Row],[Y-tunnus]],'Suoritepäätös 2022 oikaistu'!$Q:$AC,COLUMN('Suoritepäätös 2022 oikaistu'!K:K),FALSE),0)</f>
        <v>2019147</v>
      </c>
      <c r="AI33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2335819</v>
      </c>
      <c r="AJ33" s="228">
        <f>Vertailu[[#This Row],[Vaikuttavuusrahoitus 2023, €]]-Vertailu[[#This Row],[Vaikuttavuusrahoitus 2022, €]]</f>
        <v>316672</v>
      </c>
      <c r="AK33" s="230">
        <f>IFERROR(Vertailu[[#This Row],[Vaikuttavuusrahoituksen muutos, €]]/Vertailu[[#This Row],[Vaikuttavuusrahoitus 2022, €]],0)</f>
        <v>0.15683454448834086</v>
      </c>
    </row>
    <row r="34" spans="1:37" s="5" customFormat="1" ht="12.75" customHeight="1" x14ac:dyDescent="0.35">
      <c r="A34" s="7" t="s">
        <v>303</v>
      </c>
      <c r="B34" s="188" t="s">
        <v>37</v>
      </c>
      <c r="C34" s="188" t="s">
        <v>251</v>
      </c>
      <c r="D34" s="11" t="s">
        <v>337</v>
      </c>
      <c r="E34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0.5753691560321037</v>
      </c>
      <c r="F34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0.5753691560321037</v>
      </c>
      <c r="G34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0.2331124607606285</v>
      </c>
      <c r="H34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0.19151838320726775</v>
      </c>
      <c r="I34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0.13044177722899566</v>
      </c>
      <c r="J34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1.075533469826075E-2</v>
      </c>
      <c r="K34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3.8787680452983565E-2</v>
      </c>
      <c r="L34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9.938578266303847E-3</v>
      </c>
      <c r="M34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1.5950125607239157E-3</v>
      </c>
      <c r="N34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641869</v>
      </c>
      <c r="O34" s="228">
        <f>IFERROR(VLOOKUP(Vertailu[[#This Row],[Y-tunnus]],'1.2 Ohjaus-laskentataulu'!A:AU,COLUMN('1.2 Ohjaus-laskentataulu'!AF:AF),FALSE),0)</f>
        <v>727267</v>
      </c>
      <c r="P34" s="228">
        <f>IFERROR(Vertailu[[#This Row],[Rahoitus pl. hark. kor. 2023 ilman alv, €]]-Vertailu[[#This Row],[Rahoitus pl. hark. kor. 2022 ilman alv, €]],0)</f>
        <v>85398</v>
      </c>
      <c r="Q34" s="230">
        <f>IFERROR(Vertailu[[#This Row],[Muutos, € 1]]/Vertailu[[#This Row],[Rahoitus pl. hark. kor. 2022 ilman alv, €]],0)</f>
        <v>0.133045839571626</v>
      </c>
      <c r="R34" s="233">
        <f>IFERROR(VLOOKUP(Vertailu[[#This Row],[Y-tunnus]],'Suoritepäätös 2022 oikaistu'!$Q:$AC,COLUMN('Suoritepäätös 2022 oikaistu'!L:L),FALSE),0)</f>
        <v>646869</v>
      </c>
      <c r="S34" s="234">
        <f>IFERROR(VLOOKUP(Vertailu[[#This Row],[Y-tunnus]],'1.2 Ohjaus-laskentataulu'!A:AU,COLUMN('1.2 Ohjaus-laskentataulu'!AS:AS),FALSE),0)</f>
        <v>727267</v>
      </c>
      <c r="T34" s="228">
        <f>IFERROR(Vertailu[[#This Row],[Rahoitus ml. hark. kor. 
2023 ilman alv, €]]-Vertailu[[#This Row],[Rahoitus ml. hark. kor. 
2022 ilman alv, €]],0)</f>
        <v>80398</v>
      </c>
      <c r="U34" s="232">
        <f>IFERROR(Vertailu[[#This Row],[Muutos, € 2]]/Vertailu[[#This Row],[Rahoitus ml. hark. kor. 
2022 ilman alv, €]],0)</f>
        <v>0.12428791610047785</v>
      </c>
      <c r="V34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665723</v>
      </c>
      <c r="W34" s="233">
        <f>IFERROR(VLOOKUP(Vertailu[[#This Row],[Y-tunnus]],'1.2 Ohjaus-laskentataulu'!A:AU,COLUMN('1.2 Ohjaus-laskentataulu'!AU:AU),FALSE),0)</f>
        <v>750298</v>
      </c>
      <c r="X34" s="235">
        <f>IFERROR(Vertailu[[#This Row],[Rahoitus ml. hark. kor. + alv 2023, €]]-Vertailu[[#This Row],[Rahoitus ml. hark. kor. + alv 2022, €]],0)</f>
        <v>84575</v>
      </c>
      <c r="Y34" s="230">
        <f>IFERROR(Vertailu[[#This Row],[Muutos, € 3]]/Vertailu[[#This Row],[Rahoitus ml. hark. kor. + alv 2022, €]],0)</f>
        <v>0.12704232841587268</v>
      </c>
      <c r="Z34" s="228">
        <f>IFERROR(VLOOKUP(Vertailu[[#This Row],[Y-tunnus]],'Suoritepäätös 2022 oikaistu'!$B:$N,COLUMN('Suoritepäätös 2022 oikaistu'!G:G),FALSE),0)</f>
        <v>384846</v>
      </c>
      <c r="AA34" s="228">
        <f>IFERROR(VLOOKUP(Vertailu[[#This Row],[Y-tunnus]],'1.2 Ohjaus-laskentataulu'!A:AU,COLUMN('1.2 Ohjaus-laskentataulu'!AP:AP),FALSE),0)</f>
        <v>418447</v>
      </c>
      <c r="AB34" s="228">
        <f>Vertailu[[#This Row],[Perusrahoitus 2023, €]]-Vertailu[[#This Row],[Perusrahoitus 2022, €]]</f>
        <v>33601</v>
      </c>
      <c r="AC34" s="230">
        <f>IFERROR(Vertailu[[#This Row],[Perusrahoituksen muutos, €]]/Vertailu[[#This Row],[Perusrahoitus 2022, €]],0)</f>
        <v>8.7310248774834606E-2</v>
      </c>
      <c r="AD34" s="228">
        <f>IFERROR(VLOOKUP(Vertailu[[#This Row],[Y-tunnus]],'Suoritepäätös 2022 oikaistu'!$B:$N,COLUMN('Suoritepäätös 2022 oikaistu'!M:M),FALSE),0)</f>
        <v>166779</v>
      </c>
      <c r="AE34" s="228">
        <f>IFERROR(VLOOKUP(Vertailu[[#This Row],[Y-tunnus]],'1.2 Ohjaus-laskentataulu'!A:AU,COLUMN('1.2 Ohjaus-laskentataulu'!O:O),FALSE),0)</f>
        <v>169535</v>
      </c>
      <c r="AF34" s="228">
        <f>Vertailu[[#This Row],[Suoritusrahoitus 2023, €]]-Vertailu[[#This Row],[Suoritusrahoitus 2022, €]]</f>
        <v>2756</v>
      </c>
      <c r="AG34" s="230">
        <f>IFERROR(Vertailu[[#This Row],[Suoritusrahoituksen muutos, €]]/Vertailu[[#This Row],[Suoritusrahoitus 2022, €]],0)</f>
        <v>1.6524862242848319E-2</v>
      </c>
      <c r="AH34" s="228">
        <f>IFERROR(VLOOKUP(Vertailu[[#This Row],[Y-tunnus]],'Suoritepäätös 2022 oikaistu'!$Q:$AC,COLUMN('Suoritepäätös 2022 oikaistu'!K:K),FALSE),0)</f>
        <v>95244</v>
      </c>
      <c r="AI34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139285</v>
      </c>
      <c r="AJ34" s="228">
        <f>Vertailu[[#This Row],[Vaikuttavuusrahoitus 2023, €]]-Vertailu[[#This Row],[Vaikuttavuusrahoitus 2022, €]]</f>
        <v>44041</v>
      </c>
      <c r="AK34" s="230">
        <f>IFERROR(Vertailu[[#This Row],[Vaikuttavuusrahoituksen muutos, €]]/Vertailu[[#This Row],[Vaikuttavuusrahoitus 2022, €]],0)</f>
        <v>0.46240183108647265</v>
      </c>
    </row>
    <row r="35" spans="1:37" s="5" customFormat="1" ht="12.75" customHeight="1" x14ac:dyDescent="0.35">
      <c r="A35" s="7" t="s">
        <v>300</v>
      </c>
      <c r="B35" s="188" t="s">
        <v>38</v>
      </c>
      <c r="C35" s="188" t="s">
        <v>251</v>
      </c>
      <c r="D35" s="11" t="s">
        <v>338</v>
      </c>
      <c r="E35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0.73792057281456269</v>
      </c>
      <c r="F35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0.73792057281456269</v>
      </c>
      <c r="G35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0.1743617892883893</v>
      </c>
      <c r="H35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8.7717637897048048E-2</v>
      </c>
      <c r="I35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7.8722794417870168E-2</v>
      </c>
      <c r="J35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1.7035176287034609E-3</v>
      </c>
      <c r="K35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4.906401170289571E-3</v>
      </c>
      <c r="L35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2.3849246801848452E-3</v>
      </c>
      <c r="M35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0</v>
      </c>
      <c r="N35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714622</v>
      </c>
      <c r="O35" s="228">
        <f>IFERROR(VLOOKUP(Vertailu[[#This Row],[Y-tunnus]],'1.2 Ohjaus-laskentataulu'!A:AU,COLUMN('1.2 Ohjaus-laskentataulu'!AF:AF),FALSE),0)</f>
        <v>739646</v>
      </c>
      <c r="P35" s="228">
        <f>IFERROR(Vertailu[[#This Row],[Rahoitus pl. hark. kor. 2023 ilman alv, €]]-Vertailu[[#This Row],[Rahoitus pl. hark. kor. 2022 ilman alv, €]],0)</f>
        <v>25024</v>
      </c>
      <c r="Q35" s="230">
        <f>IFERROR(Vertailu[[#This Row],[Muutos, € 1]]/Vertailu[[#This Row],[Rahoitus pl. hark. kor. 2022 ilman alv, €]],0)</f>
        <v>3.5017113942755751E-2</v>
      </c>
      <c r="R35" s="233">
        <f>IFERROR(VLOOKUP(Vertailu[[#This Row],[Y-tunnus]],'Suoritepäätös 2022 oikaistu'!$Q:$AC,COLUMN('Suoritepäätös 2022 oikaistu'!L:L),FALSE),0)</f>
        <v>714622</v>
      </c>
      <c r="S35" s="234">
        <f>IFERROR(VLOOKUP(Vertailu[[#This Row],[Y-tunnus]],'1.2 Ohjaus-laskentataulu'!A:AU,COLUMN('1.2 Ohjaus-laskentataulu'!AS:AS),FALSE),0)</f>
        <v>739646</v>
      </c>
      <c r="T35" s="228">
        <f>IFERROR(Vertailu[[#This Row],[Rahoitus ml. hark. kor. 
2023 ilman alv, €]]-Vertailu[[#This Row],[Rahoitus ml. hark. kor. 
2022 ilman alv, €]],0)</f>
        <v>25024</v>
      </c>
      <c r="U35" s="232">
        <f>IFERROR(Vertailu[[#This Row],[Muutos, € 2]]/Vertailu[[#This Row],[Rahoitus ml. hark. kor. 
2022 ilman alv, €]],0)</f>
        <v>3.5017113942755751E-2</v>
      </c>
      <c r="V35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714622</v>
      </c>
      <c r="W35" s="233">
        <f>IFERROR(VLOOKUP(Vertailu[[#This Row],[Y-tunnus]],'1.2 Ohjaus-laskentataulu'!A:AU,COLUMN('1.2 Ohjaus-laskentataulu'!AU:AU),FALSE),0)</f>
        <v>739646</v>
      </c>
      <c r="X35" s="235">
        <f>IFERROR(Vertailu[[#This Row],[Rahoitus ml. hark. kor. + alv 2023, €]]-Vertailu[[#This Row],[Rahoitus ml. hark. kor. + alv 2022, €]],0)</f>
        <v>25024</v>
      </c>
      <c r="Y35" s="230">
        <f>IFERROR(Vertailu[[#This Row],[Muutos, € 3]]/Vertailu[[#This Row],[Rahoitus ml. hark. kor. + alv 2022, €]],0)</f>
        <v>3.5017113942755751E-2</v>
      </c>
      <c r="Z35" s="228">
        <f>IFERROR(VLOOKUP(Vertailu[[#This Row],[Y-tunnus]],'Suoritepäätös 2022 oikaistu'!$B:$N,COLUMN('Suoritepäätös 2022 oikaistu'!G:G),FALSE),0)</f>
        <v>505036</v>
      </c>
      <c r="AA35" s="228">
        <f>IFERROR(VLOOKUP(Vertailu[[#This Row],[Y-tunnus]],'1.2 Ohjaus-laskentataulu'!A:AU,COLUMN('1.2 Ohjaus-laskentataulu'!AP:AP),FALSE),0)</f>
        <v>545800</v>
      </c>
      <c r="AB35" s="228">
        <f>Vertailu[[#This Row],[Perusrahoitus 2023, €]]-Vertailu[[#This Row],[Perusrahoitus 2022, €]]</f>
        <v>40764</v>
      </c>
      <c r="AC35" s="230">
        <f>IFERROR(Vertailu[[#This Row],[Perusrahoituksen muutos, €]]/Vertailu[[#This Row],[Perusrahoitus 2022, €]],0)</f>
        <v>8.0715038135895256E-2</v>
      </c>
      <c r="AD35" s="228">
        <f>IFERROR(VLOOKUP(Vertailu[[#This Row],[Y-tunnus]],'Suoritepäätös 2022 oikaistu'!$B:$N,COLUMN('Suoritepäätös 2022 oikaistu'!M:M),FALSE),0)</f>
        <v>149116</v>
      </c>
      <c r="AE35" s="228">
        <f>IFERROR(VLOOKUP(Vertailu[[#This Row],[Y-tunnus]],'1.2 Ohjaus-laskentataulu'!A:AU,COLUMN('1.2 Ohjaus-laskentataulu'!O:O),FALSE),0)</f>
        <v>128966</v>
      </c>
      <c r="AF35" s="228">
        <f>Vertailu[[#This Row],[Suoritusrahoitus 2023, €]]-Vertailu[[#This Row],[Suoritusrahoitus 2022, €]]</f>
        <v>-20150</v>
      </c>
      <c r="AG35" s="230">
        <f>IFERROR(Vertailu[[#This Row],[Suoritusrahoituksen muutos, €]]/Vertailu[[#This Row],[Suoritusrahoitus 2022, €]],0)</f>
        <v>-0.13512969768502375</v>
      </c>
      <c r="AH35" s="228">
        <f>IFERROR(VLOOKUP(Vertailu[[#This Row],[Y-tunnus]],'Suoritepäätös 2022 oikaistu'!$Q:$AC,COLUMN('Suoritepäätös 2022 oikaistu'!K:K),FALSE),0)</f>
        <v>60470</v>
      </c>
      <c r="AI35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64880</v>
      </c>
      <c r="AJ35" s="228">
        <f>Vertailu[[#This Row],[Vaikuttavuusrahoitus 2023, €]]-Vertailu[[#This Row],[Vaikuttavuusrahoitus 2022, €]]</f>
        <v>4410</v>
      </c>
      <c r="AK35" s="230">
        <f>IFERROR(Vertailu[[#This Row],[Vaikuttavuusrahoituksen muutos, €]]/Vertailu[[#This Row],[Vaikuttavuusrahoitus 2022, €]],0)</f>
        <v>7.2928724987597157E-2</v>
      </c>
    </row>
    <row r="36" spans="1:37" s="5" customFormat="1" ht="12.75" customHeight="1" x14ac:dyDescent="0.35">
      <c r="A36" s="7" t="s">
        <v>299</v>
      </c>
      <c r="B36" s="188" t="s">
        <v>39</v>
      </c>
      <c r="C36" s="188" t="s">
        <v>187</v>
      </c>
      <c r="D36" s="11" t="s">
        <v>336</v>
      </c>
      <c r="E36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0.67804053224951299</v>
      </c>
      <c r="F36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0.67955584273251324</v>
      </c>
      <c r="G36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0.20352204274394398</v>
      </c>
      <c r="H36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0.11692211452354273</v>
      </c>
      <c r="I36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8.2559122226755349E-2</v>
      </c>
      <c r="J36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4.2600318906973605E-3</v>
      </c>
      <c r="K36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1.1262512223367306E-2</v>
      </c>
      <c r="L36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1.3769033411443197E-2</v>
      </c>
      <c r="M36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5.0714147712795296E-3</v>
      </c>
      <c r="N36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27940745</v>
      </c>
      <c r="O36" s="228">
        <f>IFERROR(VLOOKUP(Vertailu[[#This Row],[Y-tunnus]],'1.2 Ohjaus-laskentataulu'!A:AU,COLUMN('1.2 Ohjaus-laskentataulu'!AF:AF),FALSE),0)</f>
        <v>30310815</v>
      </c>
      <c r="P36" s="228">
        <f>IFERROR(Vertailu[[#This Row],[Rahoitus pl. hark. kor. 2023 ilman alv, €]]-Vertailu[[#This Row],[Rahoitus pl. hark. kor. 2022 ilman alv, €]],0)</f>
        <v>2370070</v>
      </c>
      <c r="Q36" s="230">
        <f>IFERROR(Vertailu[[#This Row],[Muutos, € 1]]/Vertailu[[#This Row],[Rahoitus pl. hark. kor. 2022 ilman alv, €]],0)</f>
        <v>8.4824867769273865E-2</v>
      </c>
      <c r="R36" s="233">
        <f>IFERROR(VLOOKUP(Vertailu[[#This Row],[Y-tunnus]],'Suoritepäätös 2022 oikaistu'!$Q:$AC,COLUMN('Suoritepäätös 2022 oikaistu'!L:L),FALSE),0)</f>
        <v>27993745</v>
      </c>
      <c r="S36" s="234">
        <f>IFERROR(VLOOKUP(Vertailu[[#This Row],[Y-tunnus]],'1.2 Ohjaus-laskentataulu'!A:AU,COLUMN('1.2 Ohjaus-laskentataulu'!AS:AS),FALSE),0)</f>
        <v>30356815</v>
      </c>
      <c r="T36" s="228">
        <f>IFERROR(Vertailu[[#This Row],[Rahoitus ml. hark. kor. 
2023 ilman alv, €]]-Vertailu[[#This Row],[Rahoitus ml. hark. kor. 
2022 ilman alv, €]],0)</f>
        <v>2363070</v>
      </c>
      <c r="U36" s="232">
        <f>IFERROR(Vertailu[[#This Row],[Muutos, € 2]]/Vertailu[[#This Row],[Rahoitus ml. hark. kor. 
2022 ilman alv, €]],0)</f>
        <v>8.4414214675456969E-2</v>
      </c>
      <c r="V36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27993745</v>
      </c>
      <c r="W36" s="233">
        <f>IFERROR(VLOOKUP(Vertailu[[#This Row],[Y-tunnus]],'1.2 Ohjaus-laskentataulu'!A:AU,COLUMN('1.2 Ohjaus-laskentataulu'!AU:AU),FALSE),0)</f>
        <v>30356815</v>
      </c>
      <c r="X36" s="235">
        <f>IFERROR(Vertailu[[#This Row],[Rahoitus ml. hark. kor. + alv 2023, €]]-Vertailu[[#This Row],[Rahoitus ml. hark. kor. + alv 2022, €]],0)</f>
        <v>2363070</v>
      </c>
      <c r="Y36" s="230">
        <f>IFERROR(Vertailu[[#This Row],[Muutos, € 3]]/Vertailu[[#This Row],[Rahoitus ml. hark. kor. + alv 2022, €]],0)</f>
        <v>8.4414214675456969E-2</v>
      </c>
      <c r="Z36" s="228">
        <f>IFERROR(VLOOKUP(Vertailu[[#This Row],[Y-tunnus]],'Suoritepäätös 2022 oikaistu'!$B:$N,COLUMN('Suoritepäätös 2022 oikaistu'!G:G),FALSE),0)</f>
        <v>19114311</v>
      </c>
      <c r="AA36" s="228">
        <f>IFERROR(VLOOKUP(Vertailu[[#This Row],[Y-tunnus]],'1.2 Ohjaus-laskentataulu'!A:AU,COLUMN('1.2 Ohjaus-laskentataulu'!AP:AP),FALSE),0)</f>
        <v>20629151</v>
      </c>
      <c r="AB36" s="228">
        <f>Vertailu[[#This Row],[Perusrahoitus 2023, €]]-Vertailu[[#This Row],[Perusrahoitus 2022, €]]</f>
        <v>1514840</v>
      </c>
      <c r="AC36" s="230">
        <f>IFERROR(Vertailu[[#This Row],[Perusrahoituksen muutos, €]]/Vertailu[[#This Row],[Perusrahoitus 2022, €]],0)</f>
        <v>7.92516141439783E-2</v>
      </c>
      <c r="AD36" s="228">
        <f>IFERROR(VLOOKUP(Vertailu[[#This Row],[Y-tunnus]],'Suoritepäätös 2022 oikaistu'!$B:$N,COLUMN('Suoritepäätös 2022 oikaistu'!M:M),FALSE),0)</f>
        <v>5686774</v>
      </c>
      <c r="AE36" s="228">
        <f>IFERROR(VLOOKUP(Vertailu[[#This Row],[Y-tunnus]],'1.2 Ohjaus-laskentataulu'!A:AU,COLUMN('1.2 Ohjaus-laskentataulu'!O:O),FALSE),0)</f>
        <v>6178281</v>
      </c>
      <c r="AF36" s="228">
        <f>Vertailu[[#This Row],[Suoritusrahoitus 2023, €]]-Vertailu[[#This Row],[Suoritusrahoitus 2022, €]]</f>
        <v>491507</v>
      </c>
      <c r="AG36" s="230">
        <f>IFERROR(Vertailu[[#This Row],[Suoritusrahoituksen muutos, €]]/Vertailu[[#This Row],[Suoritusrahoitus 2022, €]],0)</f>
        <v>8.6429845814164588E-2</v>
      </c>
      <c r="AH36" s="228">
        <f>IFERROR(VLOOKUP(Vertailu[[#This Row],[Y-tunnus]],'Suoritepäätös 2022 oikaistu'!$Q:$AC,COLUMN('Suoritepäätös 2022 oikaistu'!K:K),FALSE),0)</f>
        <v>3192660</v>
      </c>
      <c r="AI36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3549383</v>
      </c>
      <c r="AJ36" s="228">
        <f>Vertailu[[#This Row],[Vaikuttavuusrahoitus 2023, €]]-Vertailu[[#This Row],[Vaikuttavuusrahoitus 2022, €]]</f>
        <v>356723</v>
      </c>
      <c r="AK36" s="230">
        <f>IFERROR(Vertailu[[#This Row],[Vaikuttavuusrahoituksen muutos, €]]/Vertailu[[#This Row],[Vaikuttavuusrahoitus 2022, €]],0)</f>
        <v>0.11173222328716494</v>
      </c>
    </row>
    <row r="37" spans="1:37" s="5" customFormat="1" ht="12.75" customHeight="1" x14ac:dyDescent="0.35">
      <c r="A37" s="7" t="s">
        <v>298</v>
      </c>
      <c r="B37" s="188" t="s">
        <v>40</v>
      </c>
      <c r="C37" s="188" t="s">
        <v>180</v>
      </c>
      <c r="D37" s="11" t="s">
        <v>337</v>
      </c>
      <c r="E37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0.48640996430700528</v>
      </c>
      <c r="F37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0.48640996430700528</v>
      </c>
      <c r="G37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0.22297124082077202</v>
      </c>
      <c r="H37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0.2906187948722227</v>
      </c>
      <c r="I37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7.8375172359393411E-2</v>
      </c>
      <c r="J37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1.3508880775082558E-2</v>
      </c>
      <c r="K37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4.9342190090605295E-2</v>
      </c>
      <c r="L37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8.957151720256723E-2</v>
      </c>
      <c r="M37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5.9821034444574227E-2</v>
      </c>
      <c r="N37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1241503</v>
      </c>
      <c r="O37" s="228">
        <f>IFERROR(VLOOKUP(Vertailu[[#This Row],[Y-tunnus]],'1.2 Ohjaus-laskentataulu'!A:AU,COLUMN('1.2 Ohjaus-laskentataulu'!AF:AF),FALSE),0)</f>
        <v>1318466</v>
      </c>
      <c r="P37" s="228">
        <f>IFERROR(Vertailu[[#This Row],[Rahoitus pl. hark. kor. 2023 ilman alv, €]]-Vertailu[[#This Row],[Rahoitus pl. hark. kor. 2022 ilman alv, €]],0)</f>
        <v>76963</v>
      </c>
      <c r="Q37" s="230">
        <f>IFERROR(Vertailu[[#This Row],[Muutos, € 1]]/Vertailu[[#This Row],[Rahoitus pl. hark. kor. 2022 ilman alv, €]],0)</f>
        <v>6.1991795428605487E-2</v>
      </c>
      <c r="R37" s="233">
        <f>IFERROR(VLOOKUP(Vertailu[[#This Row],[Y-tunnus]],'Suoritepäätös 2022 oikaistu'!$Q:$AC,COLUMN('Suoritepäätös 2022 oikaistu'!L:L),FALSE),0)</f>
        <v>1251503</v>
      </c>
      <c r="S37" s="234">
        <f>IFERROR(VLOOKUP(Vertailu[[#This Row],[Y-tunnus]],'1.2 Ohjaus-laskentataulu'!A:AU,COLUMN('1.2 Ohjaus-laskentataulu'!AS:AS),FALSE),0)</f>
        <v>1318466</v>
      </c>
      <c r="T37" s="228">
        <f>IFERROR(Vertailu[[#This Row],[Rahoitus ml. hark. kor. 
2023 ilman alv, €]]-Vertailu[[#This Row],[Rahoitus ml. hark. kor. 
2022 ilman alv, €]],0)</f>
        <v>66963</v>
      </c>
      <c r="U37" s="232">
        <f>IFERROR(Vertailu[[#This Row],[Muutos, € 2]]/Vertailu[[#This Row],[Rahoitus ml. hark. kor. 
2022 ilman alv, €]],0)</f>
        <v>5.350606430827573E-2</v>
      </c>
      <c r="V37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1310295</v>
      </c>
      <c r="W37" s="233">
        <f>IFERROR(VLOOKUP(Vertailu[[#This Row],[Y-tunnus]],'1.2 Ohjaus-laskentataulu'!A:AU,COLUMN('1.2 Ohjaus-laskentataulu'!AU:AU),FALSE),0)</f>
        <v>1357089</v>
      </c>
      <c r="X37" s="235">
        <f>IFERROR(Vertailu[[#This Row],[Rahoitus ml. hark. kor. + alv 2023, €]]-Vertailu[[#This Row],[Rahoitus ml. hark. kor. + alv 2022, €]],0)</f>
        <v>46794</v>
      </c>
      <c r="Y37" s="230">
        <f>IFERROR(Vertailu[[#This Row],[Muutos, € 3]]/Vertailu[[#This Row],[Rahoitus ml. hark. kor. + alv 2022, €]],0)</f>
        <v>3.5712568543724885E-2</v>
      </c>
      <c r="Z37" s="228">
        <f>IFERROR(VLOOKUP(Vertailu[[#This Row],[Y-tunnus]],'Suoritepäätös 2022 oikaistu'!$B:$N,COLUMN('Suoritepäätös 2022 oikaistu'!G:G),FALSE),0)</f>
        <v>612746</v>
      </c>
      <c r="AA37" s="228">
        <f>IFERROR(VLOOKUP(Vertailu[[#This Row],[Y-tunnus]],'1.2 Ohjaus-laskentataulu'!A:AU,COLUMN('1.2 Ohjaus-laskentataulu'!AP:AP),FALSE),0)</f>
        <v>641315</v>
      </c>
      <c r="AB37" s="228">
        <f>Vertailu[[#This Row],[Perusrahoitus 2023, €]]-Vertailu[[#This Row],[Perusrahoitus 2022, €]]</f>
        <v>28569</v>
      </c>
      <c r="AC37" s="230">
        <f>IFERROR(Vertailu[[#This Row],[Perusrahoituksen muutos, €]]/Vertailu[[#This Row],[Perusrahoitus 2022, €]],0)</f>
        <v>4.6624539368678046E-2</v>
      </c>
      <c r="AD37" s="228">
        <f>IFERROR(VLOOKUP(Vertailu[[#This Row],[Y-tunnus]],'Suoritepäätös 2022 oikaistu'!$B:$N,COLUMN('Suoritepäätös 2022 oikaistu'!M:M),FALSE),0)</f>
        <v>282495</v>
      </c>
      <c r="AE37" s="228">
        <f>IFERROR(VLOOKUP(Vertailu[[#This Row],[Y-tunnus]],'1.2 Ohjaus-laskentataulu'!A:AU,COLUMN('1.2 Ohjaus-laskentataulu'!O:O),FALSE),0)</f>
        <v>293980</v>
      </c>
      <c r="AF37" s="228">
        <f>Vertailu[[#This Row],[Suoritusrahoitus 2023, €]]-Vertailu[[#This Row],[Suoritusrahoitus 2022, €]]</f>
        <v>11485</v>
      </c>
      <c r="AG37" s="230">
        <f>IFERROR(Vertailu[[#This Row],[Suoritusrahoituksen muutos, €]]/Vertailu[[#This Row],[Suoritusrahoitus 2022, €]],0)</f>
        <v>4.0655586824545564E-2</v>
      </c>
      <c r="AH37" s="228">
        <f>IFERROR(VLOOKUP(Vertailu[[#This Row],[Y-tunnus]],'Suoritepäätös 2022 oikaistu'!$Q:$AC,COLUMN('Suoritepäätös 2022 oikaistu'!K:K),FALSE),0)</f>
        <v>356262</v>
      </c>
      <c r="AI37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383171</v>
      </c>
      <c r="AJ37" s="228">
        <f>Vertailu[[#This Row],[Vaikuttavuusrahoitus 2023, €]]-Vertailu[[#This Row],[Vaikuttavuusrahoitus 2022, €]]</f>
        <v>26909</v>
      </c>
      <c r="AK37" s="230">
        <f>IFERROR(Vertailu[[#This Row],[Vaikuttavuusrahoituksen muutos, €]]/Vertailu[[#This Row],[Vaikuttavuusrahoitus 2022, €]],0)</f>
        <v>7.5531490869079496E-2</v>
      </c>
    </row>
    <row r="38" spans="1:37" s="5" customFormat="1" ht="12.75" customHeight="1" x14ac:dyDescent="0.35">
      <c r="A38" s="7" t="s">
        <v>297</v>
      </c>
      <c r="B38" s="188" t="s">
        <v>460</v>
      </c>
      <c r="C38" s="188" t="s">
        <v>182</v>
      </c>
      <c r="D38" s="11" t="s">
        <v>336</v>
      </c>
      <c r="E38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0.67060398062734228</v>
      </c>
      <c r="F38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0.67203842707534533</v>
      </c>
      <c r="G38" s="230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0.21447494291198899</v>
      </c>
      <c r="H38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0.11348663001266572</v>
      </c>
      <c r="I38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8.3674130204911115E-2</v>
      </c>
      <c r="J38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3.2289981068856031E-3</v>
      </c>
      <c r="K38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1.185416192954283E-2</v>
      </c>
      <c r="L38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1.1231981873802312E-2</v>
      </c>
      <c r="M38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3.4973578975238556E-3</v>
      </c>
      <c r="N38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63731425</v>
      </c>
      <c r="O38" s="228">
        <f>IFERROR(VLOOKUP(Vertailu[[#This Row],[Y-tunnus]],'1.2 Ohjaus-laskentataulu'!A:AU,COLUMN('1.2 Ohjaus-laskentataulu'!AF:AF),FALSE),0)</f>
        <v>67524904</v>
      </c>
      <c r="P38" s="228">
        <f>IFERROR(Vertailu[[#This Row],[Rahoitus pl. hark. kor. 2023 ilman alv, €]]-Vertailu[[#This Row],[Rahoitus pl. hark. kor. 2022 ilman alv, €]],0)</f>
        <v>3793479</v>
      </c>
      <c r="Q38" s="230">
        <f>IFERROR(Vertailu[[#This Row],[Muutos, € 1]]/Vertailu[[#This Row],[Rahoitus pl. hark. kor. 2022 ilman alv, €]],0)</f>
        <v>5.9522896279190371E-2</v>
      </c>
      <c r="R38" s="233">
        <f>IFERROR(VLOOKUP(Vertailu[[#This Row],[Y-tunnus]],'Suoritepäätös 2022 oikaistu'!$Q:$AC,COLUMN('Suoritepäätös 2022 oikaistu'!L:L),FALSE),0)</f>
        <v>63871425</v>
      </c>
      <c r="S38" s="234">
        <f>IFERROR(VLOOKUP(Vertailu[[#This Row],[Y-tunnus]],'1.2 Ohjaus-laskentataulu'!A:AU,COLUMN('1.2 Ohjaus-laskentataulu'!AS:AS),FALSE),0)</f>
        <v>67621904</v>
      </c>
      <c r="T38" s="228">
        <f>IFERROR(Vertailu[[#This Row],[Rahoitus ml. hark. kor. 
2023 ilman alv, €]]-Vertailu[[#This Row],[Rahoitus ml. hark. kor. 
2022 ilman alv, €]],0)</f>
        <v>3750479</v>
      </c>
      <c r="U38" s="232">
        <f>IFERROR(Vertailu[[#This Row],[Muutos, € 2]]/Vertailu[[#This Row],[Rahoitus ml. hark. kor. 
2022 ilman alv, €]],0)</f>
        <v>5.8719200330977425E-2</v>
      </c>
      <c r="V38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63871425</v>
      </c>
      <c r="W38" s="233">
        <f>IFERROR(VLOOKUP(Vertailu[[#This Row],[Y-tunnus]],'1.2 Ohjaus-laskentataulu'!A:AU,COLUMN('1.2 Ohjaus-laskentataulu'!AU:AU),FALSE),0)</f>
        <v>67621904</v>
      </c>
      <c r="X38" s="235">
        <f>IFERROR(Vertailu[[#This Row],[Rahoitus ml. hark. kor. + alv 2023, €]]-Vertailu[[#This Row],[Rahoitus ml. hark. kor. + alv 2022, €]],0)</f>
        <v>3750479</v>
      </c>
      <c r="Y38" s="230">
        <f>IFERROR(Vertailu[[#This Row],[Muutos, € 3]]/Vertailu[[#This Row],[Rahoitus ml. hark. kor. + alv 2022, €]],0)</f>
        <v>5.8719200330977425E-2</v>
      </c>
      <c r="Z38" s="228">
        <f>IFERROR(VLOOKUP(Vertailu[[#This Row],[Y-tunnus]],'Suoritepäätös 2022 oikaistu'!$B:$N,COLUMN('Suoritepäätös 2022 oikaistu'!G:G),FALSE),0)</f>
        <v>42272379</v>
      </c>
      <c r="AA38" s="228">
        <f>IFERROR(VLOOKUP(Vertailu[[#This Row],[Y-tunnus]],'1.2 Ohjaus-laskentataulu'!A:AU,COLUMN('1.2 Ohjaus-laskentataulu'!AP:AP),FALSE),0)</f>
        <v>45444518</v>
      </c>
      <c r="AB38" s="228">
        <f>Vertailu[[#This Row],[Perusrahoitus 2023, €]]-Vertailu[[#This Row],[Perusrahoitus 2022, €]]</f>
        <v>3172139</v>
      </c>
      <c r="AC38" s="230">
        <f>IFERROR(Vertailu[[#This Row],[Perusrahoituksen muutos, €]]/Vertailu[[#This Row],[Perusrahoitus 2022, €]],0)</f>
        <v>7.5040465548437671E-2</v>
      </c>
      <c r="AD38" s="228">
        <f>IFERROR(VLOOKUP(Vertailu[[#This Row],[Y-tunnus]],'Suoritepäätös 2022 oikaistu'!$B:$N,COLUMN('Suoritepäätös 2022 oikaistu'!M:M),FALSE),0)</f>
        <v>13819924</v>
      </c>
      <c r="AE38" s="228">
        <f>IFERROR(VLOOKUP(Vertailu[[#This Row],[Y-tunnus]],'1.2 Ohjaus-laskentataulu'!A:AU,COLUMN('1.2 Ohjaus-laskentataulu'!O:O),FALSE),0)</f>
        <v>14503204</v>
      </c>
      <c r="AF38" s="228">
        <f>Vertailu[[#This Row],[Suoritusrahoitus 2023, €]]-Vertailu[[#This Row],[Suoritusrahoitus 2022, €]]</f>
        <v>683280</v>
      </c>
      <c r="AG38" s="230">
        <f>IFERROR(Vertailu[[#This Row],[Suoritusrahoituksen muutos, €]]/Vertailu[[#This Row],[Suoritusrahoitus 2022, €]],0)</f>
        <v>4.9441661184243847E-2</v>
      </c>
      <c r="AH38" s="228">
        <f>IFERROR(VLOOKUP(Vertailu[[#This Row],[Y-tunnus]],'Suoritepäätös 2022 oikaistu'!$Q:$AC,COLUMN('Suoritepäätös 2022 oikaistu'!K:K),FALSE),0)</f>
        <v>7779122</v>
      </c>
      <c r="AI38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7674182</v>
      </c>
      <c r="AJ38" s="228">
        <f>Vertailu[[#This Row],[Vaikuttavuusrahoitus 2023, €]]-Vertailu[[#This Row],[Vaikuttavuusrahoitus 2022, €]]</f>
        <v>-104940</v>
      </c>
      <c r="AK38" s="230">
        <f>IFERROR(Vertailu[[#This Row],[Vaikuttavuusrahoituksen muutos, €]]/Vertailu[[#This Row],[Vaikuttavuusrahoitus 2022, €]],0)</f>
        <v>-1.3489954264761499E-2</v>
      </c>
    </row>
    <row r="39" spans="1:37" s="5" customFormat="1" ht="12.75" customHeight="1" x14ac:dyDescent="0.35">
      <c r="A39" s="7" t="s">
        <v>302</v>
      </c>
      <c r="B39" s="188" t="s">
        <v>41</v>
      </c>
      <c r="C39" s="188" t="s">
        <v>182</v>
      </c>
      <c r="D39" s="11" t="s">
        <v>337</v>
      </c>
      <c r="E39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0.56624826196155487</v>
      </c>
      <c r="F39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0.57007469679091261</v>
      </c>
      <c r="G39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0.25059082545287054</v>
      </c>
      <c r="H39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0.17933447775621689</v>
      </c>
      <c r="I39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9.7596090148891368E-2</v>
      </c>
      <c r="J39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8.7247497152893334E-3</v>
      </c>
      <c r="K39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2.2420038273914381E-2</v>
      </c>
      <c r="L39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3.3821379152339459E-2</v>
      </c>
      <c r="M39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1.6772220465782344E-2</v>
      </c>
      <c r="N39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1826403</v>
      </c>
      <c r="O39" s="228">
        <f>IFERROR(VLOOKUP(Vertailu[[#This Row],[Y-tunnus]],'1.2 Ohjaus-laskentataulu'!A:AU,COLUMN('1.2 Ohjaus-laskentataulu'!AF:AF),FALSE),0)</f>
        <v>2082719</v>
      </c>
      <c r="P39" s="228">
        <f>IFERROR(Vertailu[[#This Row],[Rahoitus pl. hark. kor. 2023 ilman alv, €]]-Vertailu[[#This Row],[Rahoitus pl. hark. kor. 2022 ilman alv, €]],0)</f>
        <v>256316</v>
      </c>
      <c r="Q39" s="230">
        <f>IFERROR(Vertailu[[#This Row],[Muutos, € 1]]/Vertailu[[#This Row],[Rahoitus pl. hark. kor. 2022 ilman alv, €]],0)</f>
        <v>0.14033923509762083</v>
      </c>
      <c r="R39" s="233">
        <f>IFERROR(VLOOKUP(Vertailu[[#This Row],[Y-tunnus]],'Suoritepäätös 2022 oikaistu'!$Q:$AC,COLUMN('Suoritepäätös 2022 oikaistu'!L:L),FALSE),0)</f>
        <v>1835403</v>
      </c>
      <c r="S39" s="234">
        <f>IFERROR(VLOOKUP(Vertailu[[#This Row],[Y-tunnus]],'1.2 Ohjaus-laskentataulu'!A:AU,COLUMN('1.2 Ohjaus-laskentataulu'!AS:AS),FALSE),0)</f>
        <v>2090719</v>
      </c>
      <c r="T39" s="228">
        <f>IFERROR(Vertailu[[#This Row],[Rahoitus ml. hark. kor. 
2023 ilman alv, €]]-Vertailu[[#This Row],[Rahoitus ml. hark. kor. 
2022 ilman alv, €]],0)</f>
        <v>255316</v>
      </c>
      <c r="U39" s="232">
        <f>IFERROR(Vertailu[[#This Row],[Muutos, € 2]]/Vertailu[[#This Row],[Rahoitus ml. hark. kor. 
2022 ilman alv, €]],0)</f>
        <v>0.13910623443461737</v>
      </c>
      <c r="V39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1889730</v>
      </c>
      <c r="W39" s="233">
        <f>IFERROR(VLOOKUP(Vertailu[[#This Row],[Y-tunnus]],'1.2 Ohjaus-laskentataulu'!A:AU,COLUMN('1.2 Ohjaus-laskentataulu'!AU:AU),FALSE),0)</f>
        <v>2189836</v>
      </c>
      <c r="X39" s="235">
        <f>IFERROR(Vertailu[[#This Row],[Rahoitus ml. hark. kor. + alv 2023, €]]-Vertailu[[#This Row],[Rahoitus ml. hark. kor. + alv 2022, €]],0)</f>
        <v>300106</v>
      </c>
      <c r="Y39" s="230">
        <f>IFERROR(Vertailu[[#This Row],[Muutos, € 3]]/Vertailu[[#This Row],[Rahoitus ml. hark. kor. + alv 2022, €]],0)</f>
        <v>0.15880893037629715</v>
      </c>
      <c r="Z39" s="228">
        <f>IFERROR(VLOOKUP(Vertailu[[#This Row],[Y-tunnus]],'Suoritepäätös 2022 oikaistu'!$B:$N,COLUMN('Suoritepäätös 2022 oikaistu'!G:G),FALSE),0)</f>
        <v>1092355</v>
      </c>
      <c r="AA39" s="228">
        <f>IFERROR(VLOOKUP(Vertailu[[#This Row],[Y-tunnus]],'1.2 Ohjaus-laskentataulu'!A:AU,COLUMN('1.2 Ohjaus-laskentataulu'!AP:AP),FALSE),0)</f>
        <v>1191866</v>
      </c>
      <c r="AB39" s="228">
        <f>Vertailu[[#This Row],[Perusrahoitus 2023, €]]-Vertailu[[#This Row],[Perusrahoitus 2022, €]]</f>
        <v>99511</v>
      </c>
      <c r="AC39" s="230">
        <f>IFERROR(Vertailu[[#This Row],[Perusrahoituksen muutos, €]]/Vertailu[[#This Row],[Perusrahoitus 2022, €]],0)</f>
        <v>9.1097674290866987E-2</v>
      </c>
      <c r="AD39" s="228">
        <f>IFERROR(VLOOKUP(Vertailu[[#This Row],[Y-tunnus]],'Suoritepäätös 2022 oikaistu'!$B:$N,COLUMN('Suoritepäätös 2022 oikaistu'!M:M),FALSE),0)</f>
        <v>444920</v>
      </c>
      <c r="AE39" s="228">
        <f>IFERROR(VLOOKUP(Vertailu[[#This Row],[Y-tunnus]],'1.2 Ohjaus-laskentataulu'!A:AU,COLUMN('1.2 Ohjaus-laskentataulu'!O:O),FALSE),0)</f>
        <v>523915</v>
      </c>
      <c r="AF39" s="228">
        <f>Vertailu[[#This Row],[Suoritusrahoitus 2023, €]]-Vertailu[[#This Row],[Suoritusrahoitus 2022, €]]</f>
        <v>78995</v>
      </c>
      <c r="AG39" s="230">
        <f>IFERROR(Vertailu[[#This Row],[Suoritusrahoituksen muutos, €]]/Vertailu[[#This Row],[Suoritusrahoitus 2022, €]],0)</f>
        <v>0.17754877281309001</v>
      </c>
      <c r="AH39" s="228">
        <f>IFERROR(VLOOKUP(Vertailu[[#This Row],[Y-tunnus]],'Suoritepäätös 2022 oikaistu'!$Q:$AC,COLUMN('Suoritepäätös 2022 oikaistu'!K:K),FALSE),0)</f>
        <v>298128</v>
      </c>
      <c r="AI39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374938</v>
      </c>
      <c r="AJ39" s="228">
        <f>Vertailu[[#This Row],[Vaikuttavuusrahoitus 2023, €]]-Vertailu[[#This Row],[Vaikuttavuusrahoitus 2022, €]]</f>
        <v>76810</v>
      </c>
      <c r="AK39" s="230">
        <f>IFERROR(Vertailu[[#This Row],[Vaikuttavuusrahoituksen muutos, €]]/Vertailu[[#This Row],[Vaikuttavuusrahoitus 2022, €]],0)</f>
        <v>0.2576410132560511</v>
      </c>
    </row>
    <row r="40" spans="1:37" s="5" customFormat="1" ht="12.75" customHeight="1" x14ac:dyDescent="0.35">
      <c r="A40" s="7" t="s">
        <v>301</v>
      </c>
      <c r="B40" s="188" t="s">
        <v>42</v>
      </c>
      <c r="C40" s="188" t="s">
        <v>182</v>
      </c>
      <c r="D40" s="11" t="s">
        <v>337</v>
      </c>
      <c r="E40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0.64295600099319894</v>
      </c>
      <c r="F40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0.64295600099319894</v>
      </c>
      <c r="G40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0.25042644377480244</v>
      </c>
      <c r="H40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0.10661755523199863</v>
      </c>
      <c r="I40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6.5496768430378369E-2</v>
      </c>
      <c r="J40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3.972061137565399E-3</v>
      </c>
      <c r="K40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1.2919666955125333E-2</v>
      </c>
      <c r="L40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1.6534705397507305E-2</v>
      </c>
      <c r="M40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7.6943533114222284E-3</v>
      </c>
      <c r="N40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1303758</v>
      </c>
      <c r="O40" s="228">
        <f>IFERROR(VLOOKUP(Vertailu[[#This Row],[Y-tunnus]],'1.2 Ohjaus-laskentataulu'!A:AU,COLUMN('1.2 Ohjaus-laskentataulu'!AF:AF),FALSE),0)</f>
        <v>1361258</v>
      </c>
      <c r="P40" s="228">
        <f>IFERROR(Vertailu[[#This Row],[Rahoitus pl. hark. kor. 2023 ilman alv, €]]-Vertailu[[#This Row],[Rahoitus pl. hark. kor. 2022 ilman alv, €]],0)</f>
        <v>57500</v>
      </c>
      <c r="Q40" s="230">
        <f>IFERROR(Vertailu[[#This Row],[Muutos, € 1]]/Vertailu[[#This Row],[Rahoitus pl. hark. kor. 2022 ilman alv, €]],0)</f>
        <v>4.4103276835118173E-2</v>
      </c>
      <c r="R40" s="233">
        <f>IFERROR(VLOOKUP(Vertailu[[#This Row],[Y-tunnus]],'Suoritepäätös 2022 oikaistu'!$Q:$AC,COLUMN('Suoritepäätös 2022 oikaistu'!L:L),FALSE),0)</f>
        <v>1303758</v>
      </c>
      <c r="S40" s="234">
        <f>IFERROR(VLOOKUP(Vertailu[[#This Row],[Y-tunnus]],'1.2 Ohjaus-laskentataulu'!A:AU,COLUMN('1.2 Ohjaus-laskentataulu'!AS:AS),FALSE),0)</f>
        <v>1361258</v>
      </c>
      <c r="T40" s="228">
        <f>IFERROR(Vertailu[[#This Row],[Rahoitus ml. hark. kor. 
2023 ilman alv, €]]-Vertailu[[#This Row],[Rahoitus ml. hark. kor. 
2022 ilman alv, €]],0)</f>
        <v>57500</v>
      </c>
      <c r="U40" s="232">
        <f>IFERROR(Vertailu[[#This Row],[Muutos, € 2]]/Vertailu[[#This Row],[Rahoitus ml. hark. kor. 
2022 ilman alv, €]],0)</f>
        <v>4.4103276835118173E-2</v>
      </c>
      <c r="V40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1371700</v>
      </c>
      <c r="W40" s="233">
        <f>IFERROR(VLOOKUP(Vertailu[[#This Row],[Y-tunnus]],'1.2 Ohjaus-laskentataulu'!A:AU,COLUMN('1.2 Ohjaus-laskentataulu'!AU:AU),FALSE),0)</f>
        <v>1420153</v>
      </c>
      <c r="X40" s="235">
        <f>IFERROR(Vertailu[[#This Row],[Rahoitus ml. hark. kor. + alv 2023, €]]-Vertailu[[#This Row],[Rahoitus ml. hark. kor. + alv 2022, €]],0)</f>
        <v>48453</v>
      </c>
      <c r="Y40" s="230">
        <f>IFERROR(Vertailu[[#This Row],[Muutos, € 3]]/Vertailu[[#This Row],[Rahoitus ml. hark. kor. + alv 2022, €]],0)</f>
        <v>3.532332142596778E-2</v>
      </c>
      <c r="Z40" s="228">
        <f>IFERROR(VLOOKUP(Vertailu[[#This Row],[Y-tunnus]],'Suoritepäätös 2022 oikaistu'!$B:$N,COLUMN('Suoritepäätös 2022 oikaistu'!G:G),FALSE),0)</f>
        <v>785341</v>
      </c>
      <c r="AA40" s="228">
        <f>IFERROR(VLOOKUP(Vertailu[[#This Row],[Y-tunnus]],'1.2 Ohjaus-laskentataulu'!A:AU,COLUMN('1.2 Ohjaus-laskentataulu'!AP:AP),FALSE),0)</f>
        <v>875229</v>
      </c>
      <c r="AB40" s="228">
        <f>Vertailu[[#This Row],[Perusrahoitus 2023, €]]-Vertailu[[#This Row],[Perusrahoitus 2022, €]]</f>
        <v>89888</v>
      </c>
      <c r="AC40" s="230">
        <f>IFERROR(Vertailu[[#This Row],[Perusrahoituksen muutos, €]]/Vertailu[[#This Row],[Perusrahoitus 2022, €]],0)</f>
        <v>0.11445728670730294</v>
      </c>
      <c r="AD40" s="228">
        <f>IFERROR(VLOOKUP(Vertailu[[#This Row],[Y-tunnus]],'Suoritepäätös 2022 oikaistu'!$B:$N,COLUMN('Suoritepäätös 2022 oikaistu'!M:M),FALSE),0)</f>
        <v>394201</v>
      </c>
      <c r="AE40" s="228">
        <f>IFERROR(VLOOKUP(Vertailu[[#This Row],[Y-tunnus]],'1.2 Ohjaus-laskentataulu'!A:AU,COLUMN('1.2 Ohjaus-laskentataulu'!O:O),FALSE),0)</f>
        <v>340895</v>
      </c>
      <c r="AF40" s="228">
        <f>Vertailu[[#This Row],[Suoritusrahoitus 2023, €]]-Vertailu[[#This Row],[Suoritusrahoitus 2022, €]]</f>
        <v>-53306</v>
      </c>
      <c r="AG40" s="230">
        <f>IFERROR(Vertailu[[#This Row],[Suoritusrahoituksen muutos, €]]/Vertailu[[#This Row],[Suoritusrahoitus 2022, €]],0)</f>
        <v>-0.13522543068130219</v>
      </c>
      <c r="AH40" s="228">
        <f>IFERROR(VLOOKUP(Vertailu[[#This Row],[Y-tunnus]],'Suoritepäätös 2022 oikaistu'!$Q:$AC,COLUMN('Suoritepäätös 2022 oikaistu'!K:K),FALSE),0)</f>
        <v>124216</v>
      </c>
      <c r="AI40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145134</v>
      </c>
      <c r="AJ40" s="228">
        <f>Vertailu[[#This Row],[Vaikuttavuusrahoitus 2023, €]]-Vertailu[[#This Row],[Vaikuttavuusrahoitus 2022, €]]</f>
        <v>20918</v>
      </c>
      <c r="AK40" s="230">
        <f>IFERROR(Vertailu[[#This Row],[Vaikuttavuusrahoituksen muutos, €]]/Vertailu[[#This Row],[Vaikuttavuusrahoitus 2022, €]],0)</f>
        <v>0.16840020609261286</v>
      </c>
    </row>
    <row r="41" spans="1:37" s="5" customFormat="1" ht="12.75" customHeight="1" x14ac:dyDescent="0.35">
      <c r="A41" s="7" t="s">
        <v>296</v>
      </c>
      <c r="B41" s="188" t="s">
        <v>43</v>
      </c>
      <c r="C41" s="188" t="s">
        <v>209</v>
      </c>
      <c r="D41" s="11" t="s">
        <v>336</v>
      </c>
      <c r="E41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0.71060444188538063</v>
      </c>
      <c r="F41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0.71135691099990961</v>
      </c>
      <c r="G41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0.18629645386890273</v>
      </c>
      <c r="H41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0.10234663513118772</v>
      </c>
      <c r="I41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7.8670796417825636E-2</v>
      </c>
      <c r="J41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3.0095754704700267E-3</v>
      </c>
      <c r="K41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8.0505165625224338E-3</v>
      </c>
      <c r="L41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9.8185179940196762E-3</v>
      </c>
      <c r="M41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2.7972286863499544E-3</v>
      </c>
      <c r="N41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5991913</v>
      </c>
      <c r="O41" s="228">
        <f>IFERROR(VLOOKUP(Vertailu[[#This Row],[Y-tunnus]],'1.2 Ohjaus-laskentataulu'!A:AU,COLUMN('1.2 Ohjaus-laskentataulu'!AF:AF),FALSE),0)</f>
        <v>6639791</v>
      </c>
      <c r="P41" s="228">
        <f>IFERROR(Vertailu[[#This Row],[Rahoitus pl. hark. kor. 2023 ilman alv, €]]-Vertailu[[#This Row],[Rahoitus pl. hark. kor. 2022 ilman alv, €]],0)</f>
        <v>647878</v>
      </c>
      <c r="Q41" s="230">
        <f>IFERROR(Vertailu[[#This Row],[Muutos, € 1]]/Vertailu[[#This Row],[Rahoitus pl. hark. kor. 2022 ilman alv, €]],0)</f>
        <v>0.10812540168724079</v>
      </c>
      <c r="R41" s="233">
        <f>IFERROR(VLOOKUP(Vertailu[[#This Row],[Y-tunnus]],'Suoritepäätös 2022 oikaistu'!$Q:$AC,COLUMN('Suoritepäätös 2022 oikaistu'!L:L),FALSE),0)</f>
        <v>5991913</v>
      </c>
      <c r="S41" s="234">
        <f>IFERROR(VLOOKUP(Vertailu[[#This Row],[Y-tunnus]],'1.2 Ohjaus-laskentataulu'!A:AU,COLUMN('1.2 Ohjaus-laskentataulu'!AS:AS),FALSE),0)</f>
        <v>6644791</v>
      </c>
      <c r="T41" s="228">
        <f>IFERROR(Vertailu[[#This Row],[Rahoitus ml. hark. kor. 
2023 ilman alv, €]]-Vertailu[[#This Row],[Rahoitus ml. hark. kor. 
2022 ilman alv, €]],0)</f>
        <v>652878</v>
      </c>
      <c r="U41" s="232">
        <f>IFERROR(Vertailu[[#This Row],[Muutos, € 2]]/Vertailu[[#This Row],[Rahoitus ml. hark. kor. 
2022 ilman alv, €]],0)</f>
        <v>0.10895985973094069</v>
      </c>
      <c r="V41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5991913</v>
      </c>
      <c r="W41" s="233">
        <f>IFERROR(VLOOKUP(Vertailu[[#This Row],[Y-tunnus]],'1.2 Ohjaus-laskentataulu'!A:AU,COLUMN('1.2 Ohjaus-laskentataulu'!AU:AU),FALSE),0)</f>
        <v>6644791</v>
      </c>
      <c r="X41" s="235">
        <f>IFERROR(Vertailu[[#This Row],[Rahoitus ml. hark. kor. + alv 2023, €]]-Vertailu[[#This Row],[Rahoitus ml. hark. kor. + alv 2022, €]],0)</f>
        <v>652878</v>
      </c>
      <c r="Y41" s="230">
        <f>IFERROR(Vertailu[[#This Row],[Muutos, € 3]]/Vertailu[[#This Row],[Rahoitus ml. hark. kor. + alv 2022, €]],0)</f>
        <v>0.10895985973094069</v>
      </c>
      <c r="Z41" s="228">
        <f>IFERROR(VLOOKUP(Vertailu[[#This Row],[Y-tunnus]],'Suoritepäätös 2022 oikaistu'!$B:$N,COLUMN('Suoritepäätös 2022 oikaistu'!G:G),FALSE),0)</f>
        <v>4379222</v>
      </c>
      <c r="AA41" s="228">
        <f>IFERROR(VLOOKUP(Vertailu[[#This Row],[Y-tunnus]],'1.2 Ohjaus-laskentataulu'!A:AU,COLUMN('1.2 Ohjaus-laskentataulu'!AP:AP),FALSE),0)</f>
        <v>4726818</v>
      </c>
      <c r="AB41" s="228">
        <f>Vertailu[[#This Row],[Perusrahoitus 2023, €]]-Vertailu[[#This Row],[Perusrahoitus 2022, €]]</f>
        <v>347596</v>
      </c>
      <c r="AC41" s="230">
        <f>IFERROR(Vertailu[[#This Row],[Perusrahoituksen muutos, €]]/Vertailu[[#This Row],[Perusrahoitus 2022, €]],0)</f>
        <v>7.937391618876595E-2</v>
      </c>
      <c r="AD41" s="228">
        <f>IFERROR(VLOOKUP(Vertailu[[#This Row],[Y-tunnus]],'Suoritepäätös 2022 oikaistu'!$B:$N,COLUMN('Suoritepäätös 2022 oikaistu'!M:M),FALSE),0)</f>
        <v>1058391</v>
      </c>
      <c r="AE41" s="228">
        <f>IFERROR(VLOOKUP(Vertailu[[#This Row],[Y-tunnus]],'1.2 Ohjaus-laskentataulu'!A:AU,COLUMN('1.2 Ohjaus-laskentataulu'!O:O),FALSE),0)</f>
        <v>1237901</v>
      </c>
      <c r="AF41" s="228">
        <f>Vertailu[[#This Row],[Suoritusrahoitus 2023, €]]-Vertailu[[#This Row],[Suoritusrahoitus 2022, €]]</f>
        <v>179510</v>
      </c>
      <c r="AG41" s="230">
        <f>IFERROR(Vertailu[[#This Row],[Suoritusrahoituksen muutos, €]]/Vertailu[[#This Row],[Suoritusrahoitus 2022, €]],0)</f>
        <v>0.16960650648011935</v>
      </c>
      <c r="AH41" s="228">
        <f>IFERROR(VLOOKUP(Vertailu[[#This Row],[Y-tunnus]],'Suoritepäätös 2022 oikaistu'!$Q:$AC,COLUMN('Suoritepäätös 2022 oikaistu'!K:K),FALSE),0)</f>
        <v>554300</v>
      </c>
      <c r="AI41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680072</v>
      </c>
      <c r="AJ41" s="228">
        <f>Vertailu[[#This Row],[Vaikuttavuusrahoitus 2023, €]]-Vertailu[[#This Row],[Vaikuttavuusrahoitus 2022, €]]</f>
        <v>125772</v>
      </c>
      <c r="AK41" s="230">
        <f>IFERROR(Vertailu[[#This Row],[Vaikuttavuusrahoituksen muutos, €]]/Vertailu[[#This Row],[Vaikuttavuusrahoitus 2022, €]],0)</f>
        <v>0.2269023994226953</v>
      </c>
    </row>
    <row r="42" spans="1:37" s="5" customFormat="1" ht="12.75" customHeight="1" x14ac:dyDescent="0.35">
      <c r="A42" s="7" t="s">
        <v>295</v>
      </c>
      <c r="B42" s="188" t="s">
        <v>44</v>
      </c>
      <c r="C42" s="188" t="s">
        <v>188</v>
      </c>
      <c r="D42" s="11" t="s">
        <v>338</v>
      </c>
      <c r="E42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0.67526846843322974</v>
      </c>
      <c r="F42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0.67756935332310542</v>
      </c>
      <c r="G42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0.19483710530138429</v>
      </c>
      <c r="H42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0.12759354137551027</v>
      </c>
      <c r="I42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7.7030479314588049E-2</v>
      </c>
      <c r="J42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4.4181388636139315E-3</v>
      </c>
      <c r="K42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1.3881001684822961E-2</v>
      </c>
      <c r="L42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2.1742820824645941E-2</v>
      </c>
      <c r="M42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1.0521100687839386E-2</v>
      </c>
      <c r="N42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27283269</v>
      </c>
      <c r="O42" s="228">
        <f>IFERROR(VLOOKUP(Vertailu[[#This Row],[Y-tunnus]],'1.2 Ohjaus-laskentataulu'!A:AU,COLUMN('1.2 Ohjaus-laskentataulu'!AF:AF),FALSE),0)</f>
        <v>29485847</v>
      </c>
      <c r="P42" s="228">
        <f>IFERROR(Vertailu[[#This Row],[Rahoitus pl. hark. kor. 2023 ilman alv, €]]-Vertailu[[#This Row],[Rahoitus pl. hark. kor. 2022 ilman alv, €]],0)</f>
        <v>2202578</v>
      </c>
      <c r="Q42" s="230">
        <f>IFERROR(Vertailu[[#This Row],[Muutos, € 1]]/Vertailu[[#This Row],[Rahoitus pl. hark. kor. 2022 ilman alv, €]],0)</f>
        <v>8.0729988770773767E-2</v>
      </c>
      <c r="R42" s="233">
        <f>IFERROR(VLOOKUP(Vertailu[[#This Row],[Y-tunnus]],'Suoritepäätös 2022 oikaistu'!$Q:$AC,COLUMN('Suoritepäätös 2022 oikaistu'!L:L),FALSE),0)</f>
        <v>27333269</v>
      </c>
      <c r="S42" s="234">
        <f>IFERROR(VLOOKUP(Vertailu[[#This Row],[Y-tunnus]],'1.2 Ohjaus-laskentataulu'!A:AU,COLUMN('1.2 Ohjaus-laskentataulu'!AS:AS),FALSE),0)</f>
        <v>29553847</v>
      </c>
      <c r="T42" s="228">
        <f>IFERROR(Vertailu[[#This Row],[Rahoitus ml. hark. kor. 
2023 ilman alv, €]]-Vertailu[[#This Row],[Rahoitus ml. hark. kor. 
2022 ilman alv, €]],0)</f>
        <v>2220578</v>
      </c>
      <c r="U42" s="232">
        <f>IFERROR(Vertailu[[#This Row],[Muutos, € 2]]/Vertailu[[#This Row],[Rahoitus ml. hark. kor. 
2022 ilman alv, €]],0)</f>
        <v>8.1240849749804903E-2</v>
      </c>
      <c r="V42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27333269</v>
      </c>
      <c r="W42" s="233">
        <f>IFERROR(VLOOKUP(Vertailu[[#This Row],[Y-tunnus]],'1.2 Ohjaus-laskentataulu'!A:AU,COLUMN('1.2 Ohjaus-laskentataulu'!AU:AU),FALSE),0)</f>
        <v>29553847</v>
      </c>
      <c r="X42" s="235">
        <f>IFERROR(Vertailu[[#This Row],[Rahoitus ml. hark. kor. + alv 2023, €]]-Vertailu[[#This Row],[Rahoitus ml. hark. kor. + alv 2022, €]],0)</f>
        <v>2220578</v>
      </c>
      <c r="Y42" s="230">
        <f>IFERROR(Vertailu[[#This Row],[Muutos, € 3]]/Vertailu[[#This Row],[Rahoitus ml. hark. kor. + alv 2022, €]],0)</f>
        <v>8.1240849749804903E-2</v>
      </c>
      <c r="Z42" s="228">
        <f>IFERROR(VLOOKUP(Vertailu[[#This Row],[Y-tunnus]],'Suoritepäätös 2022 oikaistu'!$B:$N,COLUMN('Suoritepäätös 2022 oikaistu'!G:G),FALSE),0)</f>
        <v>18524443</v>
      </c>
      <c r="AA42" s="228">
        <f>IFERROR(VLOOKUP(Vertailu[[#This Row],[Y-tunnus]],'1.2 Ohjaus-laskentataulu'!A:AU,COLUMN('1.2 Ohjaus-laskentataulu'!AP:AP),FALSE),0)</f>
        <v>20024781</v>
      </c>
      <c r="AB42" s="228">
        <f>Vertailu[[#This Row],[Perusrahoitus 2023, €]]-Vertailu[[#This Row],[Perusrahoitus 2022, €]]</f>
        <v>1500338</v>
      </c>
      <c r="AC42" s="230">
        <f>IFERROR(Vertailu[[#This Row],[Perusrahoituksen muutos, €]]/Vertailu[[#This Row],[Perusrahoitus 2022, €]],0)</f>
        <v>8.0992340768356708E-2</v>
      </c>
      <c r="AD42" s="228">
        <f>IFERROR(VLOOKUP(Vertailu[[#This Row],[Y-tunnus]],'Suoritepäätös 2022 oikaistu'!$B:$N,COLUMN('Suoritepäätös 2022 oikaistu'!M:M),FALSE),0)</f>
        <v>5795072</v>
      </c>
      <c r="AE42" s="228">
        <f>IFERROR(VLOOKUP(Vertailu[[#This Row],[Y-tunnus]],'1.2 Ohjaus-laskentataulu'!A:AU,COLUMN('1.2 Ohjaus-laskentataulu'!O:O),FALSE),0)</f>
        <v>5758186</v>
      </c>
      <c r="AF42" s="228">
        <f>Vertailu[[#This Row],[Suoritusrahoitus 2023, €]]-Vertailu[[#This Row],[Suoritusrahoitus 2022, €]]</f>
        <v>-36886</v>
      </c>
      <c r="AG42" s="230">
        <f>IFERROR(Vertailu[[#This Row],[Suoritusrahoituksen muutos, €]]/Vertailu[[#This Row],[Suoritusrahoitus 2022, €]],0)</f>
        <v>-6.3650632813535366E-3</v>
      </c>
      <c r="AH42" s="228">
        <f>IFERROR(VLOOKUP(Vertailu[[#This Row],[Y-tunnus]],'Suoritepäätös 2022 oikaistu'!$Q:$AC,COLUMN('Suoritepäätös 2022 oikaistu'!K:K),FALSE),0)</f>
        <v>3206655</v>
      </c>
      <c r="AI42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3770880</v>
      </c>
      <c r="AJ42" s="228">
        <f>Vertailu[[#This Row],[Vaikuttavuusrahoitus 2023, €]]-Vertailu[[#This Row],[Vaikuttavuusrahoitus 2022, €]]</f>
        <v>564225</v>
      </c>
      <c r="AK42" s="230">
        <f>IFERROR(Vertailu[[#This Row],[Vaikuttavuusrahoituksen muutos, €]]/Vertailu[[#This Row],[Vaikuttavuusrahoitus 2022, €]],0)</f>
        <v>0.17595438237041403</v>
      </c>
    </row>
    <row r="43" spans="1:37" s="5" customFormat="1" ht="12.75" customHeight="1" x14ac:dyDescent="0.35">
      <c r="A43" s="7" t="s">
        <v>294</v>
      </c>
      <c r="B43" s="188" t="s">
        <v>155</v>
      </c>
      <c r="C43" s="188" t="s">
        <v>187</v>
      </c>
      <c r="D43" s="11" t="s">
        <v>337</v>
      </c>
      <c r="E43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0.61534876786596693</v>
      </c>
      <c r="F43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0.62003707513387463</v>
      </c>
      <c r="G43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0.2128313343953912</v>
      </c>
      <c r="H43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0.16713159047073417</v>
      </c>
      <c r="I43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0.10936601896138991</v>
      </c>
      <c r="J43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5.7403634188261795E-3</v>
      </c>
      <c r="K43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2.0653868838040549E-2</v>
      </c>
      <c r="L43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2.3568120635771971E-2</v>
      </c>
      <c r="M43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7.803218616705564E-3</v>
      </c>
      <c r="N43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928667</v>
      </c>
      <c r="O43" s="228">
        <f>IFERROR(VLOOKUP(Vertailu[[#This Row],[Y-tunnus]],'1.2 Ohjaus-laskentataulu'!A:AU,COLUMN('1.2 Ohjaus-laskentataulu'!AF:AF),FALSE),0)</f>
        <v>1061483</v>
      </c>
      <c r="P43" s="228">
        <f>IFERROR(Vertailu[[#This Row],[Rahoitus pl. hark. kor. 2023 ilman alv, €]]-Vertailu[[#This Row],[Rahoitus pl. hark. kor. 2022 ilman alv, €]],0)</f>
        <v>132816</v>
      </c>
      <c r="Q43" s="230">
        <f>IFERROR(Vertailu[[#This Row],[Muutos, € 1]]/Vertailu[[#This Row],[Rahoitus pl. hark. kor. 2022 ilman alv, €]],0)</f>
        <v>0.14301789554275107</v>
      </c>
      <c r="R43" s="233">
        <f>IFERROR(VLOOKUP(Vertailu[[#This Row],[Y-tunnus]],'Suoritepäätös 2022 oikaistu'!$Q:$AC,COLUMN('Suoritepäätös 2022 oikaistu'!L:L),FALSE),0)</f>
        <v>928667</v>
      </c>
      <c r="S43" s="234">
        <f>IFERROR(VLOOKUP(Vertailu[[#This Row],[Y-tunnus]],'1.2 Ohjaus-laskentataulu'!A:AU,COLUMN('1.2 Ohjaus-laskentataulu'!AS:AS),FALSE),0)</f>
        <v>1066483</v>
      </c>
      <c r="T43" s="228">
        <f>IFERROR(Vertailu[[#This Row],[Rahoitus ml. hark. kor. 
2023 ilman alv, €]]-Vertailu[[#This Row],[Rahoitus ml. hark. kor. 
2022 ilman alv, €]],0)</f>
        <v>137816</v>
      </c>
      <c r="U43" s="232">
        <f>IFERROR(Vertailu[[#This Row],[Muutos, € 2]]/Vertailu[[#This Row],[Rahoitus ml. hark. kor. 
2022 ilman alv, €]],0)</f>
        <v>0.14840195678321724</v>
      </c>
      <c r="V43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972838</v>
      </c>
      <c r="W43" s="233">
        <f>IFERROR(VLOOKUP(Vertailu[[#This Row],[Y-tunnus]],'1.2 Ohjaus-laskentataulu'!A:AU,COLUMN('1.2 Ohjaus-laskentataulu'!AU:AU),FALSE),0)</f>
        <v>1114915</v>
      </c>
      <c r="X43" s="235">
        <f>IFERROR(Vertailu[[#This Row],[Rahoitus ml. hark. kor. + alv 2023, €]]-Vertailu[[#This Row],[Rahoitus ml. hark. kor. + alv 2022, €]],0)</f>
        <v>142077</v>
      </c>
      <c r="Y43" s="230">
        <f>IFERROR(Vertailu[[#This Row],[Muutos, € 3]]/Vertailu[[#This Row],[Rahoitus ml. hark. kor. + alv 2022, €]],0)</f>
        <v>0.14604384285975672</v>
      </c>
      <c r="Z43" s="228">
        <f>IFERROR(VLOOKUP(Vertailu[[#This Row],[Y-tunnus]],'Suoritepäätös 2022 oikaistu'!$B:$N,COLUMN('Suoritepäätös 2022 oikaistu'!G:G),FALSE),0)</f>
        <v>604578</v>
      </c>
      <c r="AA43" s="228">
        <f>IFERROR(VLOOKUP(Vertailu[[#This Row],[Y-tunnus]],'1.2 Ohjaus-laskentataulu'!A:AU,COLUMN('1.2 Ohjaus-laskentataulu'!AP:AP),FALSE),0)</f>
        <v>661259</v>
      </c>
      <c r="AB43" s="228">
        <f>Vertailu[[#This Row],[Perusrahoitus 2023, €]]-Vertailu[[#This Row],[Perusrahoitus 2022, €]]</f>
        <v>56681</v>
      </c>
      <c r="AC43" s="230">
        <f>IFERROR(Vertailu[[#This Row],[Perusrahoituksen muutos, €]]/Vertailu[[#This Row],[Perusrahoitus 2022, €]],0)</f>
        <v>9.3752997958906875E-2</v>
      </c>
      <c r="AD43" s="228">
        <f>IFERROR(VLOOKUP(Vertailu[[#This Row],[Y-tunnus]],'Suoritepäätös 2022 oikaistu'!$B:$N,COLUMN('Suoritepäätös 2022 oikaistu'!M:M),FALSE),0)</f>
        <v>190446</v>
      </c>
      <c r="AE43" s="228">
        <f>IFERROR(VLOOKUP(Vertailu[[#This Row],[Y-tunnus]],'1.2 Ohjaus-laskentataulu'!A:AU,COLUMN('1.2 Ohjaus-laskentataulu'!O:O),FALSE),0)</f>
        <v>226981</v>
      </c>
      <c r="AF43" s="228">
        <f>Vertailu[[#This Row],[Suoritusrahoitus 2023, €]]-Vertailu[[#This Row],[Suoritusrahoitus 2022, €]]</f>
        <v>36535</v>
      </c>
      <c r="AG43" s="230">
        <f>IFERROR(Vertailu[[#This Row],[Suoritusrahoituksen muutos, €]]/Vertailu[[#This Row],[Suoritusrahoitus 2022, €]],0)</f>
        <v>0.19183915650630626</v>
      </c>
      <c r="AH43" s="228">
        <f>IFERROR(VLOOKUP(Vertailu[[#This Row],[Y-tunnus]],'Suoritepäätös 2022 oikaistu'!$Q:$AC,COLUMN('Suoritepäätös 2022 oikaistu'!K:K),FALSE),0)</f>
        <v>133643</v>
      </c>
      <c r="AI43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178243</v>
      </c>
      <c r="AJ43" s="228">
        <f>Vertailu[[#This Row],[Vaikuttavuusrahoitus 2023, €]]-Vertailu[[#This Row],[Vaikuttavuusrahoitus 2022, €]]</f>
        <v>44600</v>
      </c>
      <c r="AK43" s="230">
        <f>IFERROR(Vertailu[[#This Row],[Vaikuttavuusrahoituksen muutos, €]]/Vertailu[[#This Row],[Vaikuttavuusrahoitus 2022, €]],0)</f>
        <v>0.33372492386432512</v>
      </c>
    </row>
    <row r="44" spans="1:37" s="5" customFormat="1" ht="12.75" customHeight="1" x14ac:dyDescent="0.35">
      <c r="A44" s="7" t="s">
        <v>293</v>
      </c>
      <c r="B44" s="188" t="s">
        <v>46</v>
      </c>
      <c r="C44" s="188" t="s">
        <v>180</v>
      </c>
      <c r="D44" s="11" t="s">
        <v>337</v>
      </c>
      <c r="E44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0.69549903468682661</v>
      </c>
      <c r="F44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0.69549903468682661</v>
      </c>
      <c r="G44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0.17861422685746897</v>
      </c>
      <c r="H44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0.12588673845570442</v>
      </c>
      <c r="I44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8.5554674460157826E-2</v>
      </c>
      <c r="J44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4.312385990769981E-3</v>
      </c>
      <c r="K44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1.2421577061132765E-2</v>
      </c>
      <c r="L44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2.0406543020650324E-2</v>
      </c>
      <c r="M44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3.1915579229935074E-3</v>
      </c>
      <c r="N44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1025563</v>
      </c>
      <c r="O44" s="228">
        <f>IFERROR(VLOOKUP(Vertailu[[#This Row],[Y-tunnus]],'1.2 Ohjaus-laskentataulu'!A:AU,COLUMN('1.2 Ohjaus-laskentataulu'!AF:AF),FALSE),0)</f>
        <v>1070637</v>
      </c>
      <c r="P44" s="228">
        <f>IFERROR(Vertailu[[#This Row],[Rahoitus pl. hark. kor. 2023 ilman alv, €]]-Vertailu[[#This Row],[Rahoitus pl. hark. kor. 2022 ilman alv, €]],0)</f>
        <v>45074</v>
      </c>
      <c r="Q44" s="230">
        <f>IFERROR(Vertailu[[#This Row],[Muutos, € 1]]/Vertailu[[#This Row],[Rahoitus pl. hark. kor. 2022 ilman alv, €]],0)</f>
        <v>4.3950493533795584E-2</v>
      </c>
      <c r="R44" s="233">
        <f>IFERROR(VLOOKUP(Vertailu[[#This Row],[Y-tunnus]],'Suoritepäätös 2022 oikaistu'!$Q:$AC,COLUMN('Suoritepäätös 2022 oikaistu'!L:L),FALSE),0)</f>
        <v>1025563</v>
      </c>
      <c r="S44" s="234">
        <f>IFERROR(VLOOKUP(Vertailu[[#This Row],[Y-tunnus]],'1.2 Ohjaus-laskentataulu'!A:AU,COLUMN('1.2 Ohjaus-laskentataulu'!AS:AS),FALSE),0)</f>
        <v>1070637</v>
      </c>
      <c r="T44" s="228">
        <f>IFERROR(Vertailu[[#This Row],[Rahoitus ml. hark. kor. 
2023 ilman alv, €]]-Vertailu[[#This Row],[Rahoitus ml. hark. kor. 
2022 ilman alv, €]],0)</f>
        <v>45074</v>
      </c>
      <c r="U44" s="232">
        <f>IFERROR(Vertailu[[#This Row],[Muutos, € 2]]/Vertailu[[#This Row],[Rahoitus ml. hark. kor. 
2022 ilman alv, €]],0)</f>
        <v>4.3950493533795584E-2</v>
      </c>
      <c r="V44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1069936</v>
      </c>
      <c r="W44" s="233">
        <f>IFERROR(VLOOKUP(Vertailu[[#This Row],[Y-tunnus]],'1.2 Ohjaus-laskentataulu'!A:AU,COLUMN('1.2 Ohjaus-laskentataulu'!AU:AU),FALSE),0)</f>
        <v>1119250</v>
      </c>
      <c r="X44" s="235">
        <f>IFERROR(Vertailu[[#This Row],[Rahoitus ml. hark. kor. + alv 2023, €]]-Vertailu[[#This Row],[Rahoitus ml. hark. kor. + alv 2022, €]],0)</f>
        <v>49314</v>
      </c>
      <c r="Y44" s="230">
        <f>IFERROR(Vertailu[[#This Row],[Muutos, € 3]]/Vertailu[[#This Row],[Rahoitus ml. hark. kor. + alv 2022, €]],0)</f>
        <v>4.6090607288660254E-2</v>
      </c>
      <c r="Z44" s="228">
        <f>IFERROR(VLOOKUP(Vertailu[[#This Row],[Y-tunnus]],'Suoritepäätös 2022 oikaistu'!$B:$N,COLUMN('Suoritepäätös 2022 oikaistu'!G:G),FALSE),0)</f>
        <v>658318</v>
      </c>
      <c r="AA44" s="228">
        <f>IFERROR(VLOOKUP(Vertailu[[#This Row],[Y-tunnus]],'1.2 Ohjaus-laskentataulu'!A:AU,COLUMN('1.2 Ohjaus-laskentataulu'!AP:AP),FALSE),0)</f>
        <v>744627</v>
      </c>
      <c r="AB44" s="228">
        <f>Vertailu[[#This Row],[Perusrahoitus 2023, €]]-Vertailu[[#This Row],[Perusrahoitus 2022, €]]</f>
        <v>86309</v>
      </c>
      <c r="AC44" s="230">
        <f>IFERROR(Vertailu[[#This Row],[Perusrahoituksen muutos, €]]/Vertailu[[#This Row],[Perusrahoitus 2022, €]],0)</f>
        <v>0.13110533207355715</v>
      </c>
      <c r="AD44" s="228">
        <f>IFERROR(VLOOKUP(Vertailu[[#This Row],[Y-tunnus]],'Suoritepäätös 2022 oikaistu'!$B:$N,COLUMN('Suoritepäätös 2022 oikaistu'!M:M),FALSE),0)</f>
        <v>253108</v>
      </c>
      <c r="AE44" s="228">
        <f>IFERROR(VLOOKUP(Vertailu[[#This Row],[Y-tunnus]],'1.2 Ohjaus-laskentataulu'!A:AU,COLUMN('1.2 Ohjaus-laskentataulu'!O:O),FALSE),0)</f>
        <v>191231</v>
      </c>
      <c r="AF44" s="228">
        <f>Vertailu[[#This Row],[Suoritusrahoitus 2023, €]]-Vertailu[[#This Row],[Suoritusrahoitus 2022, €]]</f>
        <v>-61877</v>
      </c>
      <c r="AG44" s="230">
        <f>IFERROR(Vertailu[[#This Row],[Suoritusrahoituksen muutos, €]]/Vertailu[[#This Row],[Suoritusrahoitus 2022, €]],0)</f>
        <v>-0.24446876432194953</v>
      </c>
      <c r="AH44" s="228">
        <f>IFERROR(VLOOKUP(Vertailu[[#This Row],[Y-tunnus]],'Suoritepäätös 2022 oikaistu'!$Q:$AC,COLUMN('Suoritepäätös 2022 oikaistu'!K:K),FALSE),0)</f>
        <v>114137</v>
      </c>
      <c r="AI44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134779</v>
      </c>
      <c r="AJ44" s="228">
        <f>Vertailu[[#This Row],[Vaikuttavuusrahoitus 2023, €]]-Vertailu[[#This Row],[Vaikuttavuusrahoitus 2022, €]]</f>
        <v>20642</v>
      </c>
      <c r="AK44" s="230">
        <f>IFERROR(Vertailu[[#This Row],[Vaikuttavuusrahoituksen muutos, €]]/Vertailu[[#This Row],[Vaikuttavuusrahoitus 2022, €]],0)</f>
        <v>0.18085283475122002</v>
      </c>
    </row>
    <row r="45" spans="1:37" s="5" customFormat="1" ht="12.75" customHeight="1" x14ac:dyDescent="0.35">
      <c r="A45" s="7" t="s">
        <v>292</v>
      </c>
      <c r="B45" s="188" t="s">
        <v>47</v>
      </c>
      <c r="C45" s="188" t="s">
        <v>180</v>
      </c>
      <c r="D45" s="11" t="s">
        <v>337</v>
      </c>
      <c r="E45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0.83761068153329965</v>
      </c>
      <c r="F45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0.83761068153329965</v>
      </c>
      <c r="G45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0.10604276086554795</v>
      </c>
      <c r="H45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5.6346557601152404E-2</v>
      </c>
      <c r="I45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3.6482325464378192E-2</v>
      </c>
      <c r="J45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3.560065813349245E-3</v>
      </c>
      <c r="K45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1.0250495937873623E-2</v>
      </c>
      <c r="L45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4.5307904503850615E-3</v>
      </c>
      <c r="M45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1.5228799351662812E-3</v>
      </c>
      <c r="N45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455915</v>
      </c>
      <c r="O45" s="228">
        <f>IFERROR(VLOOKUP(Vertailu[[#This Row],[Y-tunnus]],'1.2 Ohjaus-laskentataulu'!A:AU,COLUMN('1.2 Ohjaus-laskentataulu'!AF:AF),FALSE),0)</f>
        <v>449149</v>
      </c>
      <c r="P45" s="228">
        <f>IFERROR(Vertailu[[#This Row],[Rahoitus pl. hark. kor. 2023 ilman alv, €]]-Vertailu[[#This Row],[Rahoitus pl. hark. kor. 2022 ilman alv, €]],0)</f>
        <v>-6766</v>
      </c>
      <c r="Q45" s="230">
        <f>IFERROR(Vertailu[[#This Row],[Muutos, € 1]]/Vertailu[[#This Row],[Rahoitus pl. hark. kor. 2022 ilman alv, €]],0)</f>
        <v>-1.4840485616836471E-2</v>
      </c>
      <c r="R45" s="233">
        <f>IFERROR(VLOOKUP(Vertailu[[#This Row],[Y-tunnus]],'Suoritepäätös 2022 oikaistu'!$Q:$AC,COLUMN('Suoritepäätös 2022 oikaistu'!L:L),FALSE),0)</f>
        <v>455915</v>
      </c>
      <c r="S45" s="234">
        <f>IFERROR(VLOOKUP(Vertailu[[#This Row],[Y-tunnus]],'1.2 Ohjaus-laskentataulu'!A:AU,COLUMN('1.2 Ohjaus-laskentataulu'!AS:AS),FALSE),0)</f>
        <v>449149</v>
      </c>
      <c r="T45" s="228">
        <f>IFERROR(Vertailu[[#This Row],[Rahoitus ml. hark. kor. 
2023 ilman alv, €]]-Vertailu[[#This Row],[Rahoitus ml. hark. kor. 
2022 ilman alv, €]],0)</f>
        <v>-6766</v>
      </c>
      <c r="U45" s="232">
        <f>IFERROR(Vertailu[[#This Row],[Muutos, € 2]]/Vertailu[[#This Row],[Rahoitus ml. hark. kor. 
2022 ilman alv, €]],0)</f>
        <v>-1.4840485616836471E-2</v>
      </c>
      <c r="V45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455915</v>
      </c>
      <c r="W45" s="233">
        <f>IFERROR(VLOOKUP(Vertailu[[#This Row],[Y-tunnus]],'1.2 Ohjaus-laskentataulu'!A:AU,COLUMN('1.2 Ohjaus-laskentataulu'!AU:AU),FALSE),0)</f>
        <v>449149</v>
      </c>
      <c r="X45" s="235">
        <f>IFERROR(Vertailu[[#This Row],[Rahoitus ml. hark. kor. + alv 2023, €]]-Vertailu[[#This Row],[Rahoitus ml. hark. kor. + alv 2022, €]],0)</f>
        <v>-6766</v>
      </c>
      <c r="Y45" s="230">
        <f>IFERROR(Vertailu[[#This Row],[Muutos, € 3]]/Vertailu[[#This Row],[Rahoitus ml. hark. kor. + alv 2022, €]],0)</f>
        <v>-1.4840485616836471E-2</v>
      </c>
      <c r="Z45" s="228">
        <f>IFERROR(VLOOKUP(Vertailu[[#This Row],[Y-tunnus]],'Suoritepäätös 2022 oikaistu'!$B:$N,COLUMN('Suoritepäätös 2022 oikaistu'!G:G),FALSE),0)</f>
        <v>352976</v>
      </c>
      <c r="AA45" s="228">
        <f>IFERROR(VLOOKUP(Vertailu[[#This Row],[Y-tunnus]],'1.2 Ohjaus-laskentataulu'!A:AU,COLUMN('1.2 Ohjaus-laskentataulu'!AP:AP),FALSE),0)</f>
        <v>376212</v>
      </c>
      <c r="AB45" s="228">
        <f>Vertailu[[#This Row],[Perusrahoitus 2023, €]]-Vertailu[[#This Row],[Perusrahoitus 2022, €]]</f>
        <v>23236</v>
      </c>
      <c r="AC45" s="230">
        <f>IFERROR(Vertailu[[#This Row],[Perusrahoituksen muutos, €]]/Vertailu[[#This Row],[Perusrahoitus 2022, €]],0)</f>
        <v>6.5828838221295496E-2</v>
      </c>
      <c r="AD45" s="228">
        <f>IFERROR(VLOOKUP(Vertailu[[#This Row],[Y-tunnus]],'Suoritepäätös 2022 oikaistu'!$B:$N,COLUMN('Suoritepäätös 2022 oikaistu'!M:M),FALSE),0)</f>
        <v>74873</v>
      </c>
      <c r="AE45" s="228">
        <f>IFERROR(VLOOKUP(Vertailu[[#This Row],[Y-tunnus]],'1.2 Ohjaus-laskentataulu'!A:AU,COLUMN('1.2 Ohjaus-laskentataulu'!O:O),FALSE),0)</f>
        <v>47629</v>
      </c>
      <c r="AF45" s="228">
        <f>Vertailu[[#This Row],[Suoritusrahoitus 2023, €]]-Vertailu[[#This Row],[Suoritusrahoitus 2022, €]]</f>
        <v>-27244</v>
      </c>
      <c r="AG45" s="230">
        <f>IFERROR(Vertailu[[#This Row],[Suoritusrahoituksen muutos, €]]/Vertailu[[#This Row],[Suoritusrahoitus 2022, €]],0)</f>
        <v>-0.3638694856623883</v>
      </c>
      <c r="AH45" s="228">
        <f>IFERROR(VLOOKUP(Vertailu[[#This Row],[Y-tunnus]],'Suoritepäätös 2022 oikaistu'!$Q:$AC,COLUMN('Suoritepäätös 2022 oikaistu'!K:K),FALSE),0)</f>
        <v>28066</v>
      </c>
      <c r="AI45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25308</v>
      </c>
      <c r="AJ45" s="228">
        <f>Vertailu[[#This Row],[Vaikuttavuusrahoitus 2023, €]]-Vertailu[[#This Row],[Vaikuttavuusrahoitus 2022, €]]</f>
        <v>-2758</v>
      </c>
      <c r="AK45" s="230">
        <f>IFERROR(Vertailu[[#This Row],[Vaikuttavuusrahoituksen muutos, €]]/Vertailu[[#This Row],[Vaikuttavuusrahoitus 2022, €]],0)</f>
        <v>-9.8268367419653668E-2</v>
      </c>
    </row>
    <row r="46" spans="1:37" s="5" customFormat="1" ht="12.75" customHeight="1" x14ac:dyDescent="0.35">
      <c r="A46" s="7" t="s">
        <v>291</v>
      </c>
      <c r="B46" s="188" t="s">
        <v>48</v>
      </c>
      <c r="C46" s="188" t="s">
        <v>182</v>
      </c>
      <c r="D46" s="11" t="s">
        <v>337</v>
      </c>
      <c r="E46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0.71840944902742288</v>
      </c>
      <c r="F46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0.71840944902742288</v>
      </c>
      <c r="G46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0.10076005349505436</v>
      </c>
      <c r="H46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0.18083049747752281</v>
      </c>
      <c r="I46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0.12342262417076046</v>
      </c>
      <c r="J46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7.7726725016882721E-3</v>
      </c>
      <c r="K46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1.3704797341136903E-2</v>
      </c>
      <c r="L46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2.2821466876762755E-2</v>
      </c>
      <c r="M46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1.3108936587174429E-2</v>
      </c>
      <c r="N46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144977</v>
      </c>
      <c r="O46" s="228">
        <f>IFERROR(VLOOKUP(Vertailu[[#This Row],[Y-tunnus]],'1.2 Ohjaus-laskentataulu'!A:AU,COLUMN('1.2 Ohjaus-laskentataulu'!AF:AF),FALSE),0)</f>
        <v>151042</v>
      </c>
      <c r="P46" s="228">
        <f>IFERROR(Vertailu[[#This Row],[Rahoitus pl. hark. kor. 2023 ilman alv, €]]-Vertailu[[#This Row],[Rahoitus pl. hark. kor. 2022 ilman alv, €]],0)</f>
        <v>6065</v>
      </c>
      <c r="Q46" s="230">
        <f>IFERROR(Vertailu[[#This Row],[Muutos, € 1]]/Vertailu[[#This Row],[Rahoitus pl. hark. kor. 2022 ilman alv, €]],0)</f>
        <v>4.1834221980038215E-2</v>
      </c>
      <c r="R46" s="233">
        <f>IFERROR(VLOOKUP(Vertailu[[#This Row],[Y-tunnus]],'Suoritepäätös 2022 oikaistu'!$Q:$AC,COLUMN('Suoritepäätös 2022 oikaistu'!L:L),FALSE),0)</f>
        <v>144977</v>
      </c>
      <c r="S46" s="234">
        <f>IFERROR(VLOOKUP(Vertailu[[#This Row],[Y-tunnus]],'1.2 Ohjaus-laskentataulu'!A:AU,COLUMN('1.2 Ohjaus-laskentataulu'!AS:AS),FALSE),0)</f>
        <v>151042</v>
      </c>
      <c r="T46" s="228">
        <f>IFERROR(Vertailu[[#This Row],[Rahoitus ml. hark. kor. 
2023 ilman alv, €]]-Vertailu[[#This Row],[Rahoitus ml. hark. kor. 
2022 ilman alv, €]],0)</f>
        <v>6065</v>
      </c>
      <c r="U46" s="232">
        <f>IFERROR(Vertailu[[#This Row],[Muutos, € 2]]/Vertailu[[#This Row],[Rahoitus ml. hark. kor. 
2022 ilman alv, €]],0)</f>
        <v>4.1834221980038215E-2</v>
      </c>
      <c r="V46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152690</v>
      </c>
      <c r="W46" s="233">
        <f>IFERROR(VLOOKUP(Vertailu[[#This Row],[Y-tunnus]],'1.2 Ohjaus-laskentataulu'!A:AU,COLUMN('1.2 Ohjaus-laskentataulu'!AU:AU),FALSE),0)</f>
        <v>159977</v>
      </c>
      <c r="X46" s="235">
        <f>IFERROR(Vertailu[[#This Row],[Rahoitus ml. hark. kor. + alv 2023, €]]-Vertailu[[#This Row],[Rahoitus ml. hark. kor. + alv 2022, €]],0)</f>
        <v>7287</v>
      </c>
      <c r="Y46" s="230">
        <f>IFERROR(Vertailu[[#This Row],[Muutos, € 3]]/Vertailu[[#This Row],[Rahoitus ml. hark. kor. + alv 2022, €]],0)</f>
        <v>4.7724146964437747E-2</v>
      </c>
      <c r="Z46" s="228">
        <f>IFERROR(VLOOKUP(Vertailu[[#This Row],[Y-tunnus]],'Suoritepäätös 2022 oikaistu'!$B:$N,COLUMN('Suoritepäätös 2022 oikaistu'!G:G),FALSE),0)</f>
        <v>109313</v>
      </c>
      <c r="AA46" s="228">
        <f>IFERROR(VLOOKUP(Vertailu[[#This Row],[Y-tunnus]],'1.2 Ohjaus-laskentataulu'!A:AU,COLUMN('1.2 Ohjaus-laskentataulu'!AP:AP),FALSE),0)</f>
        <v>108510</v>
      </c>
      <c r="AB46" s="228">
        <f>Vertailu[[#This Row],[Perusrahoitus 2023, €]]-Vertailu[[#This Row],[Perusrahoitus 2022, €]]</f>
        <v>-803</v>
      </c>
      <c r="AC46" s="230">
        <f>IFERROR(Vertailu[[#This Row],[Perusrahoituksen muutos, €]]/Vertailu[[#This Row],[Perusrahoitus 2022, €]],0)</f>
        <v>-7.3458783493271611E-3</v>
      </c>
      <c r="AD46" s="228">
        <f>IFERROR(VLOOKUP(Vertailu[[#This Row],[Y-tunnus]],'Suoritepäätös 2022 oikaistu'!$B:$N,COLUMN('Suoritepäätös 2022 oikaistu'!M:M),FALSE),0)</f>
        <v>11834</v>
      </c>
      <c r="AE46" s="228">
        <f>IFERROR(VLOOKUP(Vertailu[[#This Row],[Y-tunnus]],'1.2 Ohjaus-laskentataulu'!A:AU,COLUMN('1.2 Ohjaus-laskentataulu'!O:O),FALSE),0)</f>
        <v>15219</v>
      </c>
      <c r="AF46" s="228">
        <f>Vertailu[[#This Row],[Suoritusrahoitus 2023, €]]-Vertailu[[#This Row],[Suoritusrahoitus 2022, €]]</f>
        <v>3385</v>
      </c>
      <c r="AG46" s="230">
        <f>IFERROR(Vertailu[[#This Row],[Suoritusrahoituksen muutos, €]]/Vertailu[[#This Row],[Suoritusrahoitus 2022, €]],0)</f>
        <v>0.28604022308602334</v>
      </c>
      <c r="AH46" s="228">
        <f>IFERROR(VLOOKUP(Vertailu[[#This Row],[Y-tunnus]],'Suoritepäätös 2022 oikaistu'!$Q:$AC,COLUMN('Suoritepäätös 2022 oikaistu'!K:K),FALSE),0)</f>
        <v>23830</v>
      </c>
      <c r="AI46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27313</v>
      </c>
      <c r="AJ46" s="228">
        <f>Vertailu[[#This Row],[Vaikuttavuusrahoitus 2023, €]]-Vertailu[[#This Row],[Vaikuttavuusrahoitus 2022, €]]</f>
        <v>3483</v>
      </c>
      <c r="AK46" s="230">
        <f>IFERROR(Vertailu[[#This Row],[Vaikuttavuusrahoituksen muutos, €]]/Vertailu[[#This Row],[Vaikuttavuusrahoitus 2022, €]],0)</f>
        <v>0.14616030214015946</v>
      </c>
    </row>
    <row r="47" spans="1:37" s="5" customFormat="1" ht="12.75" customHeight="1" x14ac:dyDescent="0.35">
      <c r="A47" s="7" t="s">
        <v>289</v>
      </c>
      <c r="B47" s="188" t="s">
        <v>49</v>
      </c>
      <c r="C47" s="188" t="s">
        <v>180</v>
      </c>
      <c r="D47" s="11" t="s">
        <v>337</v>
      </c>
      <c r="E47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0.76638341532714216</v>
      </c>
      <c r="F47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0.76638341532714216</v>
      </c>
      <c r="G47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0.16440635605482623</v>
      </c>
      <c r="H47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6.9210228618031625E-2</v>
      </c>
      <c r="I47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5.1969605289696845E-2</v>
      </c>
      <c r="J47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3.244674787123026E-3</v>
      </c>
      <c r="K47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7.2961335753685339E-3</v>
      </c>
      <c r="L47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4.355098962581007E-3</v>
      </c>
      <c r="M47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2.3447160032622136E-3</v>
      </c>
      <c r="N47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867063</v>
      </c>
      <c r="O47" s="228">
        <f>IFERROR(VLOOKUP(Vertailu[[#This Row],[Y-tunnus]],'1.2 Ohjaus-laskentataulu'!A:AU,COLUMN('1.2 Ohjaus-laskentataulu'!AF:AF),FALSE),0)</f>
        <v>912264</v>
      </c>
      <c r="P47" s="228">
        <f>IFERROR(Vertailu[[#This Row],[Rahoitus pl. hark. kor. 2023 ilman alv, €]]-Vertailu[[#This Row],[Rahoitus pl. hark. kor. 2022 ilman alv, €]],0)</f>
        <v>45201</v>
      </c>
      <c r="Q47" s="230">
        <f>IFERROR(Vertailu[[#This Row],[Muutos, € 1]]/Vertailu[[#This Row],[Rahoitus pl. hark. kor. 2022 ilman alv, €]],0)</f>
        <v>5.213116001951415E-2</v>
      </c>
      <c r="R47" s="233">
        <f>IFERROR(VLOOKUP(Vertailu[[#This Row],[Y-tunnus]],'Suoritepäätös 2022 oikaistu'!$Q:$AC,COLUMN('Suoritepäätös 2022 oikaistu'!L:L),FALSE),0)</f>
        <v>867063</v>
      </c>
      <c r="S47" s="234">
        <f>IFERROR(VLOOKUP(Vertailu[[#This Row],[Y-tunnus]],'1.2 Ohjaus-laskentataulu'!A:AU,COLUMN('1.2 Ohjaus-laskentataulu'!AS:AS),FALSE),0)</f>
        <v>912264</v>
      </c>
      <c r="T47" s="228">
        <f>IFERROR(Vertailu[[#This Row],[Rahoitus ml. hark. kor. 
2023 ilman alv, €]]-Vertailu[[#This Row],[Rahoitus ml. hark. kor. 
2022 ilman alv, €]],0)</f>
        <v>45201</v>
      </c>
      <c r="U47" s="232">
        <f>IFERROR(Vertailu[[#This Row],[Muutos, € 2]]/Vertailu[[#This Row],[Rahoitus ml. hark. kor. 
2022 ilman alv, €]],0)</f>
        <v>5.213116001951415E-2</v>
      </c>
      <c r="V47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893259</v>
      </c>
      <c r="W47" s="233">
        <f>IFERROR(VLOOKUP(Vertailu[[#This Row],[Y-tunnus]],'1.2 Ohjaus-laskentataulu'!A:AU,COLUMN('1.2 Ohjaus-laskentataulu'!AU:AU),FALSE),0)</f>
        <v>944544</v>
      </c>
      <c r="X47" s="235">
        <f>IFERROR(Vertailu[[#This Row],[Rahoitus ml. hark. kor. + alv 2023, €]]-Vertailu[[#This Row],[Rahoitus ml. hark. kor. + alv 2022, €]],0)</f>
        <v>51285</v>
      </c>
      <c r="Y47" s="230">
        <f>IFERROR(Vertailu[[#This Row],[Muutos, € 3]]/Vertailu[[#This Row],[Rahoitus ml. hark. kor. + alv 2022, €]],0)</f>
        <v>5.7413359395203409E-2</v>
      </c>
      <c r="Z47" s="228">
        <f>IFERROR(VLOOKUP(Vertailu[[#This Row],[Y-tunnus]],'Suoritepäätös 2022 oikaistu'!$B:$N,COLUMN('Suoritepäätös 2022 oikaistu'!G:G),FALSE),0)</f>
        <v>647937</v>
      </c>
      <c r="AA47" s="228">
        <f>IFERROR(VLOOKUP(Vertailu[[#This Row],[Y-tunnus]],'1.2 Ohjaus-laskentataulu'!A:AU,COLUMN('1.2 Ohjaus-laskentataulu'!AP:AP),FALSE),0)</f>
        <v>699144</v>
      </c>
      <c r="AB47" s="228">
        <f>Vertailu[[#This Row],[Perusrahoitus 2023, €]]-Vertailu[[#This Row],[Perusrahoitus 2022, €]]</f>
        <v>51207</v>
      </c>
      <c r="AC47" s="230">
        <f>IFERROR(Vertailu[[#This Row],[Perusrahoituksen muutos, €]]/Vertailu[[#This Row],[Perusrahoitus 2022, €]],0)</f>
        <v>7.9030831701230209E-2</v>
      </c>
      <c r="AD47" s="228">
        <f>IFERROR(VLOOKUP(Vertailu[[#This Row],[Y-tunnus]],'Suoritepäätös 2022 oikaistu'!$B:$N,COLUMN('Suoritepäätös 2022 oikaistu'!M:M),FALSE),0)</f>
        <v>172496</v>
      </c>
      <c r="AE47" s="228">
        <f>IFERROR(VLOOKUP(Vertailu[[#This Row],[Y-tunnus]],'1.2 Ohjaus-laskentataulu'!A:AU,COLUMN('1.2 Ohjaus-laskentataulu'!O:O),FALSE),0)</f>
        <v>149982</v>
      </c>
      <c r="AF47" s="228">
        <f>Vertailu[[#This Row],[Suoritusrahoitus 2023, €]]-Vertailu[[#This Row],[Suoritusrahoitus 2022, €]]</f>
        <v>-22514</v>
      </c>
      <c r="AG47" s="230">
        <f>IFERROR(Vertailu[[#This Row],[Suoritusrahoituksen muutos, €]]/Vertailu[[#This Row],[Suoritusrahoitus 2022, €]],0)</f>
        <v>-0.13051896855579259</v>
      </c>
      <c r="AH47" s="228">
        <f>IFERROR(VLOOKUP(Vertailu[[#This Row],[Y-tunnus]],'Suoritepäätös 2022 oikaistu'!$Q:$AC,COLUMN('Suoritepäätös 2022 oikaistu'!K:K),FALSE),0)</f>
        <v>46630</v>
      </c>
      <c r="AI47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63138</v>
      </c>
      <c r="AJ47" s="228">
        <f>Vertailu[[#This Row],[Vaikuttavuusrahoitus 2023, €]]-Vertailu[[#This Row],[Vaikuttavuusrahoitus 2022, €]]</f>
        <v>16508</v>
      </c>
      <c r="AK47" s="230">
        <f>IFERROR(Vertailu[[#This Row],[Vaikuttavuusrahoituksen muutos, €]]/Vertailu[[#This Row],[Vaikuttavuusrahoitus 2022, €]],0)</f>
        <v>0.35402101651297446</v>
      </c>
    </row>
    <row r="48" spans="1:37" s="5" customFormat="1" ht="12.75" customHeight="1" x14ac:dyDescent="0.35">
      <c r="A48" s="7" t="s">
        <v>288</v>
      </c>
      <c r="B48" s="188" t="s">
        <v>50</v>
      </c>
      <c r="C48" s="188" t="s">
        <v>232</v>
      </c>
      <c r="D48" s="11" t="s">
        <v>336</v>
      </c>
      <c r="E48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0.69437391086010669</v>
      </c>
      <c r="F48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0.69557313586094982</v>
      </c>
      <c r="G48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0.19808813554240573</v>
      </c>
      <c r="H48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0.10633872859664442</v>
      </c>
      <c r="I48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7.3859855568338961E-2</v>
      </c>
      <c r="J48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4.5913453430720397E-3</v>
      </c>
      <c r="K48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1.1494421729957014E-2</v>
      </c>
      <c r="L48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1.1561765708910616E-2</v>
      </c>
      <c r="M48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4.8313402463657862E-3</v>
      </c>
      <c r="N48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24233855</v>
      </c>
      <c r="O48" s="228">
        <f>IFERROR(VLOOKUP(Vertailu[[#This Row],[Y-tunnus]],'1.2 Ohjaus-laskentataulu'!A:AU,COLUMN('1.2 Ohjaus-laskentataulu'!AF:AF),FALSE),0)</f>
        <v>26651900</v>
      </c>
      <c r="P48" s="228">
        <f>IFERROR(Vertailu[[#This Row],[Rahoitus pl. hark. kor. 2023 ilman alv, €]]-Vertailu[[#This Row],[Rahoitus pl. hark. kor. 2022 ilman alv, €]],0)</f>
        <v>2418045</v>
      </c>
      <c r="Q48" s="230">
        <f>IFERROR(Vertailu[[#This Row],[Muutos, € 1]]/Vertailu[[#This Row],[Rahoitus pl. hark. kor. 2022 ilman alv, €]],0)</f>
        <v>9.9779626477091654E-2</v>
      </c>
      <c r="R48" s="233">
        <f>IFERROR(VLOOKUP(Vertailu[[#This Row],[Y-tunnus]],'Suoritepäätös 2022 oikaistu'!$Q:$AC,COLUMN('Suoritepäätös 2022 oikaistu'!L:L),FALSE),0)</f>
        <v>24233855</v>
      </c>
      <c r="S48" s="234">
        <f>IFERROR(VLOOKUP(Vertailu[[#This Row],[Y-tunnus]],'1.2 Ohjaus-laskentataulu'!A:AU,COLUMN('1.2 Ohjaus-laskentataulu'!AS:AS),FALSE),0)</f>
        <v>26683900</v>
      </c>
      <c r="T48" s="228">
        <f>IFERROR(Vertailu[[#This Row],[Rahoitus ml. hark. kor. 
2023 ilman alv, €]]-Vertailu[[#This Row],[Rahoitus ml. hark. kor. 
2022 ilman alv, €]],0)</f>
        <v>2450045</v>
      </c>
      <c r="U48" s="232">
        <f>IFERROR(Vertailu[[#This Row],[Muutos, € 2]]/Vertailu[[#This Row],[Rahoitus ml. hark. kor. 
2022 ilman alv, €]],0)</f>
        <v>0.10110009323733266</v>
      </c>
      <c r="V48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24233855</v>
      </c>
      <c r="W48" s="233">
        <f>IFERROR(VLOOKUP(Vertailu[[#This Row],[Y-tunnus]],'1.2 Ohjaus-laskentataulu'!A:AU,COLUMN('1.2 Ohjaus-laskentataulu'!AU:AU),FALSE),0)</f>
        <v>26683900</v>
      </c>
      <c r="X48" s="235">
        <f>IFERROR(Vertailu[[#This Row],[Rahoitus ml. hark. kor. + alv 2023, €]]-Vertailu[[#This Row],[Rahoitus ml. hark. kor. + alv 2022, €]],0)</f>
        <v>2450045</v>
      </c>
      <c r="Y48" s="230">
        <f>IFERROR(Vertailu[[#This Row],[Muutos, € 3]]/Vertailu[[#This Row],[Rahoitus ml. hark. kor. + alv 2022, €]],0)</f>
        <v>0.10110009323733266</v>
      </c>
      <c r="Z48" s="228">
        <f>IFERROR(VLOOKUP(Vertailu[[#This Row],[Y-tunnus]],'Suoritepäätös 2022 oikaistu'!$B:$N,COLUMN('Suoritepäätös 2022 oikaistu'!G:G),FALSE),0)</f>
        <v>16511090</v>
      </c>
      <c r="AA48" s="228">
        <f>IFERROR(VLOOKUP(Vertailu[[#This Row],[Y-tunnus]],'1.2 Ohjaus-laskentataulu'!A:AU,COLUMN('1.2 Ohjaus-laskentataulu'!AP:AP),FALSE),0)</f>
        <v>18560604</v>
      </c>
      <c r="AB48" s="228">
        <f>Vertailu[[#This Row],[Perusrahoitus 2023, €]]-Vertailu[[#This Row],[Perusrahoitus 2022, €]]</f>
        <v>2049514</v>
      </c>
      <c r="AC48" s="230">
        <f>IFERROR(Vertailu[[#This Row],[Perusrahoituksen muutos, €]]/Vertailu[[#This Row],[Perusrahoitus 2022, €]],0)</f>
        <v>0.12412953960035346</v>
      </c>
      <c r="AD48" s="228">
        <f>IFERROR(VLOOKUP(Vertailu[[#This Row],[Y-tunnus]],'Suoritepäätös 2022 oikaistu'!$B:$N,COLUMN('Suoritepäätös 2022 oikaistu'!M:M),FALSE),0)</f>
        <v>5006918</v>
      </c>
      <c r="AE48" s="228">
        <f>IFERROR(VLOOKUP(Vertailu[[#This Row],[Y-tunnus]],'1.2 Ohjaus-laskentataulu'!A:AU,COLUMN('1.2 Ohjaus-laskentataulu'!O:O),FALSE),0)</f>
        <v>5285764</v>
      </c>
      <c r="AF48" s="228">
        <f>Vertailu[[#This Row],[Suoritusrahoitus 2023, €]]-Vertailu[[#This Row],[Suoritusrahoitus 2022, €]]</f>
        <v>278846</v>
      </c>
      <c r="AG48" s="230">
        <f>IFERROR(Vertailu[[#This Row],[Suoritusrahoituksen muutos, €]]/Vertailu[[#This Row],[Suoritusrahoitus 2022, €]],0)</f>
        <v>5.5692144349078612E-2</v>
      </c>
      <c r="AH48" s="228">
        <f>IFERROR(VLOOKUP(Vertailu[[#This Row],[Y-tunnus]],'Suoritepäätös 2022 oikaistu'!$Q:$AC,COLUMN('Suoritepäätös 2022 oikaistu'!K:K),FALSE),0)</f>
        <v>2715847</v>
      </c>
      <c r="AI48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2837532</v>
      </c>
      <c r="AJ48" s="228">
        <f>Vertailu[[#This Row],[Vaikuttavuusrahoitus 2023, €]]-Vertailu[[#This Row],[Vaikuttavuusrahoitus 2022, €]]</f>
        <v>121685</v>
      </c>
      <c r="AK48" s="230">
        <f>IFERROR(Vertailu[[#This Row],[Vaikuttavuusrahoituksen muutos, €]]/Vertailu[[#This Row],[Vaikuttavuusrahoitus 2022, €]],0)</f>
        <v>4.4805543169405347E-2</v>
      </c>
    </row>
    <row r="49" spans="1:37" s="5" customFormat="1" ht="12.75" customHeight="1" x14ac:dyDescent="0.35">
      <c r="A49" s="7" t="s">
        <v>277</v>
      </c>
      <c r="B49" s="188" t="s">
        <v>454</v>
      </c>
      <c r="C49" s="188" t="s">
        <v>275</v>
      </c>
      <c r="D49" s="11" t="s">
        <v>337</v>
      </c>
      <c r="E49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0.62124627108550068</v>
      </c>
      <c r="F49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0.62124627108550068</v>
      </c>
      <c r="G49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0.30035638226758515</v>
      </c>
      <c r="H49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7.8397346646914168E-2</v>
      </c>
      <c r="I49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6.7380421527703696E-2</v>
      </c>
      <c r="J49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2.3700298583248817E-3</v>
      </c>
      <c r="K49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8.6468952608855943E-3</v>
      </c>
      <c r="L49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0</v>
      </c>
      <c r="M49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0</v>
      </c>
      <c r="N49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682788</v>
      </c>
      <c r="O49" s="228">
        <f>IFERROR(VLOOKUP(Vertailu[[#This Row],[Y-tunnus]],'1.2 Ohjaus-laskentataulu'!A:AU,COLUMN('1.2 Ohjaus-laskentataulu'!AF:AF),FALSE),0)</f>
        <v>740497</v>
      </c>
      <c r="P49" s="228">
        <f>IFERROR(Vertailu[[#This Row],[Rahoitus pl. hark. kor. 2023 ilman alv, €]]-Vertailu[[#This Row],[Rahoitus pl. hark. kor. 2022 ilman alv, €]],0)</f>
        <v>57709</v>
      </c>
      <c r="Q49" s="230">
        <f>IFERROR(Vertailu[[#This Row],[Muutos, € 1]]/Vertailu[[#This Row],[Rahoitus pl. hark. kor. 2022 ilman alv, €]],0)</f>
        <v>8.4519645922306777E-2</v>
      </c>
      <c r="R49" s="233">
        <f>IFERROR(VLOOKUP(Vertailu[[#This Row],[Y-tunnus]],'Suoritepäätös 2022 oikaistu'!$Q:$AC,COLUMN('Suoritepäätös 2022 oikaistu'!L:L),FALSE),0)</f>
        <v>682788</v>
      </c>
      <c r="S49" s="234">
        <f>IFERROR(VLOOKUP(Vertailu[[#This Row],[Y-tunnus]],'1.2 Ohjaus-laskentataulu'!A:AU,COLUMN('1.2 Ohjaus-laskentataulu'!AS:AS),FALSE),0)</f>
        <v>740497</v>
      </c>
      <c r="T49" s="228">
        <f>IFERROR(Vertailu[[#This Row],[Rahoitus ml. hark. kor. 
2023 ilman alv, €]]-Vertailu[[#This Row],[Rahoitus ml. hark. kor. 
2022 ilman alv, €]],0)</f>
        <v>57709</v>
      </c>
      <c r="U49" s="232">
        <f>IFERROR(Vertailu[[#This Row],[Muutos, € 2]]/Vertailu[[#This Row],[Rahoitus ml. hark. kor. 
2022 ilman alv, €]],0)</f>
        <v>8.4519645922306777E-2</v>
      </c>
      <c r="V49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695690</v>
      </c>
      <c r="W49" s="233">
        <f>IFERROR(VLOOKUP(Vertailu[[#This Row],[Y-tunnus]],'1.2 Ohjaus-laskentataulu'!A:AU,COLUMN('1.2 Ohjaus-laskentataulu'!AU:AU),FALSE),0)</f>
        <v>754009</v>
      </c>
      <c r="X49" s="235">
        <f>IFERROR(Vertailu[[#This Row],[Rahoitus ml. hark. kor. + alv 2023, €]]-Vertailu[[#This Row],[Rahoitus ml. hark. kor. + alv 2022, €]],0)</f>
        <v>58319</v>
      </c>
      <c r="Y49" s="230">
        <f>IFERROR(Vertailu[[#This Row],[Muutos, € 3]]/Vertailu[[#This Row],[Rahoitus ml. hark. kor. + alv 2022, €]],0)</f>
        <v>8.3829004297891307E-2</v>
      </c>
      <c r="Z49" s="228">
        <f>IFERROR(VLOOKUP(Vertailu[[#This Row],[Y-tunnus]],'Suoritepäätös 2022 oikaistu'!$B:$N,COLUMN('Suoritepäätös 2022 oikaistu'!G:G),FALSE),0)</f>
        <v>429922</v>
      </c>
      <c r="AA49" s="228">
        <f>IFERROR(VLOOKUP(Vertailu[[#This Row],[Y-tunnus]],'1.2 Ohjaus-laskentataulu'!A:AU,COLUMN('1.2 Ohjaus-laskentataulu'!AP:AP),FALSE),0)</f>
        <v>460031</v>
      </c>
      <c r="AB49" s="228">
        <f>Vertailu[[#This Row],[Perusrahoitus 2023, €]]-Vertailu[[#This Row],[Perusrahoitus 2022, €]]</f>
        <v>30109</v>
      </c>
      <c r="AC49" s="230">
        <f>IFERROR(Vertailu[[#This Row],[Perusrahoituksen muutos, €]]/Vertailu[[#This Row],[Perusrahoitus 2022, €]],0)</f>
        <v>7.0033634008029366E-2</v>
      </c>
      <c r="AD49" s="228">
        <f>IFERROR(VLOOKUP(Vertailu[[#This Row],[Y-tunnus]],'Suoritepäätös 2022 oikaistu'!$B:$N,COLUMN('Suoritepäätös 2022 oikaistu'!M:M),FALSE),0)</f>
        <v>193009</v>
      </c>
      <c r="AE49" s="228">
        <f>IFERROR(VLOOKUP(Vertailu[[#This Row],[Y-tunnus]],'1.2 Ohjaus-laskentataulu'!A:AU,COLUMN('1.2 Ohjaus-laskentataulu'!O:O),FALSE),0)</f>
        <v>222413</v>
      </c>
      <c r="AF49" s="228">
        <f>Vertailu[[#This Row],[Suoritusrahoitus 2023, €]]-Vertailu[[#This Row],[Suoritusrahoitus 2022, €]]</f>
        <v>29404</v>
      </c>
      <c r="AG49" s="230">
        <f>IFERROR(Vertailu[[#This Row],[Suoritusrahoituksen muutos, €]]/Vertailu[[#This Row],[Suoritusrahoitus 2022, €]],0)</f>
        <v>0.15234522742462786</v>
      </c>
      <c r="AH49" s="228">
        <f>IFERROR(VLOOKUP(Vertailu[[#This Row],[Y-tunnus]],'Suoritepäätös 2022 oikaistu'!$Q:$AC,COLUMN('Suoritepäätös 2022 oikaistu'!K:K),FALSE),0)</f>
        <v>59857</v>
      </c>
      <c r="AI49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58053</v>
      </c>
      <c r="AJ49" s="228">
        <f>Vertailu[[#This Row],[Vaikuttavuusrahoitus 2023, €]]-Vertailu[[#This Row],[Vaikuttavuusrahoitus 2022, €]]</f>
        <v>-1804</v>
      </c>
      <c r="AK49" s="230">
        <f>IFERROR(Vertailu[[#This Row],[Vaikuttavuusrahoituksen muutos, €]]/Vertailu[[#This Row],[Vaikuttavuusrahoitus 2022, €]],0)</f>
        <v>-3.0138496750588904E-2</v>
      </c>
    </row>
    <row r="50" spans="1:37" s="5" customFormat="1" ht="12.75" customHeight="1" x14ac:dyDescent="0.35">
      <c r="A50" s="7" t="s">
        <v>276</v>
      </c>
      <c r="B50" s="188" t="s">
        <v>52</v>
      </c>
      <c r="C50" s="188" t="s">
        <v>275</v>
      </c>
      <c r="D50" s="11" t="s">
        <v>336</v>
      </c>
      <c r="E50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0.65423948332138959</v>
      </c>
      <c r="F50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0.65542718701257263</v>
      </c>
      <c r="G50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0.21648940918367501</v>
      </c>
      <c r="H50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0.12808340380375235</v>
      </c>
      <c r="I50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7.5730644055455515E-2</v>
      </c>
      <c r="J50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3.6201833614464881E-3</v>
      </c>
      <c r="K50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1.1740482242704624E-2</v>
      </c>
      <c r="L50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2.2457038882168292E-2</v>
      </c>
      <c r="M50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1.4535055261977429E-2</v>
      </c>
      <c r="N50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28625370</v>
      </c>
      <c r="O50" s="228">
        <f>IFERROR(VLOOKUP(Vertailu[[#This Row],[Y-tunnus]],'1.2 Ohjaus-laskentataulu'!A:AU,COLUMN('1.2 Ohjaus-laskentataulu'!AF:AF),FALSE),0)</f>
        <v>31956512</v>
      </c>
      <c r="P50" s="228">
        <f>IFERROR(Vertailu[[#This Row],[Rahoitus pl. hark. kor. 2023 ilman alv, €]]-Vertailu[[#This Row],[Rahoitus pl. hark. kor. 2022 ilman alv, €]],0)</f>
        <v>3331142</v>
      </c>
      <c r="Q50" s="230">
        <f>IFERROR(Vertailu[[#This Row],[Muutos, € 1]]/Vertailu[[#This Row],[Rahoitus pl. hark. kor. 2022 ilman alv, €]],0)</f>
        <v>0.11637026875111134</v>
      </c>
      <c r="R50" s="233">
        <f>IFERROR(VLOOKUP(Vertailu[[#This Row],[Y-tunnus]],'Suoritepäätös 2022 oikaistu'!$Q:$AC,COLUMN('Suoritepäätös 2022 oikaistu'!L:L),FALSE),0)</f>
        <v>28675370</v>
      </c>
      <c r="S50" s="234">
        <f>IFERROR(VLOOKUP(Vertailu[[#This Row],[Y-tunnus]],'1.2 Ohjaus-laskentataulu'!A:AU,COLUMN('1.2 Ohjaus-laskentataulu'!AS:AS),FALSE),0)</f>
        <v>31994512</v>
      </c>
      <c r="T50" s="228">
        <f>IFERROR(Vertailu[[#This Row],[Rahoitus ml. hark. kor. 
2023 ilman alv, €]]-Vertailu[[#This Row],[Rahoitus ml. hark. kor. 
2022 ilman alv, €]],0)</f>
        <v>3319142</v>
      </c>
      <c r="U50" s="232">
        <f>IFERROR(Vertailu[[#This Row],[Muutos, € 2]]/Vertailu[[#This Row],[Rahoitus ml. hark. kor. 
2022 ilman alv, €]],0)</f>
        <v>0.11574888135706705</v>
      </c>
      <c r="V50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28675370</v>
      </c>
      <c r="W50" s="233">
        <f>IFERROR(VLOOKUP(Vertailu[[#This Row],[Y-tunnus]],'1.2 Ohjaus-laskentataulu'!A:AU,COLUMN('1.2 Ohjaus-laskentataulu'!AU:AU),FALSE),0)</f>
        <v>31994512</v>
      </c>
      <c r="X50" s="235">
        <f>IFERROR(Vertailu[[#This Row],[Rahoitus ml. hark. kor. + alv 2023, €]]-Vertailu[[#This Row],[Rahoitus ml. hark. kor. + alv 2022, €]],0)</f>
        <v>3319142</v>
      </c>
      <c r="Y50" s="230">
        <f>IFERROR(Vertailu[[#This Row],[Muutos, € 3]]/Vertailu[[#This Row],[Rahoitus ml. hark. kor. + alv 2022, €]],0)</f>
        <v>0.11574888135706705</v>
      </c>
      <c r="Z50" s="228">
        <f>IFERROR(VLOOKUP(Vertailu[[#This Row],[Y-tunnus]],'Suoritepäätös 2022 oikaistu'!$B:$N,COLUMN('Suoritepäätös 2022 oikaistu'!G:G),FALSE),0)</f>
        <v>19048410</v>
      </c>
      <c r="AA50" s="228">
        <f>IFERROR(VLOOKUP(Vertailu[[#This Row],[Y-tunnus]],'1.2 Ohjaus-laskentataulu'!A:AU,COLUMN('1.2 Ohjaus-laskentataulu'!AP:AP),FALSE),0)</f>
        <v>20970073</v>
      </c>
      <c r="AB50" s="228">
        <f>Vertailu[[#This Row],[Perusrahoitus 2023, €]]-Vertailu[[#This Row],[Perusrahoitus 2022, €]]</f>
        <v>1921663</v>
      </c>
      <c r="AC50" s="230">
        <f>IFERROR(Vertailu[[#This Row],[Perusrahoituksen muutos, €]]/Vertailu[[#This Row],[Perusrahoitus 2022, €]],0)</f>
        <v>0.10088311832851141</v>
      </c>
      <c r="AD50" s="228">
        <f>IFERROR(VLOOKUP(Vertailu[[#This Row],[Y-tunnus]],'Suoritepäätös 2022 oikaistu'!$B:$N,COLUMN('Suoritepäätös 2022 oikaistu'!M:M),FALSE),0)</f>
        <v>6618632</v>
      </c>
      <c r="AE50" s="228">
        <f>IFERROR(VLOOKUP(Vertailu[[#This Row],[Y-tunnus]],'1.2 Ohjaus-laskentataulu'!A:AU,COLUMN('1.2 Ohjaus-laskentataulu'!O:O),FALSE),0)</f>
        <v>6926473</v>
      </c>
      <c r="AF50" s="228">
        <f>Vertailu[[#This Row],[Suoritusrahoitus 2023, €]]-Vertailu[[#This Row],[Suoritusrahoitus 2022, €]]</f>
        <v>307841</v>
      </c>
      <c r="AG50" s="230">
        <f>IFERROR(Vertailu[[#This Row],[Suoritusrahoituksen muutos, €]]/Vertailu[[#This Row],[Suoritusrahoitus 2022, €]],0)</f>
        <v>4.6511273024395373E-2</v>
      </c>
      <c r="AH50" s="228">
        <f>IFERROR(VLOOKUP(Vertailu[[#This Row],[Y-tunnus]],'Suoritepäätös 2022 oikaistu'!$Q:$AC,COLUMN('Suoritepäätös 2022 oikaistu'!K:K),FALSE),0)</f>
        <v>3008328</v>
      </c>
      <c r="AI50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4097966</v>
      </c>
      <c r="AJ50" s="228">
        <f>Vertailu[[#This Row],[Vaikuttavuusrahoitus 2023, €]]-Vertailu[[#This Row],[Vaikuttavuusrahoitus 2022, €]]</f>
        <v>1089638</v>
      </c>
      <c r="AK50" s="230">
        <f>IFERROR(Vertailu[[#This Row],[Vaikuttavuusrahoituksen muutos, €]]/Vertailu[[#This Row],[Vaikuttavuusrahoitus 2022, €]],0)</f>
        <v>0.36220717953627396</v>
      </c>
    </row>
    <row r="51" spans="1:37" s="5" customFormat="1" ht="12.75" customHeight="1" x14ac:dyDescent="0.35">
      <c r="A51" s="7" t="s">
        <v>270</v>
      </c>
      <c r="B51" s="188" t="s">
        <v>53</v>
      </c>
      <c r="C51" s="188" t="s">
        <v>180</v>
      </c>
      <c r="D51" s="11" t="s">
        <v>336</v>
      </c>
      <c r="E51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0.68910879941533676</v>
      </c>
      <c r="F51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0.69023862122933077</v>
      </c>
      <c r="G51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0.21296279516350095</v>
      </c>
      <c r="H51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9.679858360716824E-2</v>
      </c>
      <c r="I51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7.3237641041117851E-2</v>
      </c>
      <c r="J51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4.6338210593332855E-3</v>
      </c>
      <c r="K51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1.2505892209063615E-2</v>
      </c>
      <c r="L51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4.6968801808450044E-3</v>
      </c>
      <c r="M51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1.7243491168084963E-3</v>
      </c>
      <c r="N51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62464879</v>
      </c>
      <c r="O51" s="228">
        <f>IFERROR(VLOOKUP(Vertailu[[#This Row],[Y-tunnus]],'1.2 Ohjaus-laskentataulu'!A:AU,COLUMN('1.2 Ohjaus-laskentataulu'!AF:AF),FALSE),0)</f>
        <v>66307149</v>
      </c>
      <c r="P51" s="228">
        <f>IFERROR(Vertailu[[#This Row],[Rahoitus pl. hark. kor. 2023 ilman alv, €]]-Vertailu[[#This Row],[Rahoitus pl. hark. kor. 2022 ilman alv, €]],0)</f>
        <v>3842270</v>
      </c>
      <c r="Q51" s="230">
        <f>IFERROR(Vertailu[[#This Row],[Muutos, € 1]]/Vertailu[[#This Row],[Rahoitus pl. hark. kor. 2022 ilman alv, €]],0)</f>
        <v>6.1510885180774945E-2</v>
      </c>
      <c r="R51" s="233">
        <f>IFERROR(VLOOKUP(Vertailu[[#This Row],[Y-tunnus]],'Suoritepäätös 2022 oikaistu'!$Q:$AC,COLUMN('Suoritepäätös 2022 oikaistu'!L:L),FALSE),0)</f>
        <v>62494879</v>
      </c>
      <c r="S51" s="234">
        <f>IFERROR(VLOOKUP(Vertailu[[#This Row],[Y-tunnus]],'1.2 Ohjaus-laskentataulu'!A:AU,COLUMN('1.2 Ohjaus-laskentataulu'!AS:AS),FALSE),0)</f>
        <v>66382149</v>
      </c>
      <c r="T51" s="228">
        <f>IFERROR(Vertailu[[#This Row],[Rahoitus ml. hark. kor. 
2023 ilman alv, €]]-Vertailu[[#This Row],[Rahoitus ml. hark. kor. 
2022 ilman alv, €]],0)</f>
        <v>3887270</v>
      </c>
      <c r="U51" s="232">
        <f>IFERROR(Vertailu[[#This Row],[Muutos, € 2]]/Vertailu[[#This Row],[Rahoitus ml. hark. kor. 
2022 ilman alv, €]],0)</f>
        <v>6.220141653526523E-2</v>
      </c>
      <c r="V51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62494879</v>
      </c>
      <c r="W51" s="233">
        <f>IFERROR(VLOOKUP(Vertailu[[#This Row],[Y-tunnus]],'1.2 Ohjaus-laskentataulu'!A:AU,COLUMN('1.2 Ohjaus-laskentataulu'!AU:AU),FALSE),0)</f>
        <v>66382149</v>
      </c>
      <c r="X51" s="235">
        <f>IFERROR(Vertailu[[#This Row],[Rahoitus ml. hark. kor. + alv 2023, €]]-Vertailu[[#This Row],[Rahoitus ml. hark. kor. + alv 2022, €]],0)</f>
        <v>3887270</v>
      </c>
      <c r="Y51" s="230">
        <f>IFERROR(Vertailu[[#This Row],[Muutos, € 3]]/Vertailu[[#This Row],[Rahoitus ml. hark. kor. + alv 2022, €]],0)</f>
        <v>6.220141653526523E-2</v>
      </c>
      <c r="Z51" s="228">
        <f>IFERROR(VLOOKUP(Vertailu[[#This Row],[Y-tunnus]],'Suoritepäätös 2022 oikaistu'!$B:$N,COLUMN('Suoritepäätös 2022 oikaistu'!G:G),FALSE),0)</f>
        <v>42388943</v>
      </c>
      <c r="AA51" s="228">
        <f>IFERROR(VLOOKUP(Vertailu[[#This Row],[Y-tunnus]],'1.2 Ohjaus-laskentataulu'!A:AU,COLUMN('1.2 Ohjaus-laskentataulu'!AP:AP),FALSE),0)</f>
        <v>45819523</v>
      </c>
      <c r="AB51" s="228">
        <f>Vertailu[[#This Row],[Perusrahoitus 2023, €]]-Vertailu[[#This Row],[Perusrahoitus 2022, €]]</f>
        <v>3430580</v>
      </c>
      <c r="AC51" s="230">
        <f>IFERROR(Vertailu[[#This Row],[Perusrahoituksen muutos, €]]/Vertailu[[#This Row],[Perusrahoitus 2022, €]],0)</f>
        <v>8.0931010711920798E-2</v>
      </c>
      <c r="AD51" s="228">
        <f>IFERROR(VLOOKUP(Vertailu[[#This Row],[Y-tunnus]],'Suoritepäätös 2022 oikaistu'!$B:$N,COLUMN('Suoritepäätös 2022 oikaistu'!M:M),FALSE),0)</f>
        <v>13470411</v>
      </c>
      <c r="AE51" s="228">
        <f>IFERROR(VLOOKUP(Vertailu[[#This Row],[Y-tunnus]],'1.2 Ohjaus-laskentataulu'!A:AU,COLUMN('1.2 Ohjaus-laskentataulu'!O:O),FALSE),0)</f>
        <v>14136928</v>
      </c>
      <c r="AF51" s="228">
        <f>Vertailu[[#This Row],[Suoritusrahoitus 2023, €]]-Vertailu[[#This Row],[Suoritusrahoitus 2022, €]]</f>
        <v>666517</v>
      </c>
      <c r="AG51" s="230">
        <f>IFERROR(Vertailu[[#This Row],[Suoritusrahoituksen muutos, €]]/Vertailu[[#This Row],[Suoritusrahoitus 2022, €]],0)</f>
        <v>4.9480078967152522E-2</v>
      </c>
      <c r="AH51" s="228">
        <f>IFERROR(VLOOKUP(Vertailu[[#This Row],[Y-tunnus]],'Suoritepäätös 2022 oikaistu'!$Q:$AC,COLUMN('Suoritepäätös 2022 oikaistu'!K:K),FALSE),0)</f>
        <v>6635525</v>
      </c>
      <c r="AI51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6425698</v>
      </c>
      <c r="AJ51" s="228">
        <f>Vertailu[[#This Row],[Vaikuttavuusrahoitus 2023, €]]-Vertailu[[#This Row],[Vaikuttavuusrahoitus 2022, €]]</f>
        <v>-209827</v>
      </c>
      <c r="AK51" s="230">
        <f>IFERROR(Vertailu[[#This Row],[Vaikuttavuusrahoituksen muutos, €]]/Vertailu[[#This Row],[Vaikuttavuusrahoitus 2022, €]],0)</f>
        <v>-3.1621763161166598E-2</v>
      </c>
    </row>
    <row r="52" spans="1:37" s="5" customFormat="1" ht="12.75" customHeight="1" x14ac:dyDescent="0.35">
      <c r="A52" s="7" t="s">
        <v>287</v>
      </c>
      <c r="B52" s="188" t="s">
        <v>54</v>
      </c>
      <c r="C52" s="188" t="s">
        <v>180</v>
      </c>
      <c r="D52" s="11" t="s">
        <v>337</v>
      </c>
      <c r="E52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0.75553174664740474</v>
      </c>
      <c r="F52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0.75553174664740474</v>
      </c>
      <c r="G52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0.16238993061887411</v>
      </c>
      <c r="H52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8.2078322733721149E-2</v>
      </c>
      <c r="I52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4.7408473001957198E-2</v>
      </c>
      <c r="J52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5.882145092370757E-3</v>
      </c>
      <c r="K52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2.8787704639393192E-2</v>
      </c>
      <c r="L52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0</v>
      </c>
      <c r="M52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0</v>
      </c>
      <c r="N52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2295632</v>
      </c>
      <c r="O52" s="228">
        <f>IFERROR(VLOOKUP(Vertailu[[#This Row],[Y-tunnus]],'1.2 Ohjaus-laskentataulu'!A:AU,COLUMN('1.2 Ohjaus-laskentataulu'!AF:AF),FALSE),0)</f>
        <v>2462197</v>
      </c>
      <c r="P52" s="228">
        <f>IFERROR(Vertailu[[#This Row],[Rahoitus pl. hark. kor. 2023 ilman alv, €]]-Vertailu[[#This Row],[Rahoitus pl. hark. kor. 2022 ilman alv, €]],0)</f>
        <v>166565</v>
      </c>
      <c r="Q52" s="230">
        <f>IFERROR(Vertailu[[#This Row],[Muutos, € 1]]/Vertailu[[#This Row],[Rahoitus pl. hark. kor. 2022 ilman alv, €]],0)</f>
        <v>7.255736111014309E-2</v>
      </c>
      <c r="R52" s="233">
        <f>IFERROR(VLOOKUP(Vertailu[[#This Row],[Y-tunnus]],'Suoritepäätös 2022 oikaistu'!$Q:$AC,COLUMN('Suoritepäätös 2022 oikaistu'!L:L),FALSE),0)</f>
        <v>2295632</v>
      </c>
      <c r="S52" s="234">
        <f>IFERROR(VLOOKUP(Vertailu[[#This Row],[Y-tunnus]],'1.2 Ohjaus-laskentataulu'!A:AU,COLUMN('1.2 Ohjaus-laskentataulu'!AS:AS),FALSE),0)</f>
        <v>2462197</v>
      </c>
      <c r="T52" s="228">
        <f>IFERROR(Vertailu[[#This Row],[Rahoitus ml. hark. kor. 
2023 ilman alv, €]]-Vertailu[[#This Row],[Rahoitus ml. hark. kor. 
2022 ilman alv, €]],0)</f>
        <v>166565</v>
      </c>
      <c r="U52" s="232">
        <f>IFERROR(Vertailu[[#This Row],[Muutos, € 2]]/Vertailu[[#This Row],[Rahoitus ml. hark. kor. 
2022 ilman alv, €]],0)</f>
        <v>7.255736111014309E-2</v>
      </c>
      <c r="V52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2660005</v>
      </c>
      <c r="W52" s="233">
        <f>IFERROR(VLOOKUP(Vertailu[[#This Row],[Y-tunnus]],'1.2 Ohjaus-laskentataulu'!A:AU,COLUMN('1.2 Ohjaus-laskentataulu'!AU:AU),FALSE),0)</f>
        <v>2885138</v>
      </c>
      <c r="X52" s="235">
        <f>IFERROR(Vertailu[[#This Row],[Rahoitus ml. hark. kor. + alv 2023, €]]-Vertailu[[#This Row],[Rahoitus ml. hark. kor. + alv 2022, €]],0)</f>
        <v>225133</v>
      </c>
      <c r="Y52" s="230">
        <f>IFERROR(Vertailu[[#This Row],[Muutos, € 3]]/Vertailu[[#This Row],[Rahoitus ml. hark. kor. + alv 2022, €]],0)</f>
        <v>8.4636307074610756E-2</v>
      </c>
      <c r="Z52" s="228">
        <f>IFERROR(VLOOKUP(Vertailu[[#This Row],[Y-tunnus]],'Suoritepäätös 2022 oikaistu'!$B:$N,COLUMN('Suoritepäätös 2022 oikaistu'!G:G),FALSE),0)</f>
        <v>1755109</v>
      </c>
      <c r="AA52" s="228">
        <f>IFERROR(VLOOKUP(Vertailu[[#This Row],[Y-tunnus]],'1.2 Ohjaus-laskentataulu'!A:AU,COLUMN('1.2 Ohjaus-laskentataulu'!AP:AP),FALSE),0)</f>
        <v>1860268</v>
      </c>
      <c r="AB52" s="228">
        <f>Vertailu[[#This Row],[Perusrahoitus 2023, €]]-Vertailu[[#This Row],[Perusrahoitus 2022, €]]</f>
        <v>105159</v>
      </c>
      <c r="AC52" s="230">
        <f>IFERROR(Vertailu[[#This Row],[Perusrahoituksen muutos, €]]/Vertailu[[#This Row],[Perusrahoitus 2022, €]],0)</f>
        <v>5.9915936844948094E-2</v>
      </c>
      <c r="AD52" s="228">
        <f>IFERROR(VLOOKUP(Vertailu[[#This Row],[Y-tunnus]],'Suoritepäätös 2022 oikaistu'!$B:$N,COLUMN('Suoritepäätös 2022 oikaistu'!M:M),FALSE),0)</f>
        <v>363547</v>
      </c>
      <c r="AE52" s="228">
        <f>IFERROR(VLOOKUP(Vertailu[[#This Row],[Y-tunnus]],'1.2 Ohjaus-laskentataulu'!A:AU,COLUMN('1.2 Ohjaus-laskentataulu'!O:O),FALSE),0)</f>
        <v>399836</v>
      </c>
      <c r="AF52" s="228">
        <f>Vertailu[[#This Row],[Suoritusrahoitus 2023, €]]-Vertailu[[#This Row],[Suoritusrahoitus 2022, €]]</f>
        <v>36289</v>
      </c>
      <c r="AG52" s="230">
        <f>IFERROR(Vertailu[[#This Row],[Suoritusrahoituksen muutos, €]]/Vertailu[[#This Row],[Suoritusrahoitus 2022, €]],0)</f>
        <v>9.9819280588204551E-2</v>
      </c>
      <c r="AH52" s="228">
        <f>IFERROR(VLOOKUP(Vertailu[[#This Row],[Y-tunnus]],'Suoritepäätös 2022 oikaistu'!$Q:$AC,COLUMN('Suoritepäätös 2022 oikaistu'!K:K),FALSE),0)</f>
        <v>176976</v>
      </c>
      <c r="AI52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202093</v>
      </c>
      <c r="AJ52" s="228">
        <f>Vertailu[[#This Row],[Vaikuttavuusrahoitus 2023, €]]-Vertailu[[#This Row],[Vaikuttavuusrahoitus 2022, €]]</f>
        <v>25117</v>
      </c>
      <c r="AK52" s="230">
        <f>IFERROR(Vertailu[[#This Row],[Vaikuttavuusrahoituksen muutos, €]]/Vertailu[[#This Row],[Vaikuttavuusrahoitus 2022, €]],0)</f>
        <v>0.14192319862580238</v>
      </c>
    </row>
    <row r="53" spans="1:37" s="5" customFormat="1" ht="12.75" customHeight="1" x14ac:dyDescent="0.35">
      <c r="A53" s="7" t="s">
        <v>286</v>
      </c>
      <c r="B53" s="188" t="s">
        <v>55</v>
      </c>
      <c r="C53" s="188" t="s">
        <v>265</v>
      </c>
      <c r="D53" s="11" t="s">
        <v>337</v>
      </c>
      <c r="E53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0.82967506790657175</v>
      </c>
      <c r="F53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0.830207244553962</v>
      </c>
      <c r="G53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0.15190057742829294</v>
      </c>
      <c r="H53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1.7892178017745099E-2</v>
      </c>
      <c r="I53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1.1578733622471558E-2</v>
      </c>
      <c r="J53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6.8617526472877863E-4</v>
      </c>
      <c r="K53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1.9227874880613652E-3</v>
      </c>
      <c r="L53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2.8658045072368541E-3</v>
      </c>
      <c r="M53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8.3867713524654163E-4</v>
      </c>
      <c r="N53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27761374</v>
      </c>
      <c r="O53" s="228">
        <f>IFERROR(VLOOKUP(Vertailu[[#This Row],[Y-tunnus]],'1.2 Ohjaus-laskentataulu'!A:AU,COLUMN('1.2 Ohjaus-laskentataulu'!AF:AF),FALSE),0)</f>
        <v>30049205</v>
      </c>
      <c r="P53" s="228">
        <f>IFERROR(Vertailu[[#This Row],[Rahoitus pl. hark. kor. 2023 ilman alv, €]]-Vertailu[[#This Row],[Rahoitus pl. hark. kor. 2022 ilman alv, €]],0)</f>
        <v>2287831</v>
      </c>
      <c r="Q53" s="230">
        <f>IFERROR(Vertailu[[#This Row],[Muutos, € 1]]/Vertailu[[#This Row],[Rahoitus pl. hark. kor. 2022 ilman alv, €]],0)</f>
        <v>8.2410582415697431E-2</v>
      </c>
      <c r="R53" s="233">
        <f>IFERROR(VLOOKUP(Vertailu[[#This Row],[Y-tunnus]],'Suoritepäätös 2022 oikaistu'!$Q:$AC,COLUMN('Suoritepäätös 2022 oikaistu'!L:L),FALSE),0)</f>
        <v>27761374</v>
      </c>
      <c r="S53" s="234">
        <f>IFERROR(VLOOKUP(Vertailu[[#This Row],[Y-tunnus]],'1.2 Ohjaus-laskentataulu'!A:AU,COLUMN('1.2 Ohjaus-laskentataulu'!AS:AS),FALSE),0)</f>
        <v>30065205</v>
      </c>
      <c r="T53" s="228">
        <f>IFERROR(Vertailu[[#This Row],[Rahoitus ml. hark. kor. 
2023 ilman alv, €]]-Vertailu[[#This Row],[Rahoitus ml. hark. kor. 
2022 ilman alv, €]],0)</f>
        <v>2303831</v>
      </c>
      <c r="U53" s="232">
        <f>IFERROR(Vertailu[[#This Row],[Muutos, € 2]]/Vertailu[[#This Row],[Rahoitus ml. hark. kor. 
2022 ilman alv, €]],0)</f>
        <v>8.2986922765422202E-2</v>
      </c>
      <c r="V53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29034487</v>
      </c>
      <c r="W53" s="233">
        <f>IFERROR(VLOOKUP(Vertailu[[#This Row],[Y-tunnus]],'1.2 Ohjaus-laskentataulu'!A:AU,COLUMN('1.2 Ohjaus-laskentataulu'!AU:AU),FALSE),0)</f>
        <v>31605365</v>
      </c>
      <c r="X53" s="235">
        <f>IFERROR(Vertailu[[#This Row],[Rahoitus ml. hark. kor. + alv 2023, €]]-Vertailu[[#This Row],[Rahoitus ml. hark. kor. + alv 2022, €]],0)</f>
        <v>2570878</v>
      </c>
      <c r="Y53" s="230">
        <f>IFERROR(Vertailu[[#This Row],[Muutos, € 3]]/Vertailu[[#This Row],[Rahoitus ml. hark. kor. + alv 2022, €]],0)</f>
        <v>8.8545666400098616E-2</v>
      </c>
      <c r="Z53" s="228">
        <f>IFERROR(VLOOKUP(Vertailu[[#This Row],[Y-tunnus]],'Suoritepäätös 2022 oikaistu'!$B:$N,COLUMN('Suoritepäätös 2022 oikaistu'!G:G),FALSE),0)</f>
        <v>22889695</v>
      </c>
      <c r="AA53" s="228">
        <f>IFERROR(VLOOKUP(Vertailu[[#This Row],[Y-tunnus]],'1.2 Ohjaus-laskentataulu'!A:AU,COLUMN('1.2 Ohjaus-laskentataulu'!AP:AP),FALSE),0)</f>
        <v>24960351</v>
      </c>
      <c r="AB53" s="228">
        <f>Vertailu[[#This Row],[Perusrahoitus 2023, €]]-Vertailu[[#This Row],[Perusrahoitus 2022, €]]</f>
        <v>2070656</v>
      </c>
      <c r="AC53" s="230">
        <f>IFERROR(Vertailu[[#This Row],[Perusrahoituksen muutos, €]]/Vertailu[[#This Row],[Perusrahoitus 2022, €]],0)</f>
        <v>9.0462367454000589E-2</v>
      </c>
      <c r="AD53" s="228">
        <f>IFERROR(VLOOKUP(Vertailu[[#This Row],[Y-tunnus]],'Suoritepäätös 2022 oikaistu'!$B:$N,COLUMN('Suoritepäätös 2022 oikaistu'!M:M),FALSE),0)</f>
        <v>4381999</v>
      </c>
      <c r="AE53" s="228">
        <f>IFERROR(VLOOKUP(Vertailu[[#This Row],[Y-tunnus]],'1.2 Ohjaus-laskentataulu'!A:AU,COLUMN('1.2 Ohjaus-laskentataulu'!O:O),FALSE),0)</f>
        <v>4566922</v>
      </c>
      <c r="AF53" s="228">
        <f>Vertailu[[#This Row],[Suoritusrahoitus 2023, €]]-Vertailu[[#This Row],[Suoritusrahoitus 2022, €]]</f>
        <v>184923</v>
      </c>
      <c r="AG53" s="230">
        <f>IFERROR(Vertailu[[#This Row],[Suoritusrahoituksen muutos, €]]/Vertailu[[#This Row],[Suoritusrahoitus 2022, €]],0)</f>
        <v>4.2200602966819482E-2</v>
      </c>
      <c r="AH53" s="228">
        <f>IFERROR(VLOOKUP(Vertailu[[#This Row],[Y-tunnus]],'Suoritepäätös 2022 oikaistu'!$Q:$AC,COLUMN('Suoritepäätös 2022 oikaistu'!K:K),FALSE),0)</f>
        <v>489680</v>
      </c>
      <c r="AI53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537932</v>
      </c>
      <c r="AJ53" s="228">
        <f>Vertailu[[#This Row],[Vaikuttavuusrahoitus 2023, €]]-Vertailu[[#This Row],[Vaikuttavuusrahoitus 2022, €]]</f>
        <v>48252</v>
      </c>
      <c r="AK53" s="230">
        <f>IFERROR(Vertailu[[#This Row],[Vaikuttavuusrahoituksen muutos, €]]/Vertailu[[#This Row],[Vaikuttavuusrahoitus 2022, €]],0)</f>
        <v>9.8537820617546151E-2</v>
      </c>
    </row>
    <row r="54" spans="1:37" s="5" customFormat="1" ht="12.75" customHeight="1" x14ac:dyDescent="0.35">
      <c r="A54" s="7" t="s">
        <v>285</v>
      </c>
      <c r="B54" s="188" t="s">
        <v>56</v>
      </c>
      <c r="C54" s="188" t="s">
        <v>180</v>
      </c>
      <c r="D54" s="11" t="s">
        <v>337</v>
      </c>
      <c r="E54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0.67424545301887939</v>
      </c>
      <c r="F54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0.67661613446279367</v>
      </c>
      <c r="G54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0.20289053801768697</v>
      </c>
      <c r="H54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0.12049332751951931</v>
      </c>
      <c r="I54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8.0499423557517949E-2</v>
      </c>
      <c r="J54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3.051292797502882E-3</v>
      </c>
      <c r="K54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1.5076348642573205E-2</v>
      </c>
      <c r="L54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1.7113610674839873E-2</v>
      </c>
      <c r="M54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4.7526518470854028E-3</v>
      </c>
      <c r="N54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16491701</v>
      </c>
      <c r="O54" s="228">
        <f>IFERROR(VLOOKUP(Vertailu[[#This Row],[Y-tunnus]],'1.2 Ohjaus-laskentataulu'!A:AU,COLUMN('1.2 Ohjaus-laskentataulu'!AF:AF),FALSE),0)</f>
        <v>17674425</v>
      </c>
      <c r="P54" s="228">
        <f>IFERROR(Vertailu[[#This Row],[Rahoitus pl. hark. kor. 2023 ilman alv, €]]-Vertailu[[#This Row],[Rahoitus pl. hark. kor. 2022 ilman alv, €]],0)</f>
        <v>1182724</v>
      </c>
      <c r="Q54" s="230">
        <f>IFERROR(Vertailu[[#This Row],[Muutos, € 1]]/Vertailu[[#This Row],[Rahoitus pl. hark. kor. 2022 ilman alv, €]],0)</f>
        <v>7.1716313556739839E-2</v>
      </c>
      <c r="R54" s="233">
        <f>IFERROR(VLOOKUP(Vertailu[[#This Row],[Y-tunnus]],'Suoritepäätös 2022 oikaistu'!$Q:$AC,COLUMN('Suoritepäätös 2022 oikaistu'!L:L),FALSE),0)</f>
        <v>16536701</v>
      </c>
      <c r="S54" s="234">
        <f>IFERROR(VLOOKUP(Vertailu[[#This Row],[Y-tunnus]],'1.2 Ohjaus-laskentataulu'!A:AU,COLUMN('1.2 Ohjaus-laskentataulu'!AS:AS),FALSE),0)</f>
        <v>17716425</v>
      </c>
      <c r="T54" s="228">
        <f>IFERROR(Vertailu[[#This Row],[Rahoitus ml. hark. kor. 
2023 ilman alv, €]]-Vertailu[[#This Row],[Rahoitus ml. hark. kor. 
2022 ilman alv, €]],0)</f>
        <v>1179724</v>
      </c>
      <c r="U54" s="232">
        <f>IFERROR(Vertailu[[#This Row],[Muutos, € 2]]/Vertailu[[#This Row],[Rahoitus ml. hark. kor. 
2022 ilman alv, €]],0)</f>
        <v>7.1339743035808659E-2</v>
      </c>
      <c r="V54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17083956</v>
      </c>
      <c r="W54" s="233">
        <f>IFERROR(VLOOKUP(Vertailu[[#This Row],[Y-tunnus]],'1.2 Ohjaus-laskentataulu'!A:AU,COLUMN('1.2 Ohjaus-laskentataulu'!AU:AU),FALSE),0)</f>
        <v>18542366</v>
      </c>
      <c r="X54" s="235">
        <f>IFERROR(Vertailu[[#This Row],[Rahoitus ml. hark. kor. + alv 2023, €]]-Vertailu[[#This Row],[Rahoitus ml. hark. kor. + alv 2022, €]],0)</f>
        <v>1458410</v>
      </c>
      <c r="Y54" s="230">
        <f>IFERROR(Vertailu[[#This Row],[Muutos, € 3]]/Vertailu[[#This Row],[Rahoitus ml. hark. kor. + alv 2022, €]],0)</f>
        <v>8.5367229931989988E-2</v>
      </c>
      <c r="Z54" s="228">
        <f>IFERROR(VLOOKUP(Vertailu[[#This Row],[Y-tunnus]],'Suoritepäätös 2022 oikaistu'!$B:$N,COLUMN('Suoritepäätös 2022 oikaistu'!G:G),FALSE),0)</f>
        <v>11484962</v>
      </c>
      <c r="AA54" s="228">
        <f>IFERROR(VLOOKUP(Vertailu[[#This Row],[Y-tunnus]],'1.2 Ohjaus-laskentataulu'!A:AU,COLUMN('1.2 Ohjaus-laskentataulu'!AP:AP),FALSE),0)</f>
        <v>11987219</v>
      </c>
      <c r="AB54" s="228">
        <f>Vertailu[[#This Row],[Perusrahoitus 2023, €]]-Vertailu[[#This Row],[Perusrahoitus 2022, €]]</f>
        <v>502257</v>
      </c>
      <c r="AC54" s="230">
        <f>IFERROR(Vertailu[[#This Row],[Perusrahoituksen muutos, €]]/Vertailu[[#This Row],[Perusrahoitus 2022, €]],0)</f>
        <v>4.3731707601644652E-2</v>
      </c>
      <c r="AD54" s="228">
        <f>IFERROR(VLOOKUP(Vertailu[[#This Row],[Y-tunnus]],'Suoritepäätös 2022 oikaistu'!$B:$N,COLUMN('Suoritepäätös 2022 oikaistu'!M:M),FALSE),0)</f>
        <v>3301896</v>
      </c>
      <c r="AE54" s="228">
        <f>IFERROR(VLOOKUP(Vertailu[[#This Row],[Y-tunnus]],'1.2 Ohjaus-laskentataulu'!A:AU,COLUMN('1.2 Ohjaus-laskentataulu'!O:O),FALSE),0)</f>
        <v>3594495</v>
      </c>
      <c r="AF54" s="228">
        <f>Vertailu[[#This Row],[Suoritusrahoitus 2023, €]]-Vertailu[[#This Row],[Suoritusrahoitus 2022, €]]</f>
        <v>292599</v>
      </c>
      <c r="AG54" s="230">
        <f>IFERROR(Vertailu[[#This Row],[Suoritusrahoituksen muutos, €]]/Vertailu[[#This Row],[Suoritusrahoitus 2022, €]],0)</f>
        <v>8.8615450032345056E-2</v>
      </c>
      <c r="AH54" s="228">
        <f>IFERROR(VLOOKUP(Vertailu[[#This Row],[Y-tunnus]],'Suoritepäätös 2022 oikaistu'!$Q:$AC,COLUMN('Suoritepäätös 2022 oikaistu'!K:K),FALSE),0)</f>
        <v>1749843</v>
      </c>
      <c r="AI54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2134711</v>
      </c>
      <c r="AJ54" s="228">
        <f>Vertailu[[#This Row],[Vaikuttavuusrahoitus 2023, €]]-Vertailu[[#This Row],[Vaikuttavuusrahoitus 2022, €]]</f>
        <v>384868</v>
      </c>
      <c r="AK54" s="230">
        <f>IFERROR(Vertailu[[#This Row],[Vaikuttavuusrahoituksen muutos, €]]/Vertailu[[#This Row],[Vaikuttavuusrahoitus 2022, €]],0)</f>
        <v>0.21994430357466355</v>
      </c>
    </row>
    <row r="55" spans="1:37" s="5" customFormat="1" ht="12.75" customHeight="1" x14ac:dyDescent="0.35">
      <c r="A55" s="7" t="s">
        <v>205</v>
      </c>
      <c r="B55" s="188" t="s">
        <v>457</v>
      </c>
      <c r="C55" s="188" t="s">
        <v>180</v>
      </c>
      <c r="D55" s="11" t="s">
        <v>337</v>
      </c>
      <c r="E55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0.75313928778414574</v>
      </c>
      <c r="F55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0.75313928778414574</v>
      </c>
      <c r="G55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</v>
      </c>
      <c r="H55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0.24686071221585421</v>
      </c>
      <c r="I55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0.20748277416446648</v>
      </c>
      <c r="J55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3.9377938051387729E-2</v>
      </c>
      <c r="K55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0</v>
      </c>
      <c r="L55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0</v>
      </c>
      <c r="M55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0</v>
      </c>
      <c r="N55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26743</v>
      </c>
      <c r="O55" s="228">
        <f>IFERROR(VLOOKUP(Vertailu[[#This Row],[Y-tunnus]],'1.2 Ohjaus-laskentataulu'!A:AU,COLUMN('1.2 Ohjaus-laskentataulu'!AF:AF),FALSE),0)</f>
        <v>31058</v>
      </c>
      <c r="P55" s="228">
        <f>IFERROR(Vertailu[[#This Row],[Rahoitus pl. hark. kor. 2023 ilman alv, €]]-Vertailu[[#This Row],[Rahoitus pl. hark. kor. 2022 ilman alv, €]],0)</f>
        <v>4315</v>
      </c>
      <c r="Q55" s="230">
        <f>IFERROR(Vertailu[[#This Row],[Muutos, € 1]]/Vertailu[[#This Row],[Rahoitus pl. hark. kor. 2022 ilman alv, €]],0)</f>
        <v>0.16135063381071682</v>
      </c>
      <c r="R55" s="233">
        <f>IFERROR(VLOOKUP(Vertailu[[#This Row],[Y-tunnus]],'Suoritepäätös 2022 oikaistu'!$Q:$AC,COLUMN('Suoritepäätös 2022 oikaistu'!L:L),FALSE),0)</f>
        <v>26743</v>
      </c>
      <c r="S55" s="234">
        <f>IFERROR(VLOOKUP(Vertailu[[#This Row],[Y-tunnus]],'1.2 Ohjaus-laskentataulu'!A:AU,COLUMN('1.2 Ohjaus-laskentataulu'!AS:AS),FALSE),0)</f>
        <v>31058</v>
      </c>
      <c r="T55" s="228">
        <f>IFERROR(Vertailu[[#This Row],[Rahoitus ml. hark. kor. 
2023 ilman alv, €]]-Vertailu[[#This Row],[Rahoitus ml. hark. kor. 
2022 ilman alv, €]],0)</f>
        <v>4315</v>
      </c>
      <c r="U55" s="232">
        <f>IFERROR(Vertailu[[#This Row],[Muutos, € 2]]/Vertailu[[#This Row],[Rahoitus ml. hark. kor. 
2022 ilman alv, €]],0)</f>
        <v>0.16135063381071682</v>
      </c>
      <c r="V55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26743</v>
      </c>
      <c r="W55" s="233">
        <f>IFERROR(VLOOKUP(Vertailu[[#This Row],[Y-tunnus]],'1.2 Ohjaus-laskentataulu'!A:AU,COLUMN('1.2 Ohjaus-laskentataulu'!AU:AU),FALSE),0)</f>
        <v>31878</v>
      </c>
      <c r="X55" s="235">
        <f>IFERROR(Vertailu[[#This Row],[Rahoitus ml. hark. kor. + alv 2023, €]]-Vertailu[[#This Row],[Rahoitus ml. hark. kor. + alv 2022, €]],0)</f>
        <v>5135</v>
      </c>
      <c r="Y55" s="230">
        <f>IFERROR(Vertailu[[#This Row],[Muutos, € 3]]/Vertailu[[#This Row],[Rahoitus ml. hark. kor. + alv 2022, €]],0)</f>
        <v>0.19201286317914967</v>
      </c>
      <c r="Z55" s="228">
        <f>IFERROR(VLOOKUP(Vertailu[[#This Row],[Y-tunnus]],'Suoritepäätös 2022 oikaistu'!$B:$N,COLUMN('Suoritepäätös 2022 oikaistu'!G:G),FALSE),0)</f>
        <v>21985</v>
      </c>
      <c r="AA55" s="228">
        <f>IFERROR(VLOOKUP(Vertailu[[#This Row],[Y-tunnus]],'1.2 Ohjaus-laskentataulu'!A:AU,COLUMN('1.2 Ohjaus-laskentataulu'!AP:AP),FALSE),0)</f>
        <v>23391</v>
      </c>
      <c r="AB55" s="228">
        <f>Vertailu[[#This Row],[Perusrahoitus 2023, €]]-Vertailu[[#This Row],[Perusrahoitus 2022, €]]</f>
        <v>1406</v>
      </c>
      <c r="AC55" s="230">
        <f>IFERROR(Vertailu[[#This Row],[Perusrahoituksen muutos, €]]/Vertailu[[#This Row],[Perusrahoitus 2022, €]],0)</f>
        <v>6.395269501933136E-2</v>
      </c>
      <c r="AD55" s="228">
        <f>IFERROR(VLOOKUP(Vertailu[[#This Row],[Y-tunnus]],'Suoritepäätös 2022 oikaistu'!$B:$N,COLUMN('Suoritepäätös 2022 oikaistu'!M:M),FALSE),0)</f>
        <v>0</v>
      </c>
      <c r="AE55" s="228">
        <f>IFERROR(VLOOKUP(Vertailu[[#This Row],[Y-tunnus]],'1.2 Ohjaus-laskentataulu'!A:AU,COLUMN('1.2 Ohjaus-laskentataulu'!O:O),FALSE),0)</f>
        <v>0</v>
      </c>
      <c r="AF55" s="228">
        <f>Vertailu[[#This Row],[Suoritusrahoitus 2023, €]]-Vertailu[[#This Row],[Suoritusrahoitus 2022, €]]</f>
        <v>0</v>
      </c>
      <c r="AG55" s="230">
        <f>IFERROR(Vertailu[[#This Row],[Suoritusrahoituksen muutos, €]]/Vertailu[[#This Row],[Suoritusrahoitus 2022, €]],0)</f>
        <v>0</v>
      </c>
      <c r="AH55" s="228">
        <f>IFERROR(VLOOKUP(Vertailu[[#This Row],[Y-tunnus]],'Suoritepäätös 2022 oikaistu'!$Q:$AC,COLUMN('Suoritepäätös 2022 oikaistu'!K:K),FALSE),0)</f>
        <v>4758</v>
      </c>
      <c r="AI55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7667</v>
      </c>
      <c r="AJ55" s="228">
        <f>Vertailu[[#This Row],[Vaikuttavuusrahoitus 2023, €]]-Vertailu[[#This Row],[Vaikuttavuusrahoitus 2022, €]]</f>
        <v>2909</v>
      </c>
      <c r="AK55" s="230">
        <f>IFERROR(Vertailu[[#This Row],[Vaikuttavuusrahoituksen muutos, €]]/Vertailu[[#This Row],[Vaikuttavuusrahoitus 2022, €]],0)</f>
        <v>0.61139134089953762</v>
      </c>
    </row>
    <row r="56" spans="1:37" s="5" customFormat="1" ht="12.75" customHeight="1" x14ac:dyDescent="0.35">
      <c r="A56" s="7" t="s">
        <v>283</v>
      </c>
      <c r="B56" s="188" t="s">
        <v>58</v>
      </c>
      <c r="C56" s="188" t="s">
        <v>251</v>
      </c>
      <c r="D56" s="11" t="s">
        <v>337</v>
      </c>
      <c r="E56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0.67204863616683508</v>
      </c>
      <c r="F56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0.67204863616683508</v>
      </c>
      <c r="G56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0.16141097801510559</v>
      </c>
      <c r="H56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0.16654038581805936</v>
      </c>
      <c r="I56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8.0266512724298841E-2</v>
      </c>
      <c r="J56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1.2826526194256026E-2</v>
      </c>
      <c r="K56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2.1678212344253621E-2</v>
      </c>
      <c r="L56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3.1010968393707605E-2</v>
      </c>
      <c r="M56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2.0758166161543273E-2</v>
      </c>
      <c r="N56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156758</v>
      </c>
      <c r="O56" s="228">
        <f>IFERROR(VLOOKUP(Vertailu[[#This Row],[Y-tunnus]],'1.2 Ohjaus-laskentataulu'!A:AU,COLUMN('1.2 Ohjaus-laskentataulu'!AF:AF),FALSE),0)</f>
        <v>166296</v>
      </c>
      <c r="P56" s="228">
        <f>IFERROR(Vertailu[[#This Row],[Rahoitus pl. hark. kor. 2023 ilman alv, €]]-Vertailu[[#This Row],[Rahoitus pl. hark. kor. 2022 ilman alv, €]],0)</f>
        <v>9538</v>
      </c>
      <c r="Q56" s="230">
        <f>IFERROR(Vertailu[[#This Row],[Muutos, € 1]]/Vertailu[[#This Row],[Rahoitus pl. hark. kor. 2022 ilman alv, €]],0)</f>
        <v>6.0845379502162567E-2</v>
      </c>
      <c r="R56" s="233">
        <f>IFERROR(VLOOKUP(Vertailu[[#This Row],[Y-tunnus]],'Suoritepäätös 2022 oikaistu'!$Q:$AC,COLUMN('Suoritepäätös 2022 oikaistu'!L:L),FALSE),0)</f>
        <v>156758</v>
      </c>
      <c r="S56" s="234">
        <f>IFERROR(VLOOKUP(Vertailu[[#This Row],[Y-tunnus]],'1.2 Ohjaus-laskentataulu'!A:AU,COLUMN('1.2 Ohjaus-laskentataulu'!AS:AS),FALSE),0)</f>
        <v>166296</v>
      </c>
      <c r="T56" s="228">
        <f>IFERROR(Vertailu[[#This Row],[Rahoitus ml. hark. kor. 
2023 ilman alv, €]]-Vertailu[[#This Row],[Rahoitus ml. hark. kor. 
2022 ilman alv, €]],0)</f>
        <v>9538</v>
      </c>
      <c r="U56" s="232">
        <f>IFERROR(Vertailu[[#This Row],[Muutos, € 2]]/Vertailu[[#This Row],[Rahoitus ml. hark. kor. 
2022 ilman alv, €]],0)</f>
        <v>6.0845379502162567E-2</v>
      </c>
      <c r="V56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168438</v>
      </c>
      <c r="W56" s="233">
        <f>IFERROR(VLOOKUP(Vertailu[[#This Row],[Y-tunnus]],'1.2 Ohjaus-laskentataulu'!A:AU,COLUMN('1.2 Ohjaus-laskentataulu'!AU:AU),FALSE),0)</f>
        <v>171584</v>
      </c>
      <c r="X56" s="235">
        <f>IFERROR(Vertailu[[#This Row],[Rahoitus ml. hark. kor. + alv 2023, €]]-Vertailu[[#This Row],[Rahoitus ml. hark. kor. + alv 2022, €]],0)</f>
        <v>3146</v>
      </c>
      <c r="Y56" s="230">
        <f>IFERROR(Vertailu[[#This Row],[Muutos, € 3]]/Vertailu[[#This Row],[Rahoitus ml. hark. kor. + alv 2022, €]],0)</f>
        <v>1.8677495577007562E-2</v>
      </c>
      <c r="Z56" s="228">
        <f>IFERROR(VLOOKUP(Vertailu[[#This Row],[Y-tunnus]],'Suoritepäätös 2022 oikaistu'!$B:$N,COLUMN('Suoritepäätös 2022 oikaistu'!G:G),FALSE),0)</f>
        <v>100152</v>
      </c>
      <c r="AA56" s="228">
        <f>IFERROR(VLOOKUP(Vertailu[[#This Row],[Y-tunnus]],'1.2 Ohjaus-laskentataulu'!A:AU,COLUMN('1.2 Ohjaus-laskentataulu'!AP:AP),FALSE),0)</f>
        <v>111759</v>
      </c>
      <c r="AB56" s="228">
        <f>Vertailu[[#This Row],[Perusrahoitus 2023, €]]-Vertailu[[#This Row],[Perusrahoitus 2022, €]]</f>
        <v>11607</v>
      </c>
      <c r="AC56" s="230">
        <f>IFERROR(Vertailu[[#This Row],[Perusrahoituksen muutos, €]]/Vertailu[[#This Row],[Perusrahoitus 2022, €]],0)</f>
        <v>0.11589384136113108</v>
      </c>
      <c r="AD56" s="228">
        <f>IFERROR(VLOOKUP(Vertailu[[#This Row],[Y-tunnus]],'Suoritepäätös 2022 oikaistu'!$B:$N,COLUMN('Suoritepäätös 2022 oikaistu'!M:M),FALSE),0)</f>
        <v>33707</v>
      </c>
      <c r="AE56" s="228">
        <f>IFERROR(VLOOKUP(Vertailu[[#This Row],[Y-tunnus]],'1.2 Ohjaus-laskentataulu'!A:AU,COLUMN('1.2 Ohjaus-laskentataulu'!O:O),FALSE),0)</f>
        <v>26842</v>
      </c>
      <c r="AF56" s="228">
        <f>Vertailu[[#This Row],[Suoritusrahoitus 2023, €]]-Vertailu[[#This Row],[Suoritusrahoitus 2022, €]]</f>
        <v>-6865</v>
      </c>
      <c r="AG56" s="230">
        <f>IFERROR(Vertailu[[#This Row],[Suoritusrahoituksen muutos, €]]/Vertailu[[#This Row],[Suoritusrahoitus 2022, €]],0)</f>
        <v>-0.20366689411694899</v>
      </c>
      <c r="AH56" s="228">
        <f>IFERROR(VLOOKUP(Vertailu[[#This Row],[Y-tunnus]],'Suoritepäätös 2022 oikaistu'!$Q:$AC,COLUMN('Suoritepäätös 2022 oikaistu'!K:K),FALSE),0)</f>
        <v>22899</v>
      </c>
      <c r="AI56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27695</v>
      </c>
      <c r="AJ56" s="228">
        <f>Vertailu[[#This Row],[Vaikuttavuusrahoitus 2023, €]]-Vertailu[[#This Row],[Vaikuttavuusrahoitus 2022, €]]</f>
        <v>4796</v>
      </c>
      <c r="AK56" s="230">
        <f>IFERROR(Vertailu[[#This Row],[Vaikuttavuusrahoituksen muutos, €]]/Vertailu[[#This Row],[Vaikuttavuusrahoitus 2022, €]],0)</f>
        <v>0.20944146032577843</v>
      </c>
    </row>
    <row r="57" spans="1:37" s="5" customFormat="1" ht="12.75" customHeight="1" x14ac:dyDescent="0.35">
      <c r="A57" s="7" t="s">
        <v>511</v>
      </c>
      <c r="B57" s="188" t="s">
        <v>512</v>
      </c>
      <c r="C57" s="188" t="s">
        <v>180</v>
      </c>
      <c r="D57" s="11" t="s">
        <v>337</v>
      </c>
      <c r="E57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0.70191566094467073</v>
      </c>
      <c r="F57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0.70524724519627191</v>
      </c>
      <c r="G57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0.20415719247395117</v>
      </c>
      <c r="H57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9.0595562329776863E-2</v>
      </c>
      <c r="I57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5.3710551960220884E-2</v>
      </c>
      <c r="J57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3.0600601350957413E-3</v>
      </c>
      <c r="K57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8.7233369147864046E-3</v>
      </c>
      <c r="L57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1.5292596386896879E-2</v>
      </c>
      <c r="M57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9.8090169327769584E-3</v>
      </c>
      <c r="N57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4344025</v>
      </c>
      <c r="O57" s="228">
        <f>IFERROR(VLOOKUP(Vertailu[[#This Row],[Y-tunnus]],'1.2 Ohjaus-laskentataulu'!A:AU,COLUMN('1.2 Ohjaus-laskentataulu'!AF:AF),FALSE),0)</f>
        <v>4786520</v>
      </c>
      <c r="P57" s="228">
        <f>IFERROR(Vertailu[[#This Row],[Rahoitus pl. hark. kor. 2023 ilman alv, €]]-Vertailu[[#This Row],[Rahoitus pl. hark. kor. 2022 ilman alv, €]],0)</f>
        <v>442495</v>
      </c>
      <c r="Q57" s="230">
        <f>IFERROR(Vertailu[[#This Row],[Muutos, € 1]]/Vertailu[[#This Row],[Rahoitus pl. hark. kor. 2022 ilman alv, €]],0)</f>
        <v>0.10186290364351033</v>
      </c>
      <c r="R57" s="233">
        <f>IFERROR(VLOOKUP(Vertailu[[#This Row],[Y-tunnus]],'Suoritepäätös 2022 oikaistu'!$Q:$AC,COLUMN('Suoritepäätös 2022 oikaistu'!L:L),FALSE),0)</f>
        <v>4355025</v>
      </c>
      <c r="S57" s="234">
        <f>IFERROR(VLOOKUP(Vertailu[[#This Row],[Y-tunnus]],'1.2 Ohjaus-laskentataulu'!A:AU,COLUMN('1.2 Ohjaus-laskentataulu'!AS:AS),FALSE),0)</f>
        <v>4802520</v>
      </c>
      <c r="T57" s="228">
        <f>IFERROR(Vertailu[[#This Row],[Rahoitus ml. hark. kor. 
2023 ilman alv, €]]-Vertailu[[#This Row],[Rahoitus ml. hark. kor. 
2022 ilman alv, €]],0)</f>
        <v>447495</v>
      </c>
      <c r="U57" s="232">
        <f>IFERROR(Vertailu[[#This Row],[Muutos, € 2]]/Vertailu[[#This Row],[Rahoitus ml. hark. kor. 
2022 ilman alv, €]],0)</f>
        <v>0.1027537155355021</v>
      </c>
      <c r="V57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4575252</v>
      </c>
      <c r="W57" s="233">
        <f>IFERROR(VLOOKUP(Vertailu[[#This Row],[Y-tunnus]],'1.2 Ohjaus-laskentataulu'!A:AU,COLUMN('1.2 Ohjaus-laskentataulu'!AU:AU),FALSE),0)</f>
        <v>5035567</v>
      </c>
      <c r="X57" s="235">
        <f>IFERROR(Vertailu[[#This Row],[Rahoitus ml. hark. kor. + alv 2023, €]]-Vertailu[[#This Row],[Rahoitus ml. hark. kor. + alv 2022, €]],0)</f>
        <v>460315</v>
      </c>
      <c r="Y57" s="230">
        <f>IFERROR(Vertailu[[#This Row],[Muutos, € 3]]/Vertailu[[#This Row],[Rahoitus ml. hark. kor. + alv 2022, €]],0)</f>
        <v>0.10060975876301459</v>
      </c>
      <c r="Z57" s="228">
        <f>IFERROR(VLOOKUP(Vertailu[[#This Row],[Y-tunnus]],'Suoritepäätös 2022 oikaistu'!$B:$N,COLUMN('Suoritepäätös 2022 oikaistu'!G:G),FALSE),0)</f>
        <v>3178623</v>
      </c>
      <c r="AA57" s="228">
        <f>IFERROR(VLOOKUP(Vertailu[[#This Row],[Y-tunnus]],'1.2 Ohjaus-laskentataulu'!A:AU,COLUMN('1.2 Ohjaus-laskentataulu'!AP:AP),FALSE),0)</f>
        <v>3386964</v>
      </c>
      <c r="AB57" s="228">
        <f>Vertailu[[#This Row],[Perusrahoitus 2023, €]]-Vertailu[[#This Row],[Perusrahoitus 2022, €]]</f>
        <v>208341</v>
      </c>
      <c r="AC57" s="230">
        <f>IFERROR(Vertailu[[#This Row],[Perusrahoituksen muutos, €]]/Vertailu[[#This Row],[Perusrahoitus 2022, €]],0)</f>
        <v>6.5544419706269036E-2</v>
      </c>
      <c r="AD57" s="228">
        <f>IFERROR(VLOOKUP(Vertailu[[#This Row],[Y-tunnus]],'Suoritepäätös 2022 oikaistu'!$B:$N,COLUMN('Suoritepäätös 2022 oikaistu'!M:M),FALSE),0)</f>
        <v>818687</v>
      </c>
      <c r="AE57" s="228">
        <f>IFERROR(VLOOKUP(Vertailu[[#This Row],[Y-tunnus]],'1.2 Ohjaus-laskentataulu'!A:AU,COLUMN('1.2 Ohjaus-laskentataulu'!O:O),FALSE),0)</f>
        <v>980469</v>
      </c>
      <c r="AF57" s="228">
        <f>Vertailu[[#This Row],[Suoritusrahoitus 2023, €]]-Vertailu[[#This Row],[Suoritusrahoitus 2022, €]]</f>
        <v>161782</v>
      </c>
      <c r="AG57" s="230">
        <f>IFERROR(Vertailu[[#This Row],[Suoritusrahoituksen muutos, €]]/Vertailu[[#This Row],[Suoritusrahoitus 2022, €]],0)</f>
        <v>0.19761154140715562</v>
      </c>
      <c r="AH57" s="228">
        <f>IFERROR(VLOOKUP(Vertailu[[#This Row],[Y-tunnus]],'Suoritepäätös 2022 oikaistu'!$Q:$AC,COLUMN('Suoritepäätös 2022 oikaistu'!K:K),FALSE),0)</f>
        <v>357715</v>
      </c>
      <c r="AI57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435087</v>
      </c>
      <c r="AJ57" s="228">
        <f>Vertailu[[#This Row],[Vaikuttavuusrahoitus 2023, €]]-Vertailu[[#This Row],[Vaikuttavuusrahoitus 2022, €]]</f>
        <v>77372</v>
      </c>
      <c r="AK57" s="230">
        <f>IFERROR(Vertailu[[#This Row],[Vaikuttavuusrahoituksen muutos, €]]/Vertailu[[#This Row],[Vaikuttavuusrahoitus 2022, €]],0)</f>
        <v>0.21629509525739765</v>
      </c>
    </row>
    <row r="58" spans="1:37" s="5" customFormat="1" ht="12.75" customHeight="1" x14ac:dyDescent="0.35">
      <c r="A58" s="7" t="s">
        <v>282</v>
      </c>
      <c r="B58" s="188" t="s">
        <v>132</v>
      </c>
      <c r="C58" s="188" t="s">
        <v>180</v>
      </c>
      <c r="D58" s="11" t="s">
        <v>337</v>
      </c>
      <c r="E58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0.61828830335316087</v>
      </c>
      <c r="F58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0.61828830335316087</v>
      </c>
      <c r="G58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0.17633756161263867</v>
      </c>
      <c r="H58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0.20537413503420049</v>
      </c>
      <c r="I58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9.8779293375695756E-2</v>
      </c>
      <c r="J58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2.7670942723139278E-3</v>
      </c>
      <c r="K58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2.5648375974455143E-2</v>
      </c>
      <c r="L58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1.9588638589618023E-2</v>
      </c>
      <c r="M58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5.8590732822117644E-2</v>
      </c>
      <c r="N58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217774</v>
      </c>
      <c r="O58" s="228">
        <f>IFERROR(VLOOKUP(Vertailu[[#This Row],[Y-tunnus]],'1.2 Ohjaus-laskentataulu'!A:AU,COLUMN('1.2 Ohjaus-laskentataulu'!AF:AF),FALSE),0)</f>
        <v>251166</v>
      </c>
      <c r="P58" s="228">
        <f>IFERROR(Vertailu[[#This Row],[Rahoitus pl. hark. kor. 2023 ilman alv, €]]-Vertailu[[#This Row],[Rahoitus pl. hark. kor. 2022 ilman alv, €]],0)</f>
        <v>33392</v>
      </c>
      <c r="Q58" s="230">
        <f>IFERROR(Vertailu[[#This Row],[Muutos, € 1]]/Vertailu[[#This Row],[Rahoitus pl. hark. kor. 2022 ilman alv, €]],0)</f>
        <v>0.15333327210778147</v>
      </c>
      <c r="R58" s="233">
        <f>IFERROR(VLOOKUP(Vertailu[[#This Row],[Y-tunnus]],'Suoritepäätös 2022 oikaistu'!$Q:$AC,COLUMN('Suoritepäätös 2022 oikaistu'!L:L),FALSE),0)</f>
        <v>217774</v>
      </c>
      <c r="S58" s="234">
        <f>IFERROR(VLOOKUP(Vertailu[[#This Row],[Y-tunnus]],'1.2 Ohjaus-laskentataulu'!A:AU,COLUMN('1.2 Ohjaus-laskentataulu'!AS:AS),FALSE),0)</f>
        <v>251166</v>
      </c>
      <c r="T58" s="228">
        <f>IFERROR(Vertailu[[#This Row],[Rahoitus ml. hark. kor. 
2023 ilman alv, €]]-Vertailu[[#This Row],[Rahoitus ml. hark. kor. 
2022 ilman alv, €]],0)</f>
        <v>33392</v>
      </c>
      <c r="U58" s="232">
        <f>IFERROR(Vertailu[[#This Row],[Muutos, € 2]]/Vertailu[[#This Row],[Rahoitus ml. hark. kor. 
2022 ilman alv, €]],0)</f>
        <v>0.15333327210778147</v>
      </c>
      <c r="V58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239199</v>
      </c>
      <c r="W58" s="233">
        <f>IFERROR(VLOOKUP(Vertailu[[#This Row],[Y-tunnus]],'1.2 Ohjaus-laskentataulu'!A:AU,COLUMN('1.2 Ohjaus-laskentataulu'!AU:AU),FALSE),0)</f>
        <v>260611</v>
      </c>
      <c r="X58" s="235">
        <f>IFERROR(Vertailu[[#This Row],[Rahoitus ml. hark. kor. + alv 2023, €]]-Vertailu[[#This Row],[Rahoitus ml. hark. kor. + alv 2022, €]],0)</f>
        <v>21412</v>
      </c>
      <c r="Y58" s="230">
        <f>IFERROR(Vertailu[[#This Row],[Muutos, € 3]]/Vertailu[[#This Row],[Rahoitus ml. hark. kor. + alv 2022, €]],0)</f>
        <v>8.9515424395586934E-2</v>
      </c>
      <c r="Z58" s="228">
        <f>IFERROR(VLOOKUP(Vertailu[[#This Row],[Y-tunnus]],'Suoritepäätös 2022 oikaistu'!$B:$N,COLUMN('Suoritepäätös 2022 oikaistu'!G:G),FALSE),0)</f>
        <v>145954</v>
      </c>
      <c r="AA58" s="228">
        <f>IFERROR(VLOOKUP(Vertailu[[#This Row],[Y-tunnus]],'1.2 Ohjaus-laskentataulu'!A:AU,COLUMN('1.2 Ohjaus-laskentataulu'!AP:AP),FALSE),0)</f>
        <v>155293</v>
      </c>
      <c r="AB58" s="228">
        <f>Vertailu[[#This Row],[Perusrahoitus 2023, €]]-Vertailu[[#This Row],[Perusrahoitus 2022, €]]</f>
        <v>9339</v>
      </c>
      <c r="AC58" s="230">
        <f>IFERROR(Vertailu[[#This Row],[Perusrahoituksen muutos, €]]/Vertailu[[#This Row],[Perusrahoitus 2022, €]],0)</f>
        <v>6.3985913369965883E-2</v>
      </c>
      <c r="AD58" s="228">
        <f>IFERROR(VLOOKUP(Vertailu[[#This Row],[Y-tunnus]],'Suoritepäätös 2022 oikaistu'!$B:$N,COLUMN('Suoritepäätös 2022 oikaistu'!M:M),FALSE),0)</f>
        <v>37829</v>
      </c>
      <c r="AE58" s="228">
        <f>IFERROR(VLOOKUP(Vertailu[[#This Row],[Y-tunnus]],'1.2 Ohjaus-laskentataulu'!A:AU,COLUMN('1.2 Ohjaus-laskentataulu'!O:O),FALSE),0)</f>
        <v>44290</v>
      </c>
      <c r="AF58" s="228">
        <f>Vertailu[[#This Row],[Suoritusrahoitus 2023, €]]-Vertailu[[#This Row],[Suoritusrahoitus 2022, €]]</f>
        <v>6461</v>
      </c>
      <c r="AG58" s="230">
        <f>IFERROR(Vertailu[[#This Row],[Suoritusrahoituksen muutos, €]]/Vertailu[[#This Row],[Suoritusrahoitus 2022, €]],0)</f>
        <v>0.17079489280710566</v>
      </c>
      <c r="AH58" s="228">
        <f>IFERROR(VLOOKUP(Vertailu[[#This Row],[Y-tunnus]],'Suoritepäätös 2022 oikaistu'!$Q:$AC,COLUMN('Suoritepäätös 2022 oikaistu'!K:K),FALSE),0)</f>
        <v>33991</v>
      </c>
      <c r="AI58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51583</v>
      </c>
      <c r="AJ58" s="228">
        <f>Vertailu[[#This Row],[Vaikuttavuusrahoitus 2023, €]]-Vertailu[[#This Row],[Vaikuttavuusrahoitus 2022, €]]</f>
        <v>17592</v>
      </c>
      <c r="AK58" s="230">
        <f>IFERROR(Vertailu[[#This Row],[Vaikuttavuusrahoituksen muutos, €]]/Vertailu[[#This Row],[Vaikuttavuusrahoitus 2022, €]],0)</f>
        <v>0.51754876290782859</v>
      </c>
    </row>
    <row r="59" spans="1:37" s="5" customFormat="1" ht="12.75" customHeight="1" x14ac:dyDescent="0.35">
      <c r="A59" s="7" t="s">
        <v>281</v>
      </c>
      <c r="B59" s="188" t="s">
        <v>59</v>
      </c>
      <c r="C59" s="188" t="s">
        <v>209</v>
      </c>
      <c r="D59" s="11" t="s">
        <v>337</v>
      </c>
      <c r="E59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0.61324572075938633</v>
      </c>
      <c r="F59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0.61324572075938633</v>
      </c>
      <c r="G59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0.24589741101692456</v>
      </c>
      <c r="H59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0.14085686822368906</v>
      </c>
      <c r="I59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8.7838986600185937E-2</v>
      </c>
      <c r="J59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4.6443621175969079E-3</v>
      </c>
      <c r="K59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1.2257798588943266E-2</v>
      </c>
      <c r="L59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2.5204787342122788E-2</v>
      </c>
      <c r="M59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1.0910933574840163E-2</v>
      </c>
      <c r="N59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1121528</v>
      </c>
      <c r="O59" s="228">
        <f>IFERROR(VLOOKUP(Vertailu[[#This Row],[Y-tunnus]],'1.2 Ohjaus-laskentataulu'!A:AU,COLUMN('1.2 Ohjaus-laskentataulu'!AF:AF),FALSE),0)</f>
        <v>1205763</v>
      </c>
      <c r="P59" s="228">
        <f>IFERROR(Vertailu[[#This Row],[Rahoitus pl. hark. kor. 2023 ilman alv, €]]-Vertailu[[#This Row],[Rahoitus pl. hark. kor. 2022 ilman alv, €]],0)</f>
        <v>84235</v>
      </c>
      <c r="Q59" s="230">
        <f>IFERROR(Vertailu[[#This Row],[Muutos, € 1]]/Vertailu[[#This Row],[Rahoitus pl. hark. kor. 2022 ilman alv, €]],0)</f>
        <v>7.5107353539100224E-2</v>
      </c>
      <c r="R59" s="233">
        <f>IFERROR(VLOOKUP(Vertailu[[#This Row],[Y-tunnus]],'Suoritepäätös 2022 oikaistu'!$Q:$AC,COLUMN('Suoritepäätös 2022 oikaistu'!L:L),FALSE),0)</f>
        <v>1126528</v>
      </c>
      <c r="S59" s="234">
        <f>IFERROR(VLOOKUP(Vertailu[[#This Row],[Y-tunnus]],'1.2 Ohjaus-laskentataulu'!A:AU,COLUMN('1.2 Ohjaus-laskentataulu'!AS:AS),FALSE),0)</f>
        <v>1205763</v>
      </c>
      <c r="T59" s="228">
        <f>IFERROR(Vertailu[[#This Row],[Rahoitus ml. hark. kor. 
2023 ilman alv, €]]-Vertailu[[#This Row],[Rahoitus ml. hark. kor. 
2022 ilman alv, €]],0)</f>
        <v>79235</v>
      </c>
      <c r="U59" s="232">
        <f>IFERROR(Vertailu[[#This Row],[Muutos, € 2]]/Vertailu[[#This Row],[Rahoitus ml. hark. kor. 
2022 ilman alv, €]],0)</f>
        <v>7.0335579763663225E-2</v>
      </c>
      <c r="V59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1228639</v>
      </c>
      <c r="W59" s="233">
        <f>IFERROR(VLOOKUP(Vertailu[[#This Row],[Y-tunnus]],'1.2 Ohjaus-laskentataulu'!A:AU,COLUMN('1.2 Ohjaus-laskentataulu'!AU:AU),FALSE),0)</f>
        <v>1323774</v>
      </c>
      <c r="X59" s="235">
        <f>IFERROR(Vertailu[[#This Row],[Rahoitus ml. hark. kor. + alv 2023, €]]-Vertailu[[#This Row],[Rahoitus ml. hark. kor. + alv 2022, €]],0)</f>
        <v>95135</v>
      </c>
      <c r="Y59" s="230">
        <f>IFERROR(Vertailu[[#This Row],[Muutos, € 3]]/Vertailu[[#This Row],[Rahoitus ml. hark. kor. + alv 2022, €]],0)</f>
        <v>7.743120639992708E-2</v>
      </c>
      <c r="Z59" s="228">
        <f>IFERROR(VLOOKUP(Vertailu[[#This Row],[Y-tunnus]],'Suoritepäätös 2022 oikaistu'!$B:$N,COLUMN('Suoritepäätös 2022 oikaistu'!G:G),FALSE),0)</f>
        <v>704234</v>
      </c>
      <c r="AA59" s="228">
        <f>IFERROR(VLOOKUP(Vertailu[[#This Row],[Y-tunnus]],'1.2 Ohjaus-laskentataulu'!A:AU,COLUMN('1.2 Ohjaus-laskentataulu'!AP:AP),FALSE),0)</f>
        <v>739429</v>
      </c>
      <c r="AB59" s="228">
        <f>Vertailu[[#This Row],[Perusrahoitus 2023, €]]-Vertailu[[#This Row],[Perusrahoitus 2022, €]]</f>
        <v>35195</v>
      </c>
      <c r="AC59" s="230">
        <f>IFERROR(Vertailu[[#This Row],[Perusrahoituksen muutos, €]]/Vertailu[[#This Row],[Perusrahoitus 2022, €]],0)</f>
        <v>4.9976286291204347E-2</v>
      </c>
      <c r="AD59" s="228">
        <f>IFERROR(VLOOKUP(Vertailu[[#This Row],[Y-tunnus]],'Suoritepäätös 2022 oikaistu'!$B:$N,COLUMN('Suoritepäätös 2022 oikaistu'!M:M),FALSE),0)</f>
        <v>283605</v>
      </c>
      <c r="AE59" s="228">
        <f>IFERROR(VLOOKUP(Vertailu[[#This Row],[Y-tunnus]],'1.2 Ohjaus-laskentataulu'!A:AU,COLUMN('1.2 Ohjaus-laskentataulu'!O:O),FALSE),0)</f>
        <v>296494</v>
      </c>
      <c r="AF59" s="228">
        <f>Vertailu[[#This Row],[Suoritusrahoitus 2023, €]]-Vertailu[[#This Row],[Suoritusrahoitus 2022, €]]</f>
        <v>12889</v>
      </c>
      <c r="AG59" s="230">
        <f>IFERROR(Vertailu[[#This Row],[Suoritusrahoituksen muutos, €]]/Vertailu[[#This Row],[Suoritusrahoitus 2022, €]],0)</f>
        <v>4.5447012570300239E-2</v>
      </c>
      <c r="AH59" s="228">
        <f>IFERROR(VLOOKUP(Vertailu[[#This Row],[Y-tunnus]],'Suoritepäätös 2022 oikaistu'!$Q:$AC,COLUMN('Suoritepäätös 2022 oikaistu'!K:K),FALSE),0)</f>
        <v>138689</v>
      </c>
      <c r="AI59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169840</v>
      </c>
      <c r="AJ59" s="228">
        <f>Vertailu[[#This Row],[Vaikuttavuusrahoitus 2023, €]]-Vertailu[[#This Row],[Vaikuttavuusrahoitus 2022, €]]</f>
        <v>31151</v>
      </c>
      <c r="AK59" s="230">
        <f>IFERROR(Vertailu[[#This Row],[Vaikuttavuusrahoituksen muutos, €]]/Vertailu[[#This Row],[Vaikuttavuusrahoitus 2022, €]],0)</f>
        <v>0.22461045937312982</v>
      </c>
    </row>
    <row r="60" spans="1:37" s="5" customFormat="1" ht="12.75" customHeight="1" x14ac:dyDescent="0.35">
      <c r="A60" s="7" t="s">
        <v>280</v>
      </c>
      <c r="B60" s="188" t="s">
        <v>60</v>
      </c>
      <c r="C60" s="188" t="s">
        <v>196</v>
      </c>
      <c r="D60" s="11" t="s">
        <v>336</v>
      </c>
      <c r="E60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0.71141805006976555</v>
      </c>
      <c r="F60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0.71322143635091217</v>
      </c>
      <c r="G60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0.19120144299129407</v>
      </c>
      <c r="H60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9.5577120657793765E-2</v>
      </c>
      <c r="I60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6.8404009805873703E-2</v>
      </c>
      <c r="J60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3.4917478807956963E-3</v>
      </c>
      <c r="K60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8.8074641687728057E-3</v>
      </c>
      <c r="L60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9.6391388767781052E-3</v>
      </c>
      <c r="M60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5.2347599255734645E-3</v>
      </c>
      <c r="N60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23779331</v>
      </c>
      <c r="O60" s="228">
        <f>IFERROR(VLOOKUP(Vertailu[[#This Row],[Y-tunnus]],'1.2 Ohjaus-laskentataulu'!A:AU,COLUMN('1.2 Ohjaus-laskentataulu'!AF:AF),FALSE),0)</f>
        <v>25461569</v>
      </c>
      <c r="P60" s="228">
        <f>IFERROR(Vertailu[[#This Row],[Rahoitus pl. hark. kor. 2023 ilman alv, €]]-Vertailu[[#This Row],[Rahoitus pl. hark. kor. 2022 ilman alv, €]],0)</f>
        <v>1682238</v>
      </c>
      <c r="Q60" s="230">
        <f>IFERROR(Vertailu[[#This Row],[Muutos, € 1]]/Vertailu[[#This Row],[Rahoitus pl. hark. kor. 2022 ilman alv, €]],0)</f>
        <v>7.0743705952030361E-2</v>
      </c>
      <c r="R60" s="233">
        <f>IFERROR(VLOOKUP(Vertailu[[#This Row],[Y-tunnus]],'Suoritepäätös 2022 oikaistu'!$Q:$AC,COLUMN('Suoritepäätös 2022 oikaistu'!L:L),FALSE),0)</f>
        <v>23828331</v>
      </c>
      <c r="S60" s="234">
        <f>IFERROR(VLOOKUP(Vertailu[[#This Row],[Y-tunnus]],'1.2 Ohjaus-laskentataulu'!A:AU,COLUMN('1.2 Ohjaus-laskentataulu'!AS:AS),FALSE),0)</f>
        <v>25507569</v>
      </c>
      <c r="T60" s="228">
        <f>IFERROR(Vertailu[[#This Row],[Rahoitus ml. hark. kor. 
2023 ilman alv, €]]-Vertailu[[#This Row],[Rahoitus ml. hark. kor. 
2022 ilman alv, €]],0)</f>
        <v>1679238</v>
      </c>
      <c r="U60" s="232">
        <f>IFERROR(Vertailu[[#This Row],[Muutos, € 2]]/Vertailu[[#This Row],[Rahoitus ml. hark. kor. 
2022 ilman alv, €]],0)</f>
        <v>7.0472329765773362E-2</v>
      </c>
      <c r="V60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23828331</v>
      </c>
      <c r="W60" s="233">
        <f>IFERROR(VLOOKUP(Vertailu[[#This Row],[Y-tunnus]],'1.2 Ohjaus-laskentataulu'!A:AU,COLUMN('1.2 Ohjaus-laskentataulu'!AU:AU),FALSE),0)</f>
        <v>25507569</v>
      </c>
      <c r="X60" s="235">
        <f>IFERROR(Vertailu[[#This Row],[Rahoitus ml. hark. kor. + alv 2023, €]]-Vertailu[[#This Row],[Rahoitus ml. hark. kor. + alv 2022, €]],0)</f>
        <v>1679238</v>
      </c>
      <c r="Y60" s="230">
        <f>IFERROR(Vertailu[[#This Row],[Muutos, € 3]]/Vertailu[[#This Row],[Rahoitus ml. hark. kor. + alv 2022, €]],0)</f>
        <v>7.0472329765773362E-2</v>
      </c>
      <c r="Z60" s="228">
        <f>IFERROR(VLOOKUP(Vertailu[[#This Row],[Y-tunnus]],'Suoritepäätös 2022 oikaistu'!$B:$N,COLUMN('Suoritepäätös 2022 oikaistu'!G:G),FALSE),0)</f>
        <v>16519785</v>
      </c>
      <c r="AA60" s="228">
        <f>IFERROR(VLOOKUP(Vertailu[[#This Row],[Y-tunnus]],'1.2 Ohjaus-laskentataulu'!A:AU,COLUMN('1.2 Ohjaus-laskentataulu'!AP:AP),FALSE),0)</f>
        <v>18192545</v>
      </c>
      <c r="AB60" s="228">
        <f>Vertailu[[#This Row],[Perusrahoitus 2023, €]]-Vertailu[[#This Row],[Perusrahoitus 2022, €]]</f>
        <v>1672760</v>
      </c>
      <c r="AC60" s="230">
        <f>IFERROR(Vertailu[[#This Row],[Perusrahoituksen muutos, €]]/Vertailu[[#This Row],[Perusrahoitus 2022, €]],0)</f>
        <v>0.1012579764203953</v>
      </c>
      <c r="AD60" s="228">
        <f>IFERROR(VLOOKUP(Vertailu[[#This Row],[Y-tunnus]],'Suoritepäätös 2022 oikaistu'!$B:$N,COLUMN('Suoritepäätös 2022 oikaistu'!M:M),FALSE),0)</f>
        <v>4936829</v>
      </c>
      <c r="AE60" s="228">
        <f>IFERROR(VLOOKUP(Vertailu[[#This Row],[Y-tunnus]],'1.2 Ohjaus-laskentataulu'!A:AU,COLUMN('1.2 Ohjaus-laskentataulu'!O:O),FALSE),0)</f>
        <v>4877084</v>
      </c>
      <c r="AF60" s="228">
        <f>Vertailu[[#This Row],[Suoritusrahoitus 2023, €]]-Vertailu[[#This Row],[Suoritusrahoitus 2022, €]]</f>
        <v>-59745</v>
      </c>
      <c r="AG60" s="230">
        <f>IFERROR(Vertailu[[#This Row],[Suoritusrahoituksen muutos, €]]/Vertailu[[#This Row],[Suoritusrahoitus 2022, €]],0)</f>
        <v>-1.2101897797148736E-2</v>
      </c>
      <c r="AH60" s="228">
        <f>IFERROR(VLOOKUP(Vertailu[[#This Row],[Y-tunnus]],'Suoritepäätös 2022 oikaistu'!$Q:$AC,COLUMN('Suoritepäätös 2022 oikaistu'!K:K),FALSE),0)</f>
        <v>2371717</v>
      </c>
      <c r="AI60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2437940</v>
      </c>
      <c r="AJ60" s="228">
        <f>Vertailu[[#This Row],[Vaikuttavuusrahoitus 2023, €]]-Vertailu[[#This Row],[Vaikuttavuusrahoitus 2022, €]]</f>
        <v>66223</v>
      </c>
      <c r="AK60" s="230">
        <f>IFERROR(Vertailu[[#This Row],[Vaikuttavuusrahoituksen muutos, €]]/Vertailu[[#This Row],[Vaikuttavuusrahoitus 2022, €]],0)</f>
        <v>2.7921965394690849E-2</v>
      </c>
    </row>
    <row r="61" spans="1:37" s="5" customFormat="1" ht="12.75" customHeight="1" x14ac:dyDescent="0.35">
      <c r="A61" s="7" t="s">
        <v>279</v>
      </c>
      <c r="B61" s="188" t="s">
        <v>61</v>
      </c>
      <c r="C61" s="188" t="s">
        <v>192</v>
      </c>
      <c r="D61" s="11" t="s">
        <v>336</v>
      </c>
      <c r="E61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0.67016129019126436</v>
      </c>
      <c r="F61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0.67068235327067227</v>
      </c>
      <c r="G61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0.21013606096828827</v>
      </c>
      <c r="H61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0.11918158576103949</v>
      </c>
      <c r="I61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7.845540945706693E-2</v>
      </c>
      <c r="J61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3.8770349752193798E-3</v>
      </c>
      <c r="K61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1.2987480971020588E-2</v>
      </c>
      <c r="L61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1.9034434290770459E-2</v>
      </c>
      <c r="M61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4.827226066962142E-3</v>
      </c>
      <c r="N61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55814891</v>
      </c>
      <c r="O61" s="228">
        <f>IFERROR(VLOOKUP(Vertailu[[#This Row],[Y-tunnus]],'1.2 Ohjaus-laskentataulu'!A:AU,COLUMN('1.2 Ohjaus-laskentataulu'!AF:AF),FALSE),0)</f>
        <v>61380910</v>
      </c>
      <c r="P61" s="228">
        <f>IFERROR(Vertailu[[#This Row],[Rahoitus pl. hark. kor. 2023 ilman alv, €]]-Vertailu[[#This Row],[Rahoitus pl. hark. kor. 2022 ilman alv, €]],0)</f>
        <v>5566019</v>
      </c>
      <c r="Q61" s="230">
        <f>IFERROR(Vertailu[[#This Row],[Muutos, € 1]]/Vertailu[[#This Row],[Rahoitus pl. hark. kor. 2022 ilman alv, €]],0)</f>
        <v>9.9722832030613481E-2</v>
      </c>
      <c r="R61" s="233">
        <f>IFERROR(VLOOKUP(Vertailu[[#This Row],[Y-tunnus]],'Suoritepäätös 2022 oikaistu'!$Q:$AC,COLUMN('Suoritepäätös 2022 oikaistu'!L:L),FALSE),0)</f>
        <v>55966891</v>
      </c>
      <c r="S61" s="234">
        <f>IFERROR(VLOOKUP(Vertailu[[#This Row],[Y-tunnus]],'1.2 Ohjaus-laskentataulu'!A:AU,COLUMN('1.2 Ohjaus-laskentataulu'!AS:AS),FALSE),0)</f>
        <v>61412910</v>
      </c>
      <c r="T61" s="228">
        <f>IFERROR(Vertailu[[#This Row],[Rahoitus ml. hark. kor. 
2023 ilman alv, €]]-Vertailu[[#This Row],[Rahoitus ml. hark. kor. 
2022 ilman alv, €]],0)</f>
        <v>5446019</v>
      </c>
      <c r="U61" s="232">
        <f>IFERROR(Vertailu[[#This Row],[Muutos, € 2]]/Vertailu[[#This Row],[Rahoitus ml. hark. kor. 
2022 ilman alv, €]],0)</f>
        <v>9.7307870826700019E-2</v>
      </c>
      <c r="V61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55966891</v>
      </c>
      <c r="W61" s="233">
        <f>IFERROR(VLOOKUP(Vertailu[[#This Row],[Y-tunnus]],'1.2 Ohjaus-laskentataulu'!A:AU,COLUMN('1.2 Ohjaus-laskentataulu'!AU:AU),FALSE),0)</f>
        <v>61412910</v>
      </c>
      <c r="X61" s="235">
        <f>IFERROR(Vertailu[[#This Row],[Rahoitus ml. hark. kor. + alv 2023, €]]-Vertailu[[#This Row],[Rahoitus ml. hark. kor. + alv 2022, €]],0)</f>
        <v>5446019</v>
      </c>
      <c r="Y61" s="230">
        <f>IFERROR(Vertailu[[#This Row],[Muutos, € 3]]/Vertailu[[#This Row],[Rahoitus ml. hark. kor. + alv 2022, €]],0)</f>
        <v>9.7307870826700019E-2</v>
      </c>
      <c r="Z61" s="228">
        <f>IFERROR(VLOOKUP(Vertailu[[#This Row],[Y-tunnus]],'Suoritepäätös 2022 oikaistu'!$B:$N,COLUMN('Suoritepäätös 2022 oikaistu'!G:G),FALSE),0)</f>
        <v>38111569</v>
      </c>
      <c r="AA61" s="228">
        <f>IFERROR(VLOOKUP(Vertailu[[#This Row],[Y-tunnus]],'1.2 Ohjaus-laskentataulu'!A:AU,COLUMN('1.2 Ohjaus-laskentataulu'!AP:AP),FALSE),0)</f>
        <v>41188555</v>
      </c>
      <c r="AB61" s="228">
        <f>Vertailu[[#This Row],[Perusrahoitus 2023, €]]-Vertailu[[#This Row],[Perusrahoitus 2022, €]]</f>
        <v>3076986</v>
      </c>
      <c r="AC61" s="230">
        <f>IFERROR(Vertailu[[#This Row],[Perusrahoituksen muutos, €]]/Vertailu[[#This Row],[Perusrahoitus 2022, €]],0)</f>
        <v>8.0736271970330065E-2</v>
      </c>
      <c r="AD61" s="228">
        <f>IFERROR(VLOOKUP(Vertailu[[#This Row],[Y-tunnus]],'Suoritepäätös 2022 oikaistu'!$B:$N,COLUMN('Suoritepäätös 2022 oikaistu'!M:M),FALSE),0)</f>
        <v>11509404</v>
      </c>
      <c r="AE61" s="228">
        <f>IFERROR(VLOOKUP(Vertailu[[#This Row],[Y-tunnus]],'1.2 Ohjaus-laskentataulu'!A:AU,COLUMN('1.2 Ohjaus-laskentataulu'!O:O),FALSE),0)</f>
        <v>12905067</v>
      </c>
      <c r="AF61" s="228">
        <f>Vertailu[[#This Row],[Suoritusrahoitus 2023, €]]-Vertailu[[#This Row],[Suoritusrahoitus 2022, €]]</f>
        <v>1395663</v>
      </c>
      <c r="AG61" s="230">
        <f>IFERROR(Vertailu[[#This Row],[Suoritusrahoituksen muutos, €]]/Vertailu[[#This Row],[Suoritusrahoitus 2022, €]],0)</f>
        <v>0.12126283863178319</v>
      </c>
      <c r="AH61" s="228">
        <f>IFERROR(VLOOKUP(Vertailu[[#This Row],[Y-tunnus]],'Suoritepäätös 2022 oikaistu'!$Q:$AC,COLUMN('Suoritepäätös 2022 oikaistu'!K:K),FALSE),0)</f>
        <v>6345918</v>
      </c>
      <c r="AI61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7319288</v>
      </c>
      <c r="AJ61" s="228">
        <f>Vertailu[[#This Row],[Vaikuttavuusrahoitus 2023, €]]-Vertailu[[#This Row],[Vaikuttavuusrahoitus 2022, €]]</f>
        <v>973370</v>
      </c>
      <c r="AK61" s="230">
        <f>IFERROR(Vertailu[[#This Row],[Vaikuttavuusrahoituksen muutos, €]]/Vertailu[[#This Row],[Vaikuttavuusrahoitus 2022, €]],0)</f>
        <v>0.1533852155038877</v>
      </c>
    </row>
    <row r="62" spans="1:37" s="5" customFormat="1" ht="12.75" customHeight="1" x14ac:dyDescent="0.35">
      <c r="A62" s="7" t="s">
        <v>239</v>
      </c>
      <c r="B62" s="188" t="s">
        <v>490</v>
      </c>
      <c r="C62" s="188" t="s">
        <v>187</v>
      </c>
      <c r="D62" s="11" t="s">
        <v>336</v>
      </c>
      <c r="E62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0.71026689685435551</v>
      </c>
      <c r="F62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0.71110082964637744</v>
      </c>
      <c r="G62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0.19911980061667661</v>
      </c>
      <c r="H62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8.9779369736945905E-2</v>
      </c>
      <c r="I62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6.5081866348260006E-2</v>
      </c>
      <c r="J62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4.1142074294405291E-3</v>
      </c>
      <c r="K62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9.7027246418967504E-3</v>
      </c>
      <c r="L62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8.8544482058519735E-3</v>
      </c>
      <c r="M62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2.0261231114966473E-3</v>
      </c>
      <c r="N62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11106227</v>
      </c>
      <c r="O62" s="228">
        <f>IFERROR(VLOOKUP(Vertailu[[#This Row],[Y-tunnus]],'1.2 Ohjaus-laskentataulu'!A:AU,COLUMN('1.2 Ohjaus-laskentataulu'!AF:AF),FALSE),0)</f>
        <v>11981374</v>
      </c>
      <c r="P62" s="228">
        <f>IFERROR(Vertailu[[#This Row],[Rahoitus pl. hark. kor. 2023 ilman alv, €]]-Vertailu[[#This Row],[Rahoitus pl. hark. kor. 2022 ilman alv, €]],0)</f>
        <v>875147</v>
      </c>
      <c r="Q62" s="230">
        <f>IFERROR(Vertailu[[#This Row],[Muutos, € 1]]/Vertailu[[#This Row],[Rahoitus pl. hark. kor. 2022 ilman alv, €]],0)</f>
        <v>7.8797867178475645E-2</v>
      </c>
      <c r="R62" s="233">
        <f>IFERROR(VLOOKUP(Vertailu[[#This Row],[Y-tunnus]],'Suoritepäätös 2022 oikaistu'!$Q:$AC,COLUMN('Suoritepäätös 2022 oikaistu'!L:L),FALSE),0)</f>
        <v>11116227</v>
      </c>
      <c r="S62" s="234">
        <f>IFERROR(VLOOKUP(Vertailu[[#This Row],[Y-tunnus]],'1.2 Ohjaus-laskentataulu'!A:AU,COLUMN('1.2 Ohjaus-laskentataulu'!AS:AS),FALSE),0)</f>
        <v>11991374</v>
      </c>
      <c r="T62" s="228">
        <f>IFERROR(Vertailu[[#This Row],[Rahoitus ml. hark. kor. 
2023 ilman alv, €]]-Vertailu[[#This Row],[Rahoitus ml. hark. kor. 
2022 ilman alv, €]],0)</f>
        <v>875147</v>
      </c>
      <c r="U62" s="232">
        <f>IFERROR(Vertailu[[#This Row],[Muutos, € 2]]/Vertailu[[#This Row],[Rahoitus ml. hark. kor. 
2022 ilman alv, €]],0)</f>
        <v>7.8726981735799381E-2</v>
      </c>
      <c r="V62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11116227</v>
      </c>
      <c r="W62" s="233">
        <f>IFERROR(VLOOKUP(Vertailu[[#This Row],[Y-tunnus]],'1.2 Ohjaus-laskentataulu'!A:AU,COLUMN('1.2 Ohjaus-laskentataulu'!AU:AU),FALSE),0)</f>
        <v>11991374</v>
      </c>
      <c r="X62" s="235">
        <f>IFERROR(Vertailu[[#This Row],[Rahoitus ml. hark. kor. + alv 2023, €]]-Vertailu[[#This Row],[Rahoitus ml. hark. kor. + alv 2022, €]],0)</f>
        <v>875147</v>
      </c>
      <c r="Y62" s="230">
        <f>IFERROR(Vertailu[[#This Row],[Muutos, € 3]]/Vertailu[[#This Row],[Rahoitus ml. hark. kor. + alv 2022, €]],0)</f>
        <v>7.8726981735799381E-2</v>
      </c>
      <c r="Z62" s="228">
        <f>IFERROR(VLOOKUP(Vertailu[[#This Row],[Y-tunnus]],'Suoritepäätös 2022 oikaistu'!$B:$N,COLUMN('Suoritepäätös 2022 oikaistu'!G:G),FALSE),0)</f>
        <v>7829211</v>
      </c>
      <c r="AA62" s="228">
        <f>IFERROR(VLOOKUP(Vertailu[[#This Row],[Y-tunnus]],'1.2 Ohjaus-laskentataulu'!A:AU,COLUMN('1.2 Ohjaus-laskentataulu'!AP:AP),FALSE),0)</f>
        <v>8527076</v>
      </c>
      <c r="AB62" s="228">
        <f>Vertailu[[#This Row],[Perusrahoitus 2023, €]]-Vertailu[[#This Row],[Perusrahoitus 2022, €]]</f>
        <v>697865</v>
      </c>
      <c r="AC62" s="230">
        <f>IFERROR(Vertailu[[#This Row],[Perusrahoituksen muutos, €]]/Vertailu[[#This Row],[Perusrahoitus 2022, €]],0)</f>
        <v>8.9136057260431473E-2</v>
      </c>
      <c r="AD62" s="228">
        <f>IFERROR(VLOOKUP(Vertailu[[#This Row],[Y-tunnus]],'Suoritepäätös 2022 oikaistu'!$B:$N,COLUMN('Suoritepäätös 2022 oikaistu'!M:M),FALSE),0)</f>
        <v>2334138</v>
      </c>
      <c r="AE62" s="228">
        <f>IFERROR(VLOOKUP(Vertailu[[#This Row],[Y-tunnus]],'1.2 Ohjaus-laskentataulu'!A:AU,COLUMN('1.2 Ohjaus-laskentataulu'!O:O),FALSE),0)</f>
        <v>2387720</v>
      </c>
      <c r="AF62" s="228">
        <f>Vertailu[[#This Row],[Suoritusrahoitus 2023, €]]-Vertailu[[#This Row],[Suoritusrahoitus 2022, €]]</f>
        <v>53582</v>
      </c>
      <c r="AG62" s="230">
        <f>IFERROR(Vertailu[[#This Row],[Suoritusrahoituksen muutos, €]]/Vertailu[[#This Row],[Suoritusrahoitus 2022, €]],0)</f>
        <v>2.2955797814867843E-2</v>
      </c>
      <c r="AH62" s="228">
        <f>IFERROR(VLOOKUP(Vertailu[[#This Row],[Y-tunnus]],'Suoritepäätös 2022 oikaistu'!$Q:$AC,COLUMN('Suoritepäätös 2022 oikaistu'!K:K),FALSE),0)</f>
        <v>952878</v>
      </c>
      <c r="AI62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1076578</v>
      </c>
      <c r="AJ62" s="228">
        <f>Vertailu[[#This Row],[Vaikuttavuusrahoitus 2023, €]]-Vertailu[[#This Row],[Vaikuttavuusrahoitus 2022, €]]</f>
        <v>123700</v>
      </c>
      <c r="AK62" s="230">
        <f>IFERROR(Vertailu[[#This Row],[Vaikuttavuusrahoituksen muutos, €]]/Vertailu[[#This Row],[Vaikuttavuusrahoitus 2022, €]],0)</f>
        <v>0.12981724837807149</v>
      </c>
    </row>
    <row r="63" spans="1:37" s="5" customFormat="1" ht="12.75" customHeight="1" x14ac:dyDescent="0.35">
      <c r="A63" s="7" t="s">
        <v>253</v>
      </c>
      <c r="B63" s="188" t="s">
        <v>458</v>
      </c>
      <c r="C63" s="188" t="s">
        <v>187</v>
      </c>
      <c r="D63" s="11" t="s">
        <v>336</v>
      </c>
      <c r="E63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0.67137924013225581</v>
      </c>
      <c r="F63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0.67357182707601548</v>
      </c>
      <c r="G63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0.21648047280730945</v>
      </c>
      <c r="H63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0.10994770011667504</v>
      </c>
      <c r="I63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7.6987890903825781E-2</v>
      </c>
      <c r="J63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3.9256798590433985E-3</v>
      </c>
      <c r="K63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1.152196417286195E-2</v>
      </c>
      <c r="L63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1.311366196913827E-2</v>
      </c>
      <c r="M63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4.3985032118056371E-3</v>
      </c>
      <c r="N63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69976406</v>
      </c>
      <c r="O63" s="228">
        <f>IFERROR(VLOOKUP(Vertailu[[#This Row],[Y-tunnus]],'1.2 Ohjaus-laskentataulu'!A:AU,COLUMN('1.2 Ohjaus-laskentataulu'!AF:AF),FALSE),0)</f>
        <v>74633490</v>
      </c>
      <c r="P63" s="228">
        <f>IFERROR(Vertailu[[#This Row],[Rahoitus pl. hark. kor. 2023 ilman alv, €]]-Vertailu[[#This Row],[Rahoitus pl. hark. kor. 2022 ilman alv, €]],0)</f>
        <v>4657084</v>
      </c>
      <c r="Q63" s="230">
        <f>IFERROR(Vertailu[[#This Row],[Muutos, € 1]]/Vertailu[[#This Row],[Rahoitus pl. hark. kor. 2022 ilman alv, €]],0)</f>
        <v>6.6552203324074688E-2</v>
      </c>
      <c r="R63" s="233">
        <f>IFERROR(VLOOKUP(Vertailu[[#This Row],[Y-tunnus]],'Suoritepäätös 2022 oikaistu'!$Q:$AC,COLUMN('Suoritepäätös 2022 oikaistu'!L:L),FALSE),0)</f>
        <v>70147406</v>
      </c>
      <c r="S63" s="234">
        <f>IFERROR(VLOOKUP(Vertailu[[#This Row],[Y-tunnus]],'1.2 Ohjaus-laskentataulu'!A:AU,COLUMN('1.2 Ohjaus-laskentataulu'!AS:AS),FALSE),0)</f>
        <v>74797490</v>
      </c>
      <c r="T63" s="228">
        <f>IFERROR(Vertailu[[#This Row],[Rahoitus ml. hark. kor. 
2023 ilman alv, €]]-Vertailu[[#This Row],[Rahoitus ml. hark. kor. 
2022 ilman alv, €]],0)</f>
        <v>4650084</v>
      </c>
      <c r="U63" s="232">
        <f>IFERROR(Vertailu[[#This Row],[Muutos, € 2]]/Vertailu[[#This Row],[Rahoitus ml. hark. kor. 
2022 ilman alv, €]],0)</f>
        <v>6.629017757263897E-2</v>
      </c>
      <c r="V63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70147406</v>
      </c>
      <c r="W63" s="233">
        <f>IFERROR(VLOOKUP(Vertailu[[#This Row],[Y-tunnus]],'1.2 Ohjaus-laskentataulu'!A:AU,COLUMN('1.2 Ohjaus-laskentataulu'!AU:AU),FALSE),0)</f>
        <v>74797490</v>
      </c>
      <c r="X63" s="235">
        <f>IFERROR(Vertailu[[#This Row],[Rahoitus ml. hark. kor. + alv 2023, €]]-Vertailu[[#This Row],[Rahoitus ml. hark. kor. + alv 2022, €]],0)</f>
        <v>4650084</v>
      </c>
      <c r="Y63" s="230">
        <f>IFERROR(Vertailu[[#This Row],[Muutos, € 3]]/Vertailu[[#This Row],[Rahoitus ml. hark. kor. + alv 2022, €]],0)</f>
        <v>6.629017757263897E-2</v>
      </c>
      <c r="Z63" s="228">
        <f>IFERROR(VLOOKUP(Vertailu[[#This Row],[Y-tunnus]],'Suoritepäätös 2022 oikaistu'!$B:$N,COLUMN('Suoritepäätös 2022 oikaistu'!G:G),FALSE),0)</f>
        <v>46916494</v>
      </c>
      <c r="AA63" s="228">
        <f>IFERROR(VLOOKUP(Vertailu[[#This Row],[Y-tunnus]],'1.2 Ohjaus-laskentataulu'!A:AU,COLUMN('1.2 Ohjaus-laskentataulu'!AP:AP),FALSE),0)</f>
        <v>50381482</v>
      </c>
      <c r="AB63" s="228">
        <f>Vertailu[[#This Row],[Perusrahoitus 2023, €]]-Vertailu[[#This Row],[Perusrahoitus 2022, €]]</f>
        <v>3464988</v>
      </c>
      <c r="AC63" s="230">
        <f>IFERROR(Vertailu[[#This Row],[Perusrahoituksen muutos, €]]/Vertailu[[#This Row],[Perusrahoitus 2022, €]],0)</f>
        <v>7.385436771980447E-2</v>
      </c>
      <c r="AD63" s="228">
        <f>IFERROR(VLOOKUP(Vertailu[[#This Row],[Y-tunnus]],'Suoritepäätös 2022 oikaistu'!$B:$N,COLUMN('Suoritepäätös 2022 oikaistu'!M:M),FALSE),0)</f>
        <v>14998010</v>
      </c>
      <c r="AE63" s="228">
        <f>IFERROR(VLOOKUP(Vertailu[[#This Row],[Y-tunnus]],'1.2 Ohjaus-laskentataulu'!A:AU,COLUMN('1.2 Ohjaus-laskentataulu'!O:O),FALSE),0)</f>
        <v>16192196</v>
      </c>
      <c r="AF63" s="228">
        <f>Vertailu[[#This Row],[Suoritusrahoitus 2023, €]]-Vertailu[[#This Row],[Suoritusrahoitus 2022, €]]</f>
        <v>1194186</v>
      </c>
      <c r="AG63" s="230">
        <f>IFERROR(Vertailu[[#This Row],[Suoritusrahoituksen muutos, €]]/Vertailu[[#This Row],[Suoritusrahoitus 2022, €]],0)</f>
        <v>7.9622963313132872E-2</v>
      </c>
      <c r="AH63" s="228">
        <f>IFERROR(VLOOKUP(Vertailu[[#This Row],[Y-tunnus]],'Suoritepäätös 2022 oikaistu'!$Q:$AC,COLUMN('Suoritepäätös 2022 oikaistu'!K:K),FALSE),0)</f>
        <v>8232902</v>
      </c>
      <c r="AI63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8223812</v>
      </c>
      <c r="AJ63" s="228">
        <f>Vertailu[[#This Row],[Vaikuttavuusrahoitus 2023, €]]-Vertailu[[#This Row],[Vaikuttavuusrahoitus 2022, €]]</f>
        <v>-9090</v>
      </c>
      <c r="AK63" s="230">
        <f>IFERROR(Vertailu[[#This Row],[Vaikuttavuusrahoituksen muutos, €]]/Vertailu[[#This Row],[Vaikuttavuusrahoitus 2022, €]],0)</f>
        <v>-1.1041064256564696E-3</v>
      </c>
    </row>
    <row r="64" spans="1:37" s="5" customFormat="1" ht="12.75" customHeight="1" x14ac:dyDescent="0.35">
      <c r="A64" s="7" t="s">
        <v>278</v>
      </c>
      <c r="B64" s="188" t="s">
        <v>62</v>
      </c>
      <c r="C64" s="188" t="s">
        <v>265</v>
      </c>
      <c r="D64" s="11" t="s">
        <v>336</v>
      </c>
      <c r="E64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0.68939473635601778</v>
      </c>
      <c r="F64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0.69127105611242645</v>
      </c>
      <c r="G64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0.19597526076570776</v>
      </c>
      <c r="H64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0.11275368312186584</v>
      </c>
      <c r="I64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7.4001425752838898E-2</v>
      </c>
      <c r="J64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3.8225636957394909E-3</v>
      </c>
      <c r="K64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1.3297603201651962E-2</v>
      </c>
      <c r="L64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1.5065596764123966E-2</v>
      </c>
      <c r="M64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6.5664937075115212E-3</v>
      </c>
      <c r="N64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22038622</v>
      </c>
      <c r="O64" s="228">
        <f>IFERROR(VLOOKUP(Vertailu[[#This Row],[Y-tunnus]],'1.2 Ohjaus-laskentataulu'!A:AU,COLUMN('1.2 Ohjaus-laskentataulu'!AF:AF),FALSE),0)</f>
        <v>23938119</v>
      </c>
      <c r="P64" s="228">
        <f>IFERROR(Vertailu[[#This Row],[Rahoitus pl. hark. kor. 2023 ilman alv, €]]-Vertailu[[#This Row],[Rahoitus pl. hark. kor. 2022 ilman alv, €]],0)</f>
        <v>1899497</v>
      </c>
      <c r="Q64" s="230">
        <f>IFERROR(Vertailu[[#This Row],[Muutos, € 1]]/Vertailu[[#This Row],[Rahoitus pl. hark. kor. 2022 ilman alv, €]],0)</f>
        <v>8.6189463206910122E-2</v>
      </c>
      <c r="R64" s="233">
        <f>IFERROR(VLOOKUP(Vertailu[[#This Row],[Y-tunnus]],'Suoritepäätös 2022 oikaistu'!$Q:$AC,COLUMN('Suoritepäätös 2022 oikaistu'!L:L),FALSE),0)</f>
        <v>22084622</v>
      </c>
      <c r="S64" s="234">
        <f>IFERROR(VLOOKUP(Vertailu[[#This Row],[Y-tunnus]],'1.2 Ohjaus-laskentataulu'!A:AU,COLUMN('1.2 Ohjaus-laskentataulu'!AS:AS),FALSE),0)</f>
        <v>23983119</v>
      </c>
      <c r="T64" s="228">
        <f>IFERROR(Vertailu[[#This Row],[Rahoitus ml. hark. kor. 
2023 ilman alv, €]]-Vertailu[[#This Row],[Rahoitus ml. hark. kor. 
2022 ilman alv, €]],0)</f>
        <v>1898497</v>
      </c>
      <c r="U64" s="232">
        <f>IFERROR(Vertailu[[#This Row],[Muutos, € 2]]/Vertailu[[#This Row],[Rahoitus ml. hark. kor. 
2022 ilman alv, €]],0)</f>
        <v>8.5964659028350141E-2</v>
      </c>
      <c r="V64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22084622</v>
      </c>
      <c r="W64" s="233">
        <f>IFERROR(VLOOKUP(Vertailu[[#This Row],[Y-tunnus]],'1.2 Ohjaus-laskentataulu'!A:AU,COLUMN('1.2 Ohjaus-laskentataulu'!AU:AU),FALSE),0)</f>
        <v>23983119</v>
      </c>
      <c r="X64" s="235">
        <f>IFERROR(Vertailu[[#This Row],[Rahoitus ml. hark. kor. + alv 2023, €]]-Vertailu[[#This Row],[Rahoitus ml. hark. kor. + alv 2022, €]],0)</f>
        <v>1898497</v>
      </c>
      <c r="Y64" s="230">
        <f>IFERROR(Vertailu[[#This Row],[Muutos, € 3]]/Vertailu[[#This Row],[Rahoitus ml. hark. kor. + alv 2022, €]],0)</f>
        <v>8.5964659028350141E-2</v>
      </c>
      <c r="Z64" s="228">
        <f>IFERROR(VLOOKUP(Vertailu[[#This Row],[Y-tunnus]],'Suoritepäätös 2022 oikaistu'!$B:$N,COLUMN('Suoritepäätös 2022 oikaistu'!G:G),FALSE),0)</f>
        <v>15731444</v>
      </c>
      <c r="AA64" s="228">
        <f>IFERROR(VLOOKUP(Vertailu[[#This Row],[Y-tunnus]],'1.2 Ohjaus-laskentataulu'!A:AU,COLUMN('1.2 Ohjaus-laskentataulu'!AP:AP),FALSE),0)</f>
        <v>16578836</v>
      </c>
      <c r="AB64" s="228">
        <f>Vertailu[[#This Row],[Perusrahoitus 2023, €]]-Vertailu[[#This Row],[Perusrahoitus 2022, €]]</f>
        <v>847392</v>
      </c>
      <c r="AC64" s="230">
        <f>IFERROR(Vertailu[[#This Row],[Perusrahoituksen muutos, €]]/Vertailu[[#This Row],[Perusrahoitus 2022, €]],0)</f>
        <v>5.3866129517417476E-2</v>
      </c>
      <c r="AD64" s="228">
        <f>IFERROR(VLOOKUP(Vertailu[[#This Row],[Y-tunnus]],'Suoritepäätös 2022 oikaistu'!$B:$N,COLUMN('Suoritepäätös 2022 oikaistu'!M:M),FALSE),0)</f>
        <v>3926098</v>
      </c>
      <c r="AE64" s="228">
        <f>IFERROR(VLOOKUP(Vertailu[[#This Row],[Y-tunnus]],'1.2 Ohjaus-laskentataulu'!A:AU,COLUMN('1.2 Ohjaus-laskentataulu'!O:O),FALSE),0)</f>
        <v>4700098</v>
      </c>
      <c r="AF64" s="228">
        <f>Vertailu[[#This Row],[Suoritusrahoitus 2023, €]]-Vertailu[[#This Row],[Suoritusrahoitus 2022, €]]</f>
        <v>774000</v>
      </c>
      <c r="AG64" s="230">
        <f>IFERROR(Vertailu[[#This Row],[Suoritusrahoituksen muutos, €]]/Vertailu[[#This Row],[Suoritusrahoitus 2022, €]],0)</f>
        <v>0.19714230261190627</v>
      </c>
      <c r="AH64" s="228">
        <f>IFERROR(VLOOKUP(Vertailu[[#This Row],[Y-tunnus]],'Suoritepäätös 2022 oikaistu'!$Q:$AC,COLUMN('Suoritepäätös 2022 oikaistu'!K:K),FALSE),0)</f>
        <v>2427080</v>
      </c>
      <c r="AI64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2704185</v>
      </c>
      <c r="AJ64" s="228">
        <f>Vertailu[[#This Row],[Vaikuttavuusrahoitus 2023, €]]-Vertailu[[#This Row],[Vaikuttavuusrahoitus 2022, €]]</f>
        <v>277105</v>
      </c>
      <c r="AK64" s="230">
        <f>IFERROR(Vertailu[[#This Row],[Vaikuttavuusrahoituksen muutos, €]]/Vertailu[[#This Row],[Vaikuttavuusrahoitus 2022, €]],0)</f>
        <v>0.11417217397036769</v>
      </c>
    </row>
    <row r="65" spans="1:37" s="5" customFormat="1" ht="12.75" customHeight="1" x14ac:dyDescent="0.35">
      <c r="A65" s="7" t="s">
        <v>493</v>
      </c>
      <c r="B65" s="188" t="s">
        <v>494</v>
      </c>
      <c r="C65" s="188" t="s">
        <v>196</v>
      </c>
      <c r="D65" s="11" t="s">
        <v>337</v>
      </c>
      <c r="E65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0.69047004311899229</v>
      </c>
      <c r="F65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0.69193659876864977</v>
      </c>
      <c r="G65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0.20200145738027586</v>
      </c>
      <c r="H65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0.10606194385107436</v>
      </c>
      <c r="I65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7.2826483678626971E-2</v>
      </c>
      <c r="J65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3.9889185550952243E-3</v>
      </c>
      <c r="K65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1.1458575330683856E-2</v>
      </c>
      <c r="L65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1.2149924705528788E-2</v>
      </c>
      <c r="M65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5.6380415811395227E-3</v>
      </c>
      <c r="N65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26003673</v>
      </c>
      <c r="O65" s="228">
        <f>IFERROR(VLOOKUP(Vertailu[[#This Row],[Y-tunnus]],'1.2 Ohjaus-laskentataulu'!A:AU,COLUMN('1.2 Ohjaus-laskentataulu'!AF:AF),FALSE),0)</f>
        <v>26553922</v>
      </c>
      <c r="P65" s="228">
        <f>IFERROR(Vertailu[[#This Row],[Rahoitus pl. hark. kor. 2023 ilman alv, €]]-Vertailu[[#This Row],[Rahoitus pl. hark. kor. 2022 ilman alv, €]],0)</f>
        <v>550249</v>
      </c>
      <c r="Q65" s="230">
        <f>IFERROR(Vertailu[[#This Row],[Muutos, € 1]]/Vertailu[[#This Row],[Rahoitus pl. hark. kor. 2022 ilman alv, €]],0)</f>
        <v>2.116043375872324E-2</v>
      </c>
      <c r="R65" s="233">
        <f>IFERROR(VLOOKUP(Vertailu[[#This Row],[Y-tunnus]],'Suoritepäätös 2022 oikaistu'!$Q:$AC,COLUMN('Suoritepäätös 2022 oikaistu'!L:L),FALSE),0)</f>
        <v>26047673</v>
      </c>
      <c r="S65" s="234">
        <f>IFERROR(VLOOKUP(Vertailu[[#This Row],[Y-tunnus]],'1.2 Ohjaus-laskentataulu'!A:AU,COLUMN('1.2 Ohjaus-laskentataulu'!AS:AS),FALSE),0)</f>
        <v>26592922</v>
      </c>
      <c r="T65" s="228">
        <f>IFERROR(Vertailu[[#This Row],[Rahoitus ml. hark. kor. 
2023 ilman alv, €]]-Vertailu[[#This Row],[Rahoitus ml. hark. kor. 
2022 ilman alv, €]],0)</f>
        <v>545249</v>
      </c>
      <c r="U65" s="232">
        <f>IFERROR(Vertailu[[#This Row],[Muutos, € 2]]/Vertailu[[#This Row],[Rahoitus ml. hark. kor. 
2022 ilman alv, €]],0)</f>
        <v>2.0932733607336055E-2</v>
      </c>
      <c r="V65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26877790</v>
      </c>
      <c r="W65" s="233">
        <f>IFERROR(VLOOKUP(Vertailu[[#This Row],[Y-tunnus]],'1.2 Ohjaus-laskentataulu'!A:AU,COLUMN('1.2 Ohjaus-laskentataulu'!AU:AU),FALSE),0)</f>
        <v>27442793</v>
      </c>
      <c r="X65" s="235">
        <f>IFERROR(Vertailu[[#This Row],[Rahoitus ml. hark. kor. + alv 2023, €]]-Vertailu[[#This Row],[Rahoitus ml. hark. kor. + alv 2022, €]],0)</f>
        <v>565003</v>
      </c>
      <c r="Y65" s="230">
        <f>IFERROR(Vertailu[[#This Row],[Muutos, € 3]]/Vertailu[[#This Row],[Rahoitus ml. hark. kor. + alv 2022, €]],0)</f>
        <v>2.1021185149523083E-2</v>
      </c>
      <c r="Z65" s="228">
        <f>IFERROR(VLOOKUP(Vertailu[[#This Row],[Y-tunnus]],'Suoritepäätös 2022 oikaistu'!$B:$N,COLUMN('Suoritepäätös 2022 oikaistu'!G:G),FALSE),0)</f>
        <v>17843636</v>
      </c>
      <c r="AA65" s="228">
        <f>IFERROR(VLOOKUP(Vertailu[[#This Row],[Y-tunnus]],'1.2 Ohjaus-laskentataulu'!A:AU,COLUMN('1.2 Ohjaus-laskentataulu'!AP:AP),FALSE),0)</f>
        <v>18400616</v>
      </c>
      <c r="AB65" s="228">
        <f>Vertailu[[#This Row],[Perusrahoitus 2023, €]]-Vertailu[[#This Row],[Perusrahoitus 2022, €]]</f>
        <v>556980</v>
      </c>
      <c r="AC65" s="230">
        <f>IFERROR(Vertailu[[#This Row],[Perusrahoituksen muutos, €]]/Vertailu[[#This Row],[Perusrahoitus 2022, €]],0)</f>
        <v>3.1214490140910742E-2</v>
      </c>
      <c r="AD65" s="228">
        <f>IFERROR(VLOOKUP(Vertailu[[#This Row],[Y-tunnus]],'Suoritepäätös 2022 oikaistu'!$B:$N,COLUMN('Suoritepäätös 2022 oikaistu'!M:M),FALSE),0)</f>
        <v>5378216</v>
      </c>
      <c r="AE65" s="228">
        <f>IFERROR(VLOOKUP(Vertailu[[#This Row],[Y-tunnus]],'1.2 Ohjaus-laskentataulu'!A:AU,COLUMN('1.2 Ohjaus-laskentataulu'!O:O),FALSE),0)</f>
        <v>5371809</v>
      </c>
      <c r="AF65" s="228">
        <f>Vertailu[[#This Row],[Suoritusrahoitus 2023, €]]-Vertailu[[#This Row],[Suoritusrahoitus 2022, €]]</f>
        <v>-6407</v>
      </c>
      <c r="AG65" s="230">
        <f>IFERROR(Vertailu[[#This Row],[Suoritusrahoituksen muutos, €]]/Vertailu[[#This Row],[Suoritusrahoitus 2022, €]],0)</f>
        <v>-1.1912872223800606E-3</v>
      </c>
      <c r="AH65" s="228">
        <f>IFERROR(VLOOKUP(Vertailu[[#This Row],[Y-tunnus]],'Suoritepäätös 2022 oikaistu'!$Q:$AC,COLUMN('Suoritepäätös 2022 oikaistu'!K:K),FALSE),0)</f>
        <v>2825821</v>
      </c>
      <c r="AI65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2820497</v>
      </c>
      <c r="AJ65" s="228">
        <f>Vertailu[[#This Row],[Vaikuttavuusrahoitus 2023, €]]-Vertailu[[#This Row],[Vaikuttavuusrahoitus 2022, €]]</f>
        <v>-5324</v>
      </c>
      <c r="AK65" s="230">
        <f>IFERROR(Vertailu[[#This Row],[Vaikuttavuusrahoituksen muutos, €]]/Vertailu[[#This Row],[Vaikuttavuusrahoitus 2022, €]],0)</f>
        <v>-1.8840542270724154E-3</v>
      </c>
    </row>
    <row r="66" spans="1:37" s="5" customFormat="1" ht="12.75" customHeight="1" x14ac:dyDescent="0.35">
      <c r="A66" s="7" t="s">
        <v>274</v>
      </c>
      <c r="B66" s="188" t="s">
        <v>63</v>
      </c>
      <c r="C66" s="188" t="s">
        <v>187</v>
      </c>
      <c r="D66" s="11" t="s">
        <v>337</v>
      </c>
      <c r="E66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0.59623594002628788</v>
      </c>
      <c r="F66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0.60269806743617682</v>
      </c>
      <c r="G66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0.16122878645124519</v>
      </c>
      <c r="H66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0.23607314611257801</v>
      </c>
      <c r="I66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0.10957829448948547</v>
      </c>
      <c r="J66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1.1021804510306448E-2</v>
      </c>
      <c r="K66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2.6449487488675122E-2</v>
      </c>
      <c r="L66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6.1684883403835142E-2</v>
      </c>
      <c r="M66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2.7338676220275828E-2</v>
      </c>
      <c r="N66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725394</v>
      </c>
      <c r="O66" s="228">
        <f>IFERROR(VLOOKUP(Vertailu[[#This Row],[Y-tunnus]],'1.2 Ohjaus-laskentataulu'!A:AU,COLUMN('1.2 Ohjaus-laskentataulu'!AF:AF),FALSE),0)</f>
        <v>768739</v>
      </c>
      <c r="P66" s="228">
        <f>IFERROR(Vertailu[[#This Row],[Rahoitus pl. hark. kor. 2023 ilman alv, €]]-Vertailu[[#This Row],[Rahoitus pl. hark. kor. 2022 ilman alv, €]],0)</f>
        <v>43345</v>
      </c>
      <c r="Q66" s="230">
        <f>IFERROR(Vertailu[[#This Row],[Muutos, € 1]]/Vertailu[[#This Row],[Rahoitus pl. hark. kor. 2022 ilman alv, €]],0)</f>
        <v>5.97537338329239E-2</v>
      </c>
      <c r="R66" s="233">
        <f>IFERROR(VLOOKUP(Vertailu[[#This Row],[Y-tunnus]],'Suoritepäätös 2022 oikaistu'!$Q:$AC,COLUMN('Suoritepäätös 2022 oikaistu'!L:L),FALSE),0)</f>
        <v>730394</v>
      </c>
      <c r="S66" s="234">
        <f>IFERROR(VLOOKUP(Vertailu[[#This Row],[Y-tunnus]],'1.2 Ohjaus-laskentataulu'!A:AU,COLUMN('1.2 Ohjaus-laskentataulu'!AS:AS),FALSE),0)</f>
        <v>773739</v>
      </c>
      <c r="T66" s="228">
        <f>IFERROR(Vertailu[[#This Row],[Rahoitus ml. hark. kor. 
2023 ilman alv, €]]-Vertailu[[#This Row],[Rahoitus ml. hark. kor. 
2022 ilman alv, €]],0)</f>
        <v>43345</v>
      </c>
      <c r="U66" s="232">
        <f>IFERROR(Vertailu[[#This Row],[Muutos, € 2]]/Vertailu[[#This Row],[Rahoitus ml. hark. kor. 
2022 ilman alv, €]],0)</f>
        <v>5.9344682459056344E-2</v>
      </c>
      <c r="V66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754011</v>
      </c>
      <c r="W66" s="233">
        <f>IFERROR(VLOOKUP(Vertailu[[#This Row],[Y-tunnus]],'1.2 Ohjaus-laskentataulu'!A:AU,COLUMN('1.2 Ohjaus-laskentataulu'!AU:AU),FALSE),0)</f>
        <v>802970</v>
      </c>
      <c r="X66" s="235">
        <f>IFERROR(Vertailu[[#This Row],[Rahoitus ml. hark. kor. + alv 2023, €]]-Vertailu[[#This Row],[Rahoitus ml. hark. kor. + alv 2022, €]],0)</f>
        <v>48959</v>
      </c>
      <c r="Y66" s="230">
        <f>IFERROR(Vertailu[[#This Row],[Muutos, € 3]]/Vertailu[[#This Row],[Rahoitus ml. hark. kor. + alv 2022, €]],0)</f>
        <v>6.4931413467442786E-2</v>
      </c>
      <c r="Z66" s="228">
        <f>IFERROR(VLOOKUP(Vertailu[[#This Row],[Y-tunnus]],'Suoritepäätös 2022 oikaistu'!$B:$N,COLUMN('Suoritepäätös 2022 oikaistu'!G:G),FALSE),0)</f>
        <v>423930</v>
      </c>
      <c r="AA66" s="228">
        <f>IFERROR(VLOOKUP(Vertailu[[#This Row],[Y-tunnus]],'1.2 Ohjaus-laskentataulu'!A:AU,COLUMN('1.2 Ohjaus-laskentataulu'!AP:AP),FALSE),0)</f>
        <v>466331</v>
      </c>
      <c r="AB66" s="228">
        <f>Vertailu[[#This Row],[Perusrahoitus 2023, €]]-Vertailu[[#This Row],[Perusrahoitus 2022, €]]</f>
        <v>42401</v>
      </c>
      <c r="AC66" s="230">
        <f>IFERROR(Vertailu[[#This Row],[Perusrahoituksen muutos, €]]/Vertailu[[#This Row],[Perusrahoitus 2022, €]],0)</f>
        <v>0.1000188710400302</v>
      </c>
      <c r="AD66" s="228">
        <f>IFERROR(VLOOKUP(Vertailu[[#This Row],[Y-tunnus]],'Suoritepäätös 2022 oikaistu'!$B:$N,COLUMN('Suoritepäätös 2022 oikaistu'!M:M),FALSE),0)</f>
        <v>175859</v>
      </c>
      <c r="AE66" s="228">
        <f>IFERROR(VLOOKUP(Vertailu[[#This Row],[Y-tunnus]],'1.2 Ohjaus-laskentataulu'!A:AU,COLUMN('1.2 Ohjaus-laskentataulu'!O:O),FALSE),0)</f>
        <v>124749</v>
      </c>
      <c r="AF66" s="228">
        <f>Vertailu[[#This Row],[Suoritusrahoitus 2023, €]]-Vertailu[[#This Row],[Suoritusrahoitus 2022, €]]</f>
        <v>-51110</v>
      </c>
      <c r="AG66" s="230">
        <f>IFERROR(Vertailu[[#This Row],[Suoritusrahoituksen muutos, €]]/Vertailu[[#This Row],[Suoritusrahoitus 2022, €]],0)</f>
        <v>-0.29063056198431697</v>
      </c>
      <c r="AH66" s="228">
        <f>IFERROR(VLOOKUP(Vertailu[[#This Row],[Y-tunnus]],'Suoritepäätös 2022 oikaistu'!$Q:$AC,COLUMN('Suoritepäätös 2022 oikaistu'!K:K),FALSE),0)</f>
        <v>130605</v>
      </c>
      <c r="AI66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182659</v>
      </c>
      <c r="AJ66" s="228">
        <f>Vertailu[[#This Row],[Vaikuttavuusrahoitus 2023, €]]-Vertailu[[#This Row],[Vaikuttavuusrahoitus 2022, €]]</f>
        <v>52054</v>
      </c>
      <c r="AK66" s="230">
        <f>IFERROR(Vertailu[[#This Row],[Vaikuttavuusrahoituksen muutos, €]]/Vertailu[[#This Row],[Vaikuttavuusrahoitus 2022, €]],0)</f>
        <v>0.39856054515523909</v>
      </c>
    </row>
    <row r="67" spans="1:37" s="5" customFormat="1" ht="12.75" customHeight="1" x14ac:dyDescent="0.35">
      <c r="A67" s="7" t="s">
        <v>273</v>
      </c>
      <c r="B67" s="188" t="s">
        <v>64</v>
      </c>
      <c r="C67" s="188" t="s">
        <v>184</v>
      </c>
      <c r="D67" s="11" t="s">
        <v>337</v>
      </c>
      <c r="E67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0.61372489900903449</v>
      </c>
      <c r="F67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0.61372489900903449</v>
      </c>
      <c r="G67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0.31389379539257067</v>
      </c>
      <c r="H67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7.2381305598394813E-2</v>
      </c>
      <c r="I67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6.005560506529059E-2</v>
      </c>
      <c r="J67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2.6535142721446372E-3</v>
      </c>
      <c r="K67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9.6561771250793793E-3</v>
      </c>
      <c r="L67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0</v>
      </c>
      <c r="M67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1.6009135880208973E-5</v>
      </c>
      <c r="N67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656622</v>
      </c>
      <c r="O67" s="228">
        <f>IFERROR(VLOOKUP(Vertailu[[#This Row],[Y-tunnus]],'1.2 Ohjaus-laskentataulu'!A:AU,COLUMN('1.2 Ohjaus-laskentataulu'!AF:AF),FALSE),0)</f>
        <v>749572</v>
      </c>
      <c r="P67" s="228">
        <f>IFERROR(Vertailu[[#This Row],[Rahoitus pl. hark. kor. 2023 ilman alv, €]]-Vertailu[[#This Row],[Rahoitus pl. hark. kor. 2022 ilman alv, €]],0)</f>
        <v>92950</v>
      </c>
      <c r="Q67" s="230">
        <f>IFERROR(Vertailu[[#This Row],[Muutos, € 1]]/Vertailu[[#This Row],[Rahoitus pl. hark. kor. 2022 ilman alv, €]],0)</f>
        <v>0.14155785215847169</v>
      </c>
      <c r="R67" s="233">
        <f>IFERROR(VLOOKUP(Vertailu[[#This Row],[Y-tunnus]],'Suoritepäätös 2022 oikaistu'!$Q:$AC,COLUMN('Suoritepäätös 2022 oikaistu'!L:L),FALSE),0)</f>
        <v>681622</v>
      </c>
      <c r="S67" s="234">
        <f>IFERROR(VLOOKUP(Vertailu[[#This Row],[Y-tunnus]],'1.2 Ohjaus-laskentataulu'!A:AU,COLUMN('1.2 Ohjaus-laskentataulu'!AS:AS),FALSE),0)</f>
        <v>749572</v>
      </c>
      <c r="T67" s="228">
        <f>IFERROR(Vertailu[[#This Row],[Rahoitus ml. hark. kor. 
2023 ilman alv, €]]-Vertailu[[#This Row],[Rahoitus ml. hark. kor. 
2022 ilman alv, €]],0)</f>
        <v>67950</v>
      </c>
      <c r="U67" s="232">
        <f>IFERROR(Vertailu[[#This Row],[Muutos, € 2]]/Vertailu[[#This Row],[Rahoitus ml. hark. kor. 
2022 ilman alv, €]],0)</f>
        <v>9.9688683757273092E-2</v>
      </c>
      <c r="V67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700431</v>
      </c>
      <c r="W67" s="233">
        <f>IFERROR(VLOOKUP(Vertailu[[#This Row],[Y-tunnus]],'1.2 Ohjaus-laskentataulu'!A:AU,COLUMN('1.2 Ohjaus-laskentataulu'!AU:AU),FALSE),0)</f>
        <v>764734</v>
      </c>
      <c r="X67" s="235">
        <f>IFERROR(Vertailu[[#This Row],[Rahoitus ml. hark. kor. + alv 2023, €]]-Vertailu[[#This Row],[Rahoitus ml. hark. kor. + alv 2022, €]],0)</f>
        <v>64303</v>
      </c>
      <c r="Y67" s="230">
        <f>IFERROR(Vertailu[[#This Row],[Muutos, € 3]]/Vertailu[[#This Row],[Rahoitus ml. hark. kor. + alv 2022, €]],0)</f>
        <v>9.1804902981164449E-2</v>
      </c>
      <c r="Z67" s="228">
        <f>IFERROR(VLOOKUP(Vertailu[[#This Row],[Y-tunnus]],'Suoritepäätös 2022 oikaistu'!$B:$N,COLUMN('Suoritepäätös 2022 oikaistu'!G:G),FALSE),0)</f>
        <v>490953</v>
      </c>
      <c r="AA67" s="228">
        <f>IFERROR(VLOOKUP(Vertailu[[#This Row],[Y-tunnus]],'1.2 Ohjaus-laskentataulu'!A:AU,COLUMN('1.2 Ohjaus-laskentataulu'!AP:AP),FALSE),0)</f>
        <v>460031</v>
      </c>
      <c r="AB67" s="228">
        <f>Vertailu[[#This Row],[Perusrahoitus 2023, €]]-Vertailu[[#This Row],[Perusrahoitus 2022, €]]</f>
        <v>-30922</v>
      </c>
      <c r="AC67" s="230">
        <f>IFERROR(Vertailu[[#This Row],[Perusrahoituksen muutos, €]]/Vertailu[[#This Row],[Perusrahoitus 2022, €]],0)</f>
        <v>-6.2983625723847289E-2</v>
      </c>
      <c r="AD67" s="228">
        <f>IFERROR(VLOOKUP(Vertailu[[#This Row],[Y-tunnus]],'Suoritepäätös 2022 oikaistu'!$B:$N,COLUMN('Suoritepäätös 2022 oikaistu'!M:M),FALSE),0)</f>
        <v>123209</v>
      </c>
      <c r="AE67" s="228">
        <f>IFERROR(VLOOKUP(Vertailu[[#This Row],[Y-tunnus]],'1.2 Ohjaus-laskentataulu'!A:AU,COLUMN('1.2 Ohjaus-laskentataulu'!O:O),FALSE),0)</f>
        <v>235286</v>
      </c>
      <c r="AF67" s="228">
        <f>Vertailu[[#This Row],[Suoritusrahoitus 2023, €]]-Vertailu[[#This Row],[Suoritusrahoitus 2022, €]]</f>
        <v>112077</v>
      </c>
      <c r="AG67" s="230">
        <f>IFERROR(Vertailu[[#This Row],[Suoritusrahoituksen muutos, €]]/Vertailu[[#This Row],[Suoritusrahoitus 2022, €]],0)</f>
        <v>0.90964945742599967</v>
      </c>
      <c r="AH67" s="228">
        <f>IFERROR(VLOOKUP(Vertailu[[#This Row],[Y-tunnus]],'Suoritepäätös 2022 oikaistu'!$Q:$AC,COLUMN('Suoritepäätös 2022 oikaistu'!K:K),FALSE),0)</f>
        <v>67460</v>
      </c>
      <c r="AI67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54255</v>
      </c>
      <c r="AJ67" s="228">
        <f>Vertailu[[#This Row],[Vaikuttavuusrahoitus 2023, €]]-Vertailu[[#This Row],[Vaikuttavuusrahoitus 2022, €]]</f>
        <v>-13205</v>
      </c>
      <c r="AK67" s="230">
        <f>IFERROR(Vertailu[[#This Row],[Vaikuttavuusrahoituksen muutos, €]]/Vertailu[[#This Row],[Vaikuttavuusrahoitus 2022, €]],0)</f>
        <v>-0.19574562703824488</v>
      </c>
    </row>
    <row r="68" spans="1:37" s="5" customFormat="1" ht="12.75" customHeight="1" x14ac:dyDescent="0.35">
      <c r="A68" s="7" t="s">
        <v>272</v>
      </c>
      <c r="B68" s="188" t="s">
        <v>65</v>
      </c>
      <c r="C68" s="188" t="s">
        <v>184</v>
      </c>
      <c r="D68" s="11" t="s">
        <v>337</v>
      </c>
      <c r="E68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0.64070281944309304</v>
      </c>
      <c r="F68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0.64070281944309304</v>
      </c>
      <c r="G68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0.23253609442882378</v>
      </c>
      <c r="H68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0.12676108612808318</v>
      </c>
      <c r="I68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8.2925150892918936E-2</v>
      </c>
      <c r="J68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5.4529094722735203E-3</v>
      </c>
      <c r="K68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1.6511201235029829E-2</v>
      </c>
      <c r="L68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1.4812934911159505E-2</v>
      </c>
      <c r="M68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7.058889616701391E-3</v>
      </c>
      <c r="N68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902482</v>
      </c>
      <c r="O68" s="228">
        <f>IFERROR(VLOOKUP(Vertailu[[#This Row],[Y-tunnus]],'1.2 Ohjaus-laskentataulu'!A:AU,COLUMN('1.2 Ohjaus-laskentataulu'!AF:AF),FALSE),0)</f>
        <v>996899</v>
      </c>
      <c r="P68" s="228">
        <f>IFERROR(Vertailu[[#This Row],[Rahoitus pl. hark. kor. 2023 ilman alv, €]]-Vertailu[[#This Row],[Rahoitus pl. hark. kor. 2022 ilman alv, €]],0)</f>
        <v>94417</v>
      </c>
      <c r="Q68" s="230">
        <f>IFERROR(Vertailu[[#This Row],[Muutos, € 1]]/Vertailu[[#This Row],[Rahoitus pl. hark. kor. 2022 ilman alv, €]],0)</f>
        <v>0.1046192611043766</v>
      </c>
      <c r="R68" s="233">
        <f>IFERROR(VLOOKUP(Vertailu[[#This Row],[Y-tunnus]],'Suoritepäätös 2022 oikaistu'!$Q:$AC,COLUMN('Suoritepäätös 2022 oikaistu'!L:L),FALSE),0)</f>
        <v>902482</v>
      </c>
      <c r="S68" s="234">
        <f>IFERROR(VLOOKUP(Vertailu[[#This Row],[Y-tunnus]],'1.2 Ohjaus-laskentataulu'!A:AU,COLUMN('1.2 Ohjaus-laskentataulu'!AS:AS),FALSE),0)</f>
        <v>996899</v>
      </c>
      <c r="T68" s="228">
        <f>IFERROR(Vertailu[[#This Row],[Rahoitus ml. hark. kor. 
2023 ilman alv, €]]-Vertailu[[#This Row],[Rahoitus ml. hark. kor. 
2022 ilman alv, €]],0)</f>
        <v>94417</v>
      </c>
      <c r="U68" s="232">
        <f>IFERROR(Vertailu[[#This Row],[Muutos, € 2]]/Vertailu[[#This Row],[Rahoitus ml. hark. kor. 
2022 ilman alv, €]],0)</f>
        <v>0.1046192611043766</v>
      </c>
      <c r="V68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952546</v>
      </c>
      <c r="W68" s="233">
        <f>IFERROR(VLOOKUP(Vertailu[[#This Row],[Y-tunnus]],'1.2 Ohjaus-laskentataulu'!A:AU,COLUMN('1.2 Ohjaus-laskentataulu'!AU:AU),FALSE),0)</f>
        <v>1065129</v>
      </c>
      <c r="X68" s="235">
        <f>IFERROR(Vertailu[[#This Row],[Rahoitus ml. hark. kor. + alv 2023, €]]-Vertailu[[#This Row],[Rahoitus ml. hark. kor. + alv 2022, €]],0)</f>
        <v>112583</v>
      </c>
      <c r="Y68" s="230">
        <f>IFERROR(Vertailu[[#This Row],[Muutos, € 3]]/Vertailu[[#This Row],[Rahoitus ml. hark. kor. + alv 2022, €]],0)</f>
        <v>0.11819166738404234</v>
      </c>
      <c r="Z68" s="228">
        <f>IFERROR(VLOOKUP(Vertailu[[#This Row],[Y-tunnus]],'Suoritepäätös 2022 oikaistu'!$B:$N,COLUMN('Suoritepäätös 2022 oikaistu'!G:G),FALSE),0)</f>
        <v>619845</v>
      </c>
      <c r="AA68" s="228">
        <f>IFERROR(VLOOKUP(Vertailu[[#This Row],[Y-tunnus]],'1.2 Ohjaus-laskentataulu'!A:AU,COLUMN('1.2 Ohjaus-laskentataulu'!AP:AP),FALSE),0)</f>
        <v>638716</v>
      </c>
      <c r="AB68" s="228">
        <f>Vertailu[[#This Row],[Perusrahoitus 2023, €]]-Vertailu[[#This Row],[Perusrahoitus 2022, €]]</f>
        <v>18871</v>
      </c>
      <c r="AC68" s="230">
        <f>IFERROR(Vertailu[[#This Row],[Perusrahoituksen muutos, €]]/Vertailu[[#This Row],[Perusrahoitus 2022, €]],0)</f>
        <v>3.0444707951181343E-2</v>
      </c>
      <c r="AD68" s="228">
        <f>IFERROR(VLOOKUP(Vertailu[[#This Row],[Y-tunnus]],'Suoritepäätös 2022 oikaistu'!$B:$N,COLUMN('Suoritepäätös 2022 oikaistu'!M:M),FALSE),0)</f>
        <v>160501</v>
      </c>
      <c r="AE68" s="228">
        <f>IFERROR(VLOOKUP(Vertailu[[#This Row],[Y-tunnus]],'1.2 Ohjaus-laskentataulu'!A:AU,COLUMN('1.2 Ohjaus-laskentataulu'!O:O),FALSE),0)</f>
        <v>231815</v>
      </c>
      <c r="AF68" s="228">
        <f>Vertailu[[#This Row],[Suoritusrahoitus 2023, €]]-Vertailu[[#This Row],[Suoritusrahoitus 2022, €]]</f>
        <v>71314</v>
      </c>
      <c r="AG68" s="230">
        <f>IFERROR(Vertailu[[#This Row],[Suoritusrahoituksen muutos, €]]/Vertailu[[#This Row],[Suoritusrahoitus 2022, €]],0)</f>
        <v>0.444321219182435</v>
      </c>
      <c r="AH68" s="228">
        <f>IFERROR(VLOOKUP(Vertailu[[#This Row],[Y-tunnus]],'Suoritepäätös 2022 oikaistu'!$Q:$AC,COLUMN('Suoritepäätös 2022 oikaistu'!K:K),FALSE),0)</f>
        <v>122136</v>
      </c>
      <c r="AI68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126368</v>
      </c>
      <c r="AJ68" s="228">
        <f>Vertailu[[#This Row],[Vaikuttavuusrahoitus 2023, €]]-Vertailu[[#This Row],[Vaikuttavuusrahoitus 2022, €]]</f>
        <v>4232</v>
      </c>
      <c r="AK68" s="230">
        <f>IFERROR(Vertailu[[#This Row],[Vaikuttavuusrahoituksen muutos, €]]/Vertailu[[#This Row],[Vaikuttavuusrahoitus 2022, €]],0)</f>
        <v>3.4649898473832451E-2</v>
      </c>
    </row>
    <row r="69" spans="1:37" s="5" customFormat="1" ht="12.75" customHeight="1" x14ac:dyDescent="0.35">
      <c r="A69" s="7" t="s">
        <v>271</v>
      </c>
      <c r="B69" s="188" t="s">
        <v>66</v>
      </c>
      <c r="C69" s="188" t="s">
        <v>209</v>
      </c>
      <c r="D69" s="11" t="s">
        <v>337</v>
      </c>
      <c r="E69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0.67181025195230704</v>
      </c>
      <c r="F69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0.67181025195230704</v>
      </c>
      <c r="G69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0.24125204547859902</v>
      </c>
      <c r="H69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8.6937702569093986E-2</v>
      </c>
      <c r="I69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5.9332674196982869E-2</v>
      </c>
      <c r="J69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3.9887398042672594E-3</v>
      </c>
      <c r="K69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1.4449287960871544E-2</v>
      </c>
      <c r="L69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7.1253664674482834E-3</v>
      </c>
      <c r="M69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2.0416341395240287E-3</v>
      </c>
      <c r="N69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2119667</v>
      </c>
      <c r="O69" s="228">
        <f>IFERROR(VLOOKUP(Vertailu[[#This Row],[Y-tunnus]],'1.2 Ohjaus-laskentataulu'!A:AU,COLUMN('1.2 Ohjaus-laskentataulu'!AF:AF),FALSE),0)</f>
        <v>2210974</v>
      </c>
      <c r="P69" s="228">
        <f>IFERROR(Vertailu[[#This Row],[Rahoitus pl. hark. kor. 2023 ilman alv, €]]-Vertailu[[#This Row],[Rahoitus pl. hark. kor. 2022 ilman alv, €]],0)</f>
        <v>91307</v>
      </c>
      <c r="Q69" s="230">
        <f>IFERROR(Vertailu[[#This Row],[Muutos, € 1]]/Vertailu[[#This Row],[Rahoitus pl. hark. kor. 2022 ilman alv, €]],0)</f>
        <v>4.3076105822282461E-2</v>
      </c>
      <c r="R69" s="233">
        <f>IFERROR(VLOOKUP(Vertailu[[#This Row],[Y-tunnus]],'Suoritepäätös 2022 oikaistu'!$Q:$AC,COLUMN('Suoritepäätös 2022 oikaistu'!L:L),FALSE),0)</f>
        <v>2119667</v>
      </c>
      <c r="S69" s="234">
        <f>IFERROR(VLOOKUP(Vertailu[[#This Row],[Y-tunnus]],'1.2 Ohjaus-laskentataulu'!A:AU,COLUMN('1.2 Ohjaus-laskentataulu'!AS:AS),FALSE),0)</f>
        <v>2210974</v>
      </c>
      <c r="T69" s="228">
        <f>IFERROR(Vertailu[[#This Row],[Rahoitus ml. hark. kor. 
2023 ilman alv, €]]-Vertailu[[#This Row],[Rahoitus ml. hark. kor. 
2022 ilman alv, €]],0)</f>
        <v>91307</v>
      </c>
      <c r="U69" s="232">
        <f>IFERROR(Vertailu[[#This Row],[Muutos, € 2]]/Vertailu[[#This Row],[Rahoitus ml. hark. kor. 
2022 ilman alv, €]],0)</f>
        <v>4.3076105822282461E-2</v>
      </c>
      <c r="V69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2315041</v>
      </c>
      <c r="W69" s="233">
        <f>IFERROR(VLOOKUP(Vertailu[[#This Row],[Y-tunnus]],'1.2 Ohjaus-laskentataulu'!A:AU,COLUMN('1.2 Ohjaus-laskentataulu'!AU:AU),FALSE),0)</f>
        <v>2301268</v>
      </c>
      <c r="X69" s="235">
        <f>IFERROR(Vertailu[[#This Row],[Rahoitus ml. hark. kor. + alv 2023, €]]-Vertailu[[#This Row],[Rahoitus ml. hark. kor. + alv 2022, €]],0)</f>
        <v>-13773</v>
      </c>
      <c r="Y69" s="230">
        <f>IFERROR(Vertailu[[#This Row],[Muutos, € 3]]/Vertailu[[#This Row],[Rahoitus ml. hark. kor. + alv 2022, €]],0)</f>
        <v>-5.9493546766558342E-3</v>
      </c>
      <c r="Z69" s="228">
        <f>IFERROR(VLOOKUP(Vertailu[[#This Row],[Y-tunnus]],'Suoritepäätös 2022 oikaistu'!$B:$N,COLUMN('Suoritepäätös 2022 oikaistu'!G:G),FALSE),0)</f>
        <v>1494346</v>
      </c>
      <c r="AA69" s="228">
        <f>IFERROR(VLOOKUP(Vertailu[[#This Row],[Y-tunnus]],'1.2 Ohjaus-laskentataulu'!A:AU,COLUMN('1.2 Ohjaus-laskentataulu'!AP:AP),FALSE),0)</f>
        <v>1485355</v>
      </c>
      <c r="AB69" s="228">
        <f>Vertailu[[#This Row],[Perusrahoitus 2023, €]]-Vertailu[[#This Row],[Perusrahoitus 2022, €]]</f>
        <v>-8991</v>
      </c>
      <c r="AC69" s="230">
        <f>IFERROR(Vertailu[[#This Row],[Perusrahoituksen muutos, €]]/Vertailu[[#This Row],[Perusrahoitus 2022, €]],0)</f>
        <v>-6.016678868213921E-3</v>
      </c>
      <c r="AD69" s="228">
        <f>IFERROR(VLOOKUP(Vertailu[[#This Row],[Y-tunnus]],'Suoritepäätös 2022 oikaistu'!$B:$N,COLUMN('Suoritepäätös 2022 oikaistu'!M:M),FALSE),0)</f>
        <v>420251</v>
      </c>
      <c r="AE69" s="228">
        <f>IFERROR(VLOOKUP(Vertailu[[#This Row],[Y-tunnus]],'1.2 Ohjaus-laskentataulu'!A:AU,COLUMN('1.2 Ohjaus-laskentataulu'!O:O),FALSE),0)</f>
        <v>533402</v>
      </c>
      <c r="AF69" s="228">
        <f>Vertailu[[#This Row],[Suoritusrahoitus 2023, €]]-Vertailu[[#This Row],[Suoritusrahoitus 2022, €]]</f>
        <v>113151</v>
      </c>
      <c r="AG69" s="230">
        <f>IFERROR(Vertailu[[#This Row],[Suoritusrahoituksen muutos, €]]/Vertailu[[#This Row],[Suoritusrahoitus 2022, €]],0)</f>
        <v>0.26924623617790322</v>
      </c>
      <c r="AH69" s="228">
        <f>IFERROR(VLOOKUP(Vertailu[[#This Row],[Y-tunnus]],'Suoritepäätös 2022 oikaistu'!$Q:$AC,COLUMN('Suoritepäätös 2022 oikaistu'!K:K),FALSE),0)</f>
        <v>205070</v>
      </c>
      <c r="AI69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192217</v>
      </c>
      <c r="AJ69" s="228">
        <f>Vertailu[[#This Row],[Vaikuttavuusrahoitus 2023, €]]-Vertailu[[#This Row],[Vaikuttavuusrahoitus 2022, €]]</f>
        <v>-12853</v>
      </c>
      <c r="AK69" s="230">
        <f>IFERROR(Vertailu[[#This Row],[Vaikuttavuusrahoituksen muutos, €]]/Vertailu[[#This Row],[Vaikuttavuusrahoitus 2022, €]],0)</f>
        <v>-6.2676159360218461E-2</v>
      </c>
    </row>
    <row r="70" spans="1:37" s="5" customFormat="1" ht="12.75" customHeight="1" x14ac:dyDescent="0.35">
      <c r="A70" s="7" t="s">
        <v>269</v>
      </c>
      <c r="B70" s="188" t="s">
        <v>148</v>
      </c>
      <c r="C70" s="188" t="s">
        <v>186</v>
      </c>
      <c r="D70" s="11" t="s">
        <v>336</v>
      </c>
      <c r="E70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0.69868620308599028</v>
      </c>
      <c r="F70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0.69868620308599028</v>
      </c>
      <c r="G70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0.18360414193918062</v>
      </c>
      <c r="H70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0.11770965497482913</v>
      </c>
      <c r="I70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6.353925205478432E-2</v>
      </c>
      <c r="J70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5.7746043912294473E-3</v>
      </c>
      <c r="K70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4.70079586847892E-2</v>
      </c>
      <c r="L70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1.0901798238596831E-3</v>
      </c>
      <c r="M70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2.9766002016646636E-4</v>
      </c>
      <c r="N70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257408</v>
      </c>
      <c r="O70" s="228">
        <f>IFERROR(VLOOKUP(Vertailu[[#This Row],[Y-tunnus]],'1.2 Ohjaus-laskentataulu'!A:AU,COLUMN('1.2 Ohjaus-laskentataulu'!AF:AF),FALSE),0)</f>
        <v>268763</v>
      </c>
      <c r="P70" s="228">
        <f>IFERROR(Vertailu[[#This Row],[Rahoitus pl. hark. kor. 2023 ilman alv, €]]-Vertailu[[#This Row],[Rahoitus pl. hark. kor. 2022 ilman alv, €]],0)</f>
        <v>11355</v>
      </c>
      <c r="Q70" s="230">
        <f>IFERROR(Vertailu[[#This Row],[Muutos, € 1]]/Vertailu[[#This Row],[Rahoitus pl. hark. kor. 2022 ilman alv, €]],0)</f>
        <v>4.4112848085529587E-2</v>
      </c>
      <c r="R70" s="233">
        <f>IFERROR(VLOOKUP(Vertailu[[#This Row],[Y-tunnus]],'Suoritepäätös 2022 oikaistu'!$Q:$AC,COLUMN('Suoritepäätös 2022 oikaistu'!L:L),FALSE),0)</f>
        <v>257408</v>
      </c>
      <c r="S70" s="234">
        <f>IFERROR(VLOOKUP(Vertailu[[#This Row],[Y-tunnus]],'1.2 Ohjaus-laskentataulu'!A:AU,COLUMN('1.2 Ohjaus-laskentataulu'!AS:AS),FALSE),0)</f>
        <v>268763</v>
      </c>
      <c r="T70" s="228">
        <f>IFERROR(Vertailu[[#This Row],[Rahoitus ml. hark. kor. 
2023 ilman alv, €]]-Vertailu[[#This Row],[Rahoitus ml. hark. kor. 
2022 ilman alv, €]],0)</f>
        <v>11355</v>
      </c>
      <c r="U70" s="232">
        <f>IFERROR(Vertailu[[#This Row],[Muutos, € 2]]/Vertailu[[#This Row],[Rahoitus ml. hark. kor. 
2022 ilman alv, €]],0)</f>
        <v>4.4112848085529587E-2</v>
      </c>
      <c r="V70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257408</v>
      </c>
      <c r="W70" s="233">
        <f>IFERROR(VLOOKUP(Vertailu[[#This Row],[Y-tunnus]],'1.2 Ohjaus-laskentataulu'!A:AU,COLUMN('1.2 Ohjaus-laskentataulu'!AU:AU),FALSE),0)</f>
        <v>268763</v>
      </c>
      <c r="X70" s="235">
        <f>IFERROR(Vertailu[[#This Row],[Rahoitus ml. hark. kor. + alv 2023, €]]-Vertailu[[#This Row],[Rahoitus ml. hark. kor. + alv 2022, €]],0)</f>
        <v>11355</v>
      </c>
      <c r="Y70" s="230">
        <f>IFERROR(Vertailu[[#This Row],[Muutos, € 3]]/Vertailu[[#This Row],[Rahoitus ml. hark. kor. + alv 2022, €]],0)</f>
        <v>4.4112848085529587E-2</v>
      </c>
      <c r="Z70" s="228">
        <f>IFERROR(VLOOKUP(Vertailu[[#This Row],[Y-tunnus]],'Suoritepäätös 2022 oikaistu'!$B:$N,COLUMN('Suoritepäätös 2022 oikaistu'!G:G),FALSE),0)</f>
        <v>182595</v>
      </c>
      <c r="AA70" s="228">
        <f>IFERROR(VLOOKUP(Vertailu[[#This Row],[Y-tunnus]],'1.2 Ohjaus-laskentataulu'!A:AU,COLUMN('1.2 Ohjaus-laskentataulu'!AP:AP),FALSE),0)</f>
        <v>187781</v>
      </c>
      <c r="AB70" s="228">
        <f>Vertailu[[#This Row],[Perusrahoitus 2023, €]]-Vertailu[[#This Row],[Perusrahoitus 2022, €]]</f>
        <v>5186</v>
      </c>
      <c r="AC70" s="230">
        <f>IFERROR(Vertailu[[#This Row],[Perusrahoituksen muutos, €]]/Vertailu[[#This Row],[Perusrahoitus 2022, €]],0)</f>
        <v>2.8401653933568829E-2</v>
      </c>
      <c r="AD70" s="228">
        <f>IFERROR(VLOOKUP(Vertailu[[#This Row],[Y-tunnus]],'Suoritepäätös 2022 oikaistu'!$B:$N,COLUMN('Suoritepäätös 2022 oikaistu'!M:M),FALSE),0)</f>
        <v>52439</v>
      </c>
      <c r="AE70" s="228">
        <f>IFERROR(VLOOKUP(Vertailu[[#This Row],[Y-tunnus]],'1.2 Ohjaus-laskentataulu'!A:AU,COLUMN('1.2 Ohjaus-laskentataulu'!O:O),FALSE),0)</f>
        <v>49346</v>
      </c>
      <c r="AF70" s="228">
        <f>Vertailu[[#This Row],[Suoritusrahoitus 2023, €]]-Vertailu[[#This Row],[Suoritusrahoitus 2022, €]]</f>
        <v>-3093</v>
      </c>
      <c r="AG70" s="230">
        <f>IFERROR(Vertailu[[#This Row],[Suoritusrahoituksen muutos, €]]/Vertailu[[#This Row],[Suoritusrahoitus 2022, €]],0)</f>
        <v>-5.8982818131543317E-2</v>
      </c>
      <c r="AH70" s="228">
        <f>IFERROR(VLOOKUP(Vertailu[[#This Row],[Y-tunnus]],'Suoritepäätös 2022 oikaistu'!$Q:$AC,COLUMN('Suoritepäätös 2022 oikaistu'!K:K),FALSE),0)</f>
        <v>22374</v>
      </c>
      <c r="AI70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31636</v>
      </c>
      <c r="AJ70" s="228">
        <f>Vertailu[[#This Row],[Vaikuttavuusrahoitus 2023, €]]-Vertailu[[#This Row],[Vaikuttavuusrahoitus 2022, €]]</f>
        <v>9262</v>
      </c>
      <c r="AK70" s="230">
        <f>IFERROR(Vertailu[[#This Row],[Vaikuttavuusrahoituksen muutos, €]]/Vertailu[[#This Row],[Vaikuttavuusrahoitus 2022, €]],0)</f>
        <v>0.41396263520157328</v>
      </c>
    </row>
    <row r="71" spans="1:37" s="5" customFormat="1" ht="12.75" customHeight="1" x14ac:dyDescent="0.35">
      <c r="A71" s="7" t="s">
        <v>309</v>
      </c>
      <c r="B71" s="188" t="s">
        <v>67</v>
      </c>
      <c r="C71" s="188" t="s">
        <v>180</v>
      </c>
      <c r="D71" s="11" t="s">
        <v>337</v>
      </c>
      <c r="E71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0.58274215776839067</v>
      </c>
      <c r="F71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0.58274215776839067</v>
      </c>
      <c r="G71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0.22376181977441159</v>
      </c>
      <c r="H71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0.19349602245719769</v>
      </c>
      <c r="I71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0.15604344355656002</v>
      </c>
      <c r="J71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1.1838458847902709E-2</v>
      </c>
      <c r="K71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2.5614120052734952E-2</v>
      </c>
      <c r="L71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0</v>
      </c>
      <c r="M71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0</v>
      </c>
      <c r="N71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339680</v>
      </c>
      <c r="O71" s="228">
        <f>IFERROR(VLOOKUP(Vertailu[[#This Row],[Y-tunnus]],'1.2 Ohjaus-laskentataulu'!A:AU,COLUMN('1.2 Ohjaus-laskentataulu'!AF:AF),FALSE),0)</f>
        <v>334503</v>
      </c>
      <c r="P71" s="228">
        <f>IFERROR(Vertailu[[#This Row],[Rahoitus pl. hark. kor. 2023 ilman alv, €]]-Vertailu[[#This Row],[Rahoitus pl. hark. kor. 2022 ilman alv, €]],0)</f>
        <v>-5177</v>
      </c>
      <c r="Q71" s="230">
        <f>IFERROR(Vertailu[[#This Row],[Muutos, € 1]]/Vertailu[[#This Row],[Rahoitus pl. hark. kor. 2022 ilman alv, €]],0)</f>
        <v>-1.5240814884597269E-2</v>
      </c>
      <c r="R71" s="233">
        <f>IFERROR(VLOOKUP(Vertailu[[#This Row],[Y-tunnus]],'Suoritepäätös 2022 oikaistu'!$Q:$AC,COLUMN('Suoritepäätös 2022 oikaistu'!L:L),FALSE),0)</f>
        <v>339680</v>
      </c>
      <c r="S71" s="234">
        <f>IFERROR(VLOOKUP(Vertailu[[#This Row],[Y-tunnus]],'1.2 Ohjaus-laskentataulu'!A:AU,COLUMN('1.2 Ohjaus-laskentataulu'!AS:AS),FALSE),0)</f>
        <v>334503</v>
      </c>
      <c r="T71" s="228">
        <f>IFERROR(Vertailu[[#This Row],[Rahoitus ml. hark. kor. 
2023 ilman alv, €]]-Vertailu[[#This Row],[Rahoitus ml. hark. kor. 
2022 ilman alv, €]],0)</f>
        <v>-5177</v>
      </c>
      <c r="U71" s="232">
        <f>IFERROR(Vertailu[[#This Row],[Muutos, € 2]]/Vertailu[[#This Row],[Rahoitus ml. hark. kor. 
2022 ilman alv, €]],0)</f>
        <v>-1.5240814884597269E-2</v>
      </c>
      <c r="V71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356880</v>
      </c>
      <c r="W71" s="233">
        <f>IFERROR(VLOOKUP(Vertailu[[#This Row],[Y-tunnus]],'1.2 Ohjaus-laskentataulu'!A:AU,COLUMN('1.2 Ohjaus-laskentataulu'!AU:AU),FALSE),0)</f>
        <v>349867</v>
      </c>
      <c r="X71" s="235">
        <f>IFERROR(Vertailu[[#This Row],[Rahoitus ml. hark. kor. + alv 2023, €]]-Vertailu[[#This Row],[Rahoitus ml. hark. kor. + alv 2022, €]],0)</f>
        <v>-7013</v>
      </c>
      <c r="Y71" s="230">
        <f>IFERROR(Vertailu[[#This Row],[Muutos, € 3]]/Vertailu[[#This Row],[Rahoitus ml. hark. kor. + alv 2022, €]],0)</f>
        <v>-1.9650863035193904E-2</v>
      </c>
      <c r="Z71" s="228">
        <f>IFERROR(VLOOKUP(Vertailu[[#This Row],[Y-tunnus]],'Suoritepäätös 2022 oikaistu'!$B:$N,COLUMN('Suoritepäätös 2022 oikaistu'!G:G),FALSE),0)</f>
        <v>180152</v>
      </c>
      <c r="AA71" s="228">
        <f>IFERROR(VLOOKUP(Vertailu[[#This Row],[Y-tunnus]],'1.2 Ohjaus-laskentataulu'!A:AU,COLUMN('1.2 Ohjaus-laskentataulu'!AP:AP),FALSE),0)</f>
        <v>194929</v>
      </c>
      <c r="AB71" s="228">
        <f>Vertailu[[#This Row],[Perusrahoitus 2023, €]]-Vertailu[[#This Row],[Perusrahoitus 2022, €]]</f>
        <v>14777</v>
      </c>
      <c r="AC71" s="230">
        <f>IFERROR(Vertailu[[#This Row],[Perusrahoituksen muutos, €]]/Vertailu[[#This Row],[Perusrahoitus 2022, €]],0)</f>
        <v>8.2025178737954618E-2</v>
      </c>
      <c r="AD71" s="228">
        <f>IFERROR(VLOOKUP(Vertailu[[#This Row],[Y-tunnus]],'Suoritepäätös 2022 oikaistu'!$B:$N,COLUMN('Suoritepäätös 2022 oikaistu'!M:M),FALSE),0)</f>
        <v>83610</v>
      </c>
      <c r="AE71" s="228">
        <f>IFERROR(VLOOKUP(Vertailu[[#This Row],[Y-tunnus]],'1.2 Ohjaus-laskentataulu'!A:AU,COLUMN('1.2 Ohjaus-laskentataulu'!O:O),FALSE),0)</f>
        <v>74849</v>
      </c>
      <c r="AF71" s="228">
        <f>Vertailu[[#This Row],[Suoritusrahoitus 2023, €]]-Vertailu[[#This Row],[Suoritusrahoitus 2022, €]]</f>
        <v>-8761</v>
      </c>
      <c r="AG71" s="230">
        <f>IFERROR(Vertailu[[#This Row],[Suoritusrahoituksen muutos, €]]/Vertailu[[#This Row],[Suoritusrahoitus 2022, €]],0)</f>
        <v>-0.10478411673244827</v>
      </c>
      <c r="AH71" s="228">
        <f>IFERROR(VLOOKUP(Vertailu[[#This Row],[Y-tunnus]],'Suoritepäätös 2022 oikaistu'!$Q:$AC,COLUMN('Suoritepäätös 2022 oikaistu'!K:K),FALSE),0)</f>
        <v>75918</v>
      </c>
      <c r="AI71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64725</v>
      </c>
      <c r="AJ71" s="228">
        <f>Vertailu[[#This Row],[Vaikuttavuusrahoitus 2023, €]]-Vertailu[[#This Row],[Vaikuttavuusrahoitus 2022, €]]</f>
        <v>-11193</v>
      </c>
      <c r="AK71" s="230">
        <f>IFERROR(Vertailu[[#This Row],[Vaikuttavuusrahoituksen muutos, €]]/Vertailu[[#This Row],[Vaikuttavuusrahoitus 2022, €]],0)</f>
        <v>-0.14743539081640716</v>
      </c>
    </row>
    <row r="72" spans="1:37" s="5" customFormat="1" ht="12.75" customHeight="1" x14ac:dyDescent="0.35">
      <c r="A72" s="7" t="s">
        <v>268</v>
      </c>
      <c r="B72" s="188" t="s">
        <v>68</v>
      </c>
      <c r="C72" s="188" t="s">
        <v>192</v>
      </c>
      <c r="D72" s="11" t="s">
        <v>337</v>
      </c>
      <c r="E72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0.57516775450609714</v>
      </c>
      <c r="F72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0.57516775450609714</v>
      </c>
      <c r="G72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0.22000132270421791</v>
      </c>
      <c r="H72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0.20483092278968495</v>
      </c>
      <c r="I72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0.11755279370392792</v>
      </c>
      <c r="J72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9.0554365687017663E-3</v>
      </c>
      <c r="K72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3.0076258985485865E-2</v>
      </c>
      <c r="L72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3.2365554747236312E-2</v>
      </c>
      <c r="M72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1.5780878784333076E-2</v>
      </c>
      <c r="N72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214526</v>
      </c>
      <c r="O72" s="228">
        <f>IFERROR(VLOOKUP(Vertailu[[#This Row],[Y-tunnus]],'1.2 Ohjaus-laskentataulu'!A:AU,COLUMN('1.2 Ohjaus-laskentataulu'!AF:AF),FALSE),0)</f>
        <v>196567</v>
      </c>
      <c r="P72" s="228">
        <f>IFERROR(Vertailu[[#This Row],[Rahoitus pl. hark. kor. 2023 ilman alv, €]]-Vertailu[[#This Row],[Rahoitus pl. hark. kor. 2022 ilman alv, €]],0)</f>
        <v>-17959</v>
      </c>
      <c r="Q72" s="230">
        <f>IFERROR(Vertailu[[#This Row],[Muutos, € 1]]/Vertailu[[#This Row],[Rahoitus pl. hark. kor. 2022 ilman alv, €]],0)</f>
        <v>-8.371479447712632E-2</v>
      </c>
      <c r="R72" s="233">
        <f>IFERROR(VLOOKUP(Vertailu[[#This Row],[Y-tunnus]],'Suoritepäätös 2022 oikaistu'!$Q:$AC,COLUMN('Suoritepäätös 2022 oikaistu'!L:L),FALSE),0)</f>
        <v>214526</v>
      </c>
      <c r="S72" s="234">
        <f>IFERROR(VLOOKUP(Vertailu[[#This Row],[Y-tunnus]],'1.2 Ohjaus-laskentataulu'!A:AU,COLUMN('1.2 Ohjaus-laskentataulu'!AS:AS),FALSE),0)</f>
        <v>196567</v>
      </c>
      <c r="T72" s="228">
        <f>IFERROR(Vertailu[[#This Row],[Rahoitus ml. hark. kor. 
2023 ilman alv, €]]-Vertailu[[#This Row],[Rahoitus ml. hark. kor. 
2022 ilman alv, €]],0)</f>
        <v>-17959</v>
      </c>
      <c r="U72" s="232">
        <f>IFERROR(Vertailu[[#This Row],[Muutos, € 2]]/Vertailu[[#This Row],[Rahoitus ml. hark. kor. 
2022 ilman alv, €]],0)</f>
        <v>-8.371479447712632E-2</v>
      </c>
      <c r="V72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220662</v>
      </c>
      <c r="W72" s="233">
        <f>IFERROR(VLOOKUP(Vertailu[[#This Row],[Y-tunnus]],'1.2 Ohjaus-laskentataulu'!A:AU,COLUMN('1.2 Ohjaus-laskentataulu'!AU:AU),FALSE),0)</f>
        <v>205018</v>
      </c>
      <c r="X72" s="235">
        <f>IFERROR(Vertailu[[#This Row],[Rahoitus ml. hark. kor. + alv 2023, €]]-Vertailu[[#This Row],[Rahoitus ml. hark. kor. + alv 2022, €]],0)</f>
        <v>-15644</v>
      </c>
      <c r="Y72" s="230">
        <f>IFERROR(Vertailu[[#This Row],[Muutos, € 3]]/Vertailu[[#This Row],[Rahoitus ml. hark. kor. + alv 2022, €]],0)</f>
        <v>-7.0895759124815327E-2</v>
      </c>
      <c r="Z72" s="228">
        <f>IFERROR(VLOOKUP(Vertailu[[#This Row],[Y-tunnus]],'Suoritepäätös 2022 oikaistu'!$B:$N,COLUMN('Suoritepäätös 2022 oikaistu'!G:G),FALSE),0)</f>
        <v>116030</v>
      </c>
      <c r="AA72" s="228">
        <f>IFERROR(VLOOKUP(Vertailu[[#This Row],[Y-tunnus]],'1.2 Ohjaus-laskentataulu'!A:AU,COLUMN('1.2 Ohjaus-laskentataulu'!AP:AP),FALSE),0)</f>
        <v>113059</v>
      </c>
      <c r="AB72" s="228">
        <f>Vertailu[[#This Row],[Perusrahoitus 2023, €]]-Vertailu[[#This Row],[Perusrahoitus 2022, €]]</f>
        <v>-2971</v>
      </c>
      <c r="AC72" s="230">
        <f>IFERROR(Vertailu[[#This Row],[Perusrahoituksen muutos, €]]/Vertailu[[#This Row],[Perusrahoitus 2022, €]],0)</f>
        <v>-2.5605446867189519E-2</v>
      </c>
      <c r="AD72" s="228">
        <f>IFERROR(VLOOKUP(Vertailu[[#This Row],[Y-tunnus]],'Suoritepäätös 2022 oikaistu'!$B:$N,COLUMN('Suoritepäätös 2022 oikaistu'!M:M),FALSE),0)</f>
        <v>49290</v>
      </c>
      <c r="AE72" s="228">
        <f>IFERROR(VLOOKUP(Vertailu[[#This Row],[Y-tunnus]],'1.2 Ohjaus-laskentataulu'!A:AU,COLUMN('1.2 Ohjaus-laskentataulu'!O:O),FALSE),0)</f>
        <v>43245</v>
      </c>
      <c r="AF72" s="228">
        <f>Vertailu[[#This Row],[Suoritusrahoitus 2023, €]]-Vertailu[[#This Row],[Suoritusrahoitus 2022, €]]</f>
        <v>-6045</v>
      </c>
      <c r="AG72" s="230">
        <f>IFERROR(Vertailu[[#This Row],[Suoritusrahoituksen muutos, €]]/Vertailu[[#This Row],[Suoritusrahoitus 2022, €]],0)</f>
        <v>-0.12264150943396226</v>
      </c>
      <c r="AH72" s="228">
        <f>IFERROR(VLOOKUP(Vertailu[[#This Row],[Y-tunnus]],'Suoritepäätös 2022 oikaistu'!$Q:$AC,COLUMN('Suoritepäätös 2022 oikaistu'!K:K),FALSE),0)</f>
        <v>49206</v>
      </c>
      <c r="AI72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40263</v>
      </c>
      <c r="AJ72" s="228">
        <f>Vertailu[[#This Row],[Vaikuttavuusrahoitus 2023, €]]-Vertailu[[#This Row],[Vaikuttavuusrahoitus 2022, €]]</f>
        <v>-8943</v>
      </c>
      <c r="AK72" s="230">
        <f>IFERROR(Vertailu[[#This Row],[Vaikuttavuusrahoituksen muutos, €]]/Vertailu[[#This Row],[Vaikuttavuusrahoitus 2022, €]],0)</f>
        <v>-0.18174612852091207</v>
      </c>
    </row>
    <row r="73" spans="1:37" s="5" customFormat="1" ht="12.75" customHeight="1" x14ac:dyDescent="0.35">
      <c r="A73" s="7" t="s">
        <v>267</v>
      </c>
      <c r="B73" s="188" t="s">
        <v>69</v>
      </c>
      <c r="C73" s="188" t="s">
        <v>192</v>
      </c>
      <c r="D73" s="11" t="s">
        <v>337</v>
      </c>
      <c r="E73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0.71111890857749149</v>
      </c>
      <c r="F73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0.71111890857749149</v>
      </c>
      <c r="G73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0.22512176579195803</v>
      </c>
      <c r="H73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6.3759325630550479E-2</v>
      </c>
      <c r="I73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5.1605303391062431E-2</v>
      </c>
      <c r="J73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3.453720644627685E-3</v>
      </c>
      <c r="K73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6.4111882503320883E-3</v>
      </c>
      <c r="L73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1.2063794414229263E-3</v>
      </c>
      <c r="M73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1.0827339031053409E-3</v>
      </c>
      <c r="N73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541081</v>
      </c>
      <c r="O73" s="228">
        <f>IFERROR(VLOOKUP(Vertailu[[#This Row],[Y-tunnus]],'1.2 Ohjaus-laskentataulu'!A:AU,COLUMN('1.2 Ohjaus-laskentataulu'!AF:AF),FALSE),0)</f>
        <v>598485</v>
      </c>
      <c r="P73" s="228">
        <f>IFERROR(Vertailu[[#This Row],[Rahoitus pl. hark. kor. 2023 ilman alv, €]]-Vertailu[[#This Row],[Rahoitus pl. hark. kor. 2022 ilman alv, €]],0)</f>
        <v>57404</v>
      </c>
      <c r="Q73" s="230">
        <f>IFERROR(Vertailu[[#This Row],[Muutos, € 1]]/Vertailu[[#This Row],[Rahoitus pl. hark. kor. 2022 ilman alv, €]],0)</f>
        <v>0.10609132458910958</v>
      </c>
      <c r="R73" s="233">
        <f>IFERROR(VLOOKUP(Vertailu[[#This Row],[Y-tunnus]],'Suoritepäätös 2022 oikaistu'!$Q:$AC,COLUMN('Suoritepäätös 2022 oikaistu'!L:L),FALSE),0)</f>
        <v>541081</v>
      </c>
      <c r="S73" s="234">
        <f>IFERROR(VLOOKUP(Vertailu[[#This Row],[Y-tunnus]],'1.2 Ohjaus-laskentataulu'!A:AU,COLUMN('1.2 Ohjaus-laskentataulu'!AS:AS),FALSE),0)</f>
        <v>598485</v>
      </c>
      <c r="T73" s="228">
        <f>IFERROR(Vertailu[[#This Row],[Rahoitus ml. hark. kor. 
2023 ilman alv, €]]-Vertailu[[#This Row],[Rahoitus ml. hark. kor. 
2022 ilman alv, €]],0)</f>
        <v>57404</v>
      </c>
      <c r="U73" s="232">
        <f>IFERROR(Vertailu[[#This Row],[Muutos, € 2]]/Vertailu[[#This Row],[Rahoitus ml. hark. kor. 
2022 ilman alv, €]],0)</f>
        <v>0.10609132458910958</v>
      </c>
      <c r="V73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551607</v>
      </c>
      <c r="W73" s="233">
        <f>IFERROR(VLOOKUP(Vertailu[[#This Row],[Y-tunnus]],'1.2 Ohjaus-laskentataulu'!A:AU,COLUMN('1.2 Ohjaus-laskentataulu'!AU:AU),FALSE),0)</f>
        <v>615029</v>
      </c>
      <c r="X73" s="235">
        <f>IFERROR(Vertailu[[#This Row],[Rahoitus ml. hark. kor. + alv 2023, €]]-Vertailu[[#This Row],[Rahoitus ml. hark. kor. + alv 2022, €]],0)</f>
        <v>63422</v>
      </c>
      <c r="Y73" s="230">
        <f>IFERROR(Vertailu[[#This Row],[Muutos, € 3]]/Vertailu[[#This Row],[Rahoitus ml. hark. kor. + alv 2022, €]],0)</f>
        <v>0.11497678600887951</v>
      </c>
      <c r="Z73" s="228">
        <f>IFERROR(VLOOKUP(Vertailu[[#This Row],[Y-tunnus]],'Suoritepäätös 2022 oikaistu'!$B:$N,COLUMN('Suoritepäätös 2022 oikaistu'!G:G),FALSE),0)</f>
        <v>404884</v>
      </c>
      <c r="AA73" s="228">
        <f>IFERROR(VLOOKUP(Vertailu[[#This Row],[Y-tunnus]],'1.2 Ohjaus-laskentataulu'!A:AU,COLUMN('1.2 Ohjaus-laskentataulu'!AP:AP),FALSE),0)</f>
        <v>425594</v>
      </c>
      <c r="AB73" s="228">
        <f>Vertailu[[#This Row],[Perusrahoitus 2023, €]]-Vertailu[[#This Row],[Perusrahoitus 2022, €]]</f>
        <v>20710</v>
      </c>
      <c r="AC73" s="230">
        <f>IFERROR(Vertailu[[#This Row],[Perusrahoituksen muutos, €]]/Vertailu[[#This Row],[Perusrahoitus 2022, €]],0)</f>
        <v>5.1150452969245509E-2</v>
      </c>
      <c r="AD73" s="228">
        <f>IFERROR(VLOOKUP(Vertailu[[#This Row],[Y-tunnus]],'Suoritepäätös 2022 oikaistu'!$B:$N,COLUMN('Suoritepäätös 2022 oikaistu'!M:M),FALSE),0)</f>
        <v>82168</v>
      </c>
      <c r="AE73" s="228">
        <f>IFERROR(VLOOKUP(Vertailu[[#This Row],[Y-tunnus]],'1.2 Ohjaus-laskentataulu'!A:AU,COLUMN('1.2 Ohjaus-laskentataulu'!O:O),FALSE),0)</f>
        <v>134732</v>
      </c>
      <c r="AF73" s="228">
        <f>Vertailu[[#This Row],[Suoritusrahoitus 2023, €]]-Vertailu[[#This Row],[Suoritusrahoitus 2022, €]]</f>
        <v>52564</v>
      </c>
      <c r="AG73" s="230">
        <f>IFERROR(Vertailu[[#This Row],[Suoritusrahoituksen muutos, €]]/Vertailu[[#This Row],[Suoritusrahoitus 2022, €]],0)</f>
        <v>0.6397137571804109</v>
      </c>
      <c r="AH73" s="228">
        <f>IFERROR(VLOOKUP(Vertailu[[#This Row],[Y-tunnus]],'Suoritepäätös 2022 oikaistu'!$Q:$AC,COLUMN('Suoritepäätös 2022 oikaistu'!K:K),FALSE),0)</f>
        <v>54029</v>
      </c>
      <c r="AI73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38159</v>
      </c>
      <c r="AJ73" s="228">
        <f>Vertailu[[#This Row],[Vaikuttavuusrahoitus 2023, €]]-Vertailu[[#This Row],[Vaikuttavuusrahoitus 2022, €]]</f>
        <v>-15870</v>
      </c>
      <c r="AK73" s="230">
        <f>IFERROR(Vertailu[[#This Row],[Vaikuttavuusrahoituksen muutos, €]]/Vertailu[[#This Row],[Vaikuttavuusrahoitus 2022, €]],0)</f>
        <v>-0.29373114438542264</v>
      </c>
    </row>
    <row r="74" spans="1:37" s="5" customFormat="1" ht="12.75" customHeight="1" x14ac:dyDescent="0.35">
      <c r="A74" s="7" t="s">
        <v>306</v>
      </c>
      <c r="B74" s="188" t="s">
        <v>489</v>
      </c>
      <c r="C74" s="188" t="s">
        <v>180</v>
      </c>
      <c r="D74" s="11" t="s">
        <v>337</v>
      </c>
      <c r="E74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0.84882829232118429</v>
      </c>
      <c r="F74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0.84917728010092086</v>
      </c>
      <c r="G74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0.13665287645929239</v>
      </c>
      <c r="H74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1.4169843439786776E-2</v>
      </c>
      <c r="I74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9.3712346231957459E-3</v>
      </c>
      <c r="J74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7.9005464289583834E-4</v>
      </c>
      <c r="K74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2.3062186293542532E-3</v>
      </c>
      <c r="L74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1.3661529315993617E-3</v>
      </c>
      <c r="M74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3.3618261274157604E-4</v>
      </c>
      <c r="N74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33643666</v>
      </c>
      <c r="O74" s="228">
        <f>IFERROR(VLOOKUP(Vertailu[[#This Row],[Y-tunnus]],'1.2 Ohjaus-laskentataulu'!A:AU,COLUMN('1.2 Ohjaus-laskentataulu'!AF:AF),FALSE),0)</f>
        <v>37237588</v>
      </c>
      <c r="P74" s="228">
        <f>IFERROR(Vertailu[[#This Row],[Rahoitus pl. hark. kor. 2023 ilman alv, €]]-Vertailu[[#This Row],[Rahoitus pl. hark. kor. 2022 ilman alv, €]],0)</f>
        <v>3593922</v>
      </c>
      <c r="Q74" s="230">
        <f>IFERROR(Vertailu[[#This Row],[Muutos, € 1]]/Vertailu[[#This Row],[Rahoitus pl. hark. kor. 2022 ilman alv, €]],0)</f>
        <v>0.10682313871502588</v>
      </c>
      <c r="R74" s="233">
        <f>IFERROR(VLOOKUP(Vertailu[[#This Row],[Y-tunnus]],'Suoritepäätös 2022 oikaistu'!$Q:$AC,COLUMN('Suoritepäätös 2022 oikaistu'!L:L),FALSE),0)</f>
        <v>33649666</v>
      </c>
      <c r="S74" s="234">
        <f>IFERROR(VLOOKUP(Vertailu[[#This Row],[Y-tunnus]],'1.2 Ohjaus-laskentataulu'!A:AU,COLUMN('1.2 Ohjaus-laskentataulu'!AS:AS),FALSE),0)</f>
        <v>37250588</v>
      </c>
      <c r="T74" s="228">
        <f>IFERROR(Vertailu[[#This Row],[Rahoitus ml. hark. kor. 
2023 ilman alv, €]]-Vertailu[[#This Row],[Rahoitus ml. hark. kor. 
2022 ilman alv, €]],0)</f>
        <v>3600922</v>
      </c>
      <c r="U74" s="232">
        <f>IFERROR(Vertailu[[#This Row],[Muutos, € 2]]/Vertailu[[#This Row],[Rahoitus ml. hark. kor. 
2022 ilman alv, €]],0)</f>
        <v>0.10701211714850305</v>
      </c>
      <c r="V74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34991055</v>
      </c>
      <c r="W74" s="233">
        <f>IFERROR(VLOOKUP(Vertailu[[#This Row],[Y-tunnus]],'1.2 Ohjaus-laskentataulu'!A:AU,COLUMN('1.2 Ohjaus-laskentataulu'!AU:AU),FALSE),0)</f>
        <v>38272183</v>
      </c>
      <c r="X74" s="235">
        <f>IFERROR(Vertailu[[#This Row],[Rahoitus ml. hark. kor. + alv 2023, €]]-Vertailu[[#This Row],[Rahoitus ml. hark. kor. + alv 2022, €]],0)</f>
        <v>3281128</v>
      </c>
      <c r="Y74" s="230">
        <f>IFERROR(Vertailu[[#This Row],[Muutos, € 3]]/Vertailu[[#This Row],[Rahoitus ml. hark. kor. + alv 2022, €]],0)</f>
        <v>9.3770479341077309E-2</v>
      </c>
      <c r="Z74" s="228">
        <f>IFERROR(VLOOKUP(Vertailu[[#This Row],[Y-tunnus]],'Suoritepäätös 2022 oikaistu'!$B:$N,COLUMN('Suoritepäätös 2022 oikaistu'!G:G),FALSE),0)</f>
        <v>28583615</v>
      </c>
      <c r="AA74" s="228">
        <f>IFERROR(VLOOKUP(Vertailu[[#This Row],[Y-tunnus]],'1.2 Ohjaus-laskentataulu'!A:AU,COLUMN('1.2 Ohjaus-laskentataulu'!AP:AP),FALSE),0)</f>
        <v>31632353</v>
      </c>
      <c r="AB74" s="228">
        <f>Vertailu[[#This Row],[Perusrahoitus 2023, €]]-Vertailu[[#This Row],[Perusrahoitus 2022, €]]</f>
        <v>3048738</v>
      </c>
      <c r="AC74" s="230">
        <f>IFERROR(Vertailu[[#This Row],[Perusrahoituksen muutos, €]]/Vertailu[[#This Row],[Perusrahoitus 2022, €]],0)</f>
        <v>0.10666033669988909</v>
      </c>
      <c r="AD74" s="228">
        <f>IFERROR(VLOOKUP(Vertailu[[#This Row],[Y-tunnus]],'Suoritepäätös 2022 oikaistu'!$B:$N,COLUMN('Suoritepäätös 2022 oikaistu'!M:M),FALSE),0)</f>
        <v>4456385</v>
      </c>
      <c r="AE74" s="228">
        <f>IFERROR(VLOOKUP(Vertailu[[#This Row],[Y-tunnus]],'1.2 Ohjaus-laskentataulu'!A:AU,COLUMN('1.2 Ohjaus-laskentataulu'!O:O),FALSE),0)</f>
        <v>5090400</v>
      </c>
      <c r="AF74" s="228">
        <f>Vertailu[[#This Row],[Suoritusrahoitus 2023, €]]-Vertailu[[#This Row],[Suoritusrahoitus 2022, €]]</f>
        <v>634015</v>
      </c>
      <c r="AG74" s="230">
        <f>IFERROR(Vertailu[[#This Row],[Suoritusrahoituksen muutos, €]]/Vertailu[[#This Row],[Suoritusrahoitus 2022, €]],0)</f>
        <v>0.14227114578296085</v>
      </c>
      <c r="AH74" s="228">
        <f>IFERROR(VLOOKUP(Vertailu[[#This Row],[Y-tunnus]],'Suoritepäätös 2022 oikaistu'!$Q:$AC,COLUMN('Suoritepäätös 2022 oikaistu'!K:K),FALSE),0)</f>
        <v>609666</v>
      </c>
      <c r="AI74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527835</v>
      </c>
      <c r="AJ74" s="228">
        <f>Vertailu[[#This Row],[Vaikuttavuusrahoitus 2023, €]]-Vertailu[[#This Row],[Vaikuttavuusrahoitus 2022, €]]</f>
        <v>-81831</v>
      </c>
      <c r="AK74" s="230">
        <f>IFERROR(Vertailu[[#This Row],[Vaikuttavuusrahoituksen muutos, €]]/Vertailu[[#This Row],[Vaikuttavuusrahoitus 2022, €]],0)</f>
        <v>-0.13422267274212438</v>
      </c>
    </row>
    <row r="75" spans="1:37" s="5" customFormat="1" ht="12.75" customHeight="1" x14ac:dyDescent="0.35">
      <c r="A75" s="7" t="s">
        <v>266</v>
      </c>
      <c r="B75" s="188" t="s">
        <v>70</v>
      </c>
      <c r="C75" s="188" t="s">
        <v>265</v>
      </c>
      <c r="D75" s="11" t="s">
        <v>336</v>
      </c>
      <c r="E75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0.66518975131787372</v>
      </c>
      <c r="F75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0.68367107575017705</v>
      </c>
      <c r="G75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0.19650556026551605</v>
      </c>
      <c r="H75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0.11982336398430693</v>
      </c>
      <c r="I75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7.6484203731758113E-2</v>
      </c>
      <c r="J75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3.6085543385401433E-3</v>
      </c>
      <c r="K75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1.2886406432955171E-2</v>
      </c>
      <c r="L75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2.0583347857079069E-2</v>
      </c>
      <c r="M75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6.2608516239744281E-3</v>
      </c>
      <c r="N75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11454354</v>
      </c>
      <c r="O75" s="228">
        <f>IFERROR(VLOOKUP(Vertailu[[#This Row],[Y-tunnus]],'1.2 Ohjaus-laskentataulu'!A:AU,COLUMN('1.2 Ohjaus-laskentataulu'!AF:AF),FALSE),0)</f>
        <v>12958517</v>
      </c>
      <c r="P75" s="228">
        <f>IFERROR(Vertailu[[#This Row],[Rahoitus pl. hark. kor. 2023 ilman alv, €]]-Vertailu[[#This Row],[Rahoitus pl. hark. kor. 2022 ilman alv, €]],0)</f>
        <v>1504163</v>
      </c>
      <c r="Q75" s="230">
        <f>IFERROR(Vertailu[[#This Row],[Muutos, € 1]]/Vertailu[[#This Row],[Rahoitus pl. hark. kor. 2022 ilman alv, €]],0)</f>
        <v>0.13131801234709525</v>
      </c>
      <c r="R75" s="233">
        <f>IFERROR(VLOOKUP(Vertailu[[#This Row],[Y-tunnus]],'Suoritepäätös 2022 oikaistu'!$Q:$AC,COLUMN('Suoritepäätös 2022 oikaistu'!L:L),FALSE),0)</f>
        <v>11736354</v>
      </c>
      <c r="S75" s="234">
        <f>IFERROR(VLOOKUP(Vertailu[[#This Row],[Y-tunnus]],'1.2 Ohjaus-laskentataulu'!A:AU,COLUMN('1.2 Ohjaus-laskentataulu'!AS:AS),FALSE),0)</f>
        <v>13202517</v>
      </c>
      <c r="T75" s="228">
        <f>IFERROR(Vertailu[[#This Row],[Rahoitus ml. hark. kor. 
2023 ilman alv, €]]-Vertailu[[#This Row],[Rahoitus ml. hark. kor. 
2022 ilman alv, €]],0)</f>
        <v>1466163</v>
      </c>
      <c r="U75" s="232">
        <f>IFERROR(Vertailu[[#This Row],[Muutos, € 2]]/Vertailu[[#This Row],[Rahoitus ml. hark. kor. 
2022 ilman alv, €]],0)</f>
        <v>0.12492491279659765</v>
      </c>
      <c r="V75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11736354</v>
      </c>
      <c r="W75" s="233">
        <f>IFERROR(VLOOKUP(Vertailu[[#This Row],[Y-tunnus]],'1.2 Ohjaus-laskentataulu'!A:AU,COLUMN('1.2 Ohjaus-laskentataulu'!AU:AU),FALSE),0)</f>
        <v>13202517</v>
      </c>
      <c r="X75" s="235">
        <f>IFERROR(Vertailu[[#This Row],[Rahoitus ml. hark. kor. + alv 2023, €]]-Vertailu[[#This Row],[Rahoitus ml. hark. kor. + alv 2022, €]],0)</f>
        <v>1466163</v>
      </c>
      <c r="Y75" s="230">
        <f>IFERROR(Vertailu[[#This Row],[Muutos, € 3]]/Vertailu[[#This Row],[Rahoitus ml. hark. kor. + alv 2022, €]],0)</f>
        <v>0.12492491279659765</v>
      </c>
      <c r="Z75" s="228">
        <f>IFERROR(VLOOKUP(Vertailu[[#This Row],[Y-tunnus]],'Suoritepäätös 2022 oikaistu'!$B:$N,COLUMN('Suoritepäätös 2022 oikaistu'!G:G),FALSE),0)</f>
        <v>8217852</v>
      </c>
      <c r="AA75" s="228">
        <f>IFERROR(VLOOKUP(Vertailu[[#This Row],[Y-tunnus]],'1.2 Ohjaus-laskentataulu'!A:AU,COLUMN('1.2 Ohjaus-laskentataulu'!AP:AP),FALSE),0)</f>
        <v>9026179</v>
      </c>
      <c r="AB75" s="228">
        <f>Vertailu[[#This Row],[Perusrahoitus 2023, €]]-Vertailu[[#This Row],[Perusrahoitus 2022, €]]</f>
        <v>808327</v>
      </c>
      <c r="AC75" s="230">
        <f>IFERROR(Vertailu[[#This Row],[Perusrahoituksen muutos, €]]/Vertailu[[#This Row],[Perusrahoitus 2022, €]],0)</f>
        <v>9.8362321443608375E-2</v>
      </c>
      <c r="AD75" s="228">
        <f>IFERROR(VLOOKUP(Vertailu[[#This Row],[Y-tunnus]],'Suoritepäätös 2022 oikaistu'!$B:$N,COLUMN('Suoritepäätös 2022 oikaistu'!M:M),FALSE),0)</f>
        <v>2142446</v>
      </c>
      <c r="AE75" s="228">
        <f>IFERROR(VLOOKUP(Vertailu[[#This Row],[Y-tunnus]],'1.2 Ohjaus-laskentataulu'!A:AU,COLUMN('1.2 Ohjaus-laskentataulu'!O:O),FALSE),0)</f>
        <v>2594368</v>
      </c>
      <c r="AF75" s="228">
        <f>Vertailu[[#This Row],[Suoritusrahoitus 2023, €]]-Vertailu[[#This Row],[Suoritusrahoitus 2022, €]]</f>
        <v>451922</v>
      </c>
      <c r="AG75" s="230">
        <f>IFERROR(Vertailu[[#This Row],[Suoritusrahoituksen muutos, €]]/Vertailu[[#This Row],[Suoritusrahoitus 2022, €]],0)</f>
        <v>0.21093740519014248</v>
      </c>
      <c r="AH75" s="228">
        <f>IFERROR(VLOOKUP(Vertailu[[#This Row],[Y-tunnus]],'Suoritepäätös 2022 oikaistu'!$Q:$AC,COLUMN('Suoritepäätös 2022 oikaistu'!K:K),FALSE),0)</f>
        <v>1376056</v>
      </c>
      <c r="AI75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1581970</v>
      </c>
      <c r="AJ75" s="228">
        <f>Vertailu[[#This Row],[Vaikuttavuusrahoitus 2023, €]]-Vertailu[[#This Row],[Vaikuttavuusrahoitus 2022, €]]</f>
        <v>205914</v>
      </c>
      <c r="AK75" s="230">
        <f>IFERROR(Vertailu[[#This Row],[Vaikuttavuusrahoituksen muutos, €]]/Vertailu[[#This Row],[Vaikuttavuusrahoitus 2022, €]],0)</f>
        <v>0.14964071229659259</v>
      </c>
    </row>
    <row r="76" spans="1:37" s="5" customFormat="1" ht="12.75" customHeight="1" x14ac:dyDescent="0.35">
      <c r="A76" s="7" t="s">
        <v>264</v>
      </c>
      <c r="B76" s="188" t="s">
        <v>71</v>
      </c>
      <c r="C76" s="188" t="s">
        <v>194</v>
      </c>
      <c r="D76" s="11" t="s">
        <v>336</v>
      </c>
      <c r="E76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0.65628875495647032</v>
      </c>
      <c r="F76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0.65628875495647032</v>
      </c>
      <c r="G76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0.22889163739397703</v>
      </c>
      <c r="H76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0.11481960764955268</v>
      </c>
      <c r="I76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7.7321390661469411E-2</v>
      </c>
      <c r="J76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3.6489029719489951E-3</v>
      </c>
      <c r="K76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1.7579159924534557E-2</v>
      </c>
      <c r="L76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1.2425561460736236E-2</v>
      </c>
      <c r="M76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3.8445926308634847E-3</v>
      </c>
      <c r="N76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17859394</v>
      </c>
      <c r="O76" s="228">
        <f>IFERROR(VLOOKUP(Vertailu[[#This Row],[Y-tunnus]],'1.2 Ohjaus-laskentataulu'!A:AU,COLUMN('1.2 Ohjaus-laskentataulu'!AF:AF),FALSE),0)</f>
        <v>19811982</v>
      </c>
      <c r="P76" s="228">
        <f>IFERROR(Vertailu[[#This Row],[Rahoitus pl. hark. kor. 2023 ilman alv, €]]-Vertailu[[#This Row],[Rahoitus pl. hark. kor. 2022 ilman alv, €]],0)</f>
        <v>1952588</v>
      </c>
      <c r="Q76" s="230">
        <f>IFERROR(Vertailu[[#This Row],[Muutos, € 1]]/Vertailu[[#This Row],[Rahoitus pl. hark. kor. 2022 ilman alv, €]],0)</f>
        <v>0.10933114527850162</v>
      </c>
      <c r="R76" s="233">
        <f>IFERROR(VLOOKUP(Vertailu[[#This Row],[Y-tunnus]],'Suoritepäätös 2022 oikaistu'!$Q:$AC,COLUMN('Suoritepäätös 2022 oikaistu'!L:L),FALSE),0)</f>
        <v>17888394</v>
      </c>
      <c r="S76" s="234">
        <f>IFERROR(VLOOKUP(Vertailu[[#This Row],[Y-tunnus]],'1.2 Ohjaus-laskentataulu'!A:AU,COLUMN('1.2 Ohjaus-laskentataulu'!AS:AS),FALSE),0)</f>
        <v>19811982</v>
      </c>
      <c r="T76" s="228">
        <f>IFERROR(Vertailu[[#This Row],[Rahoitus ml. hark. kor. 
2023 ilman alv, €]]-Vertailu[[#This Row],[Rahoitus ml. hark. kor. 
2022 ilman alv, €]],0)</f>
        <v>1923588</v>
      </c>
      <c r="U76" s="232">
        <f>IFERROR(Vertailu[[#This Row],[Muutos, € 2]]/Vertailu[[#This Row],[Rahoitus ml. hark. kor. 
2022 ilman alv, €]],0)</f>
        <v>0.10753273882496103</v>
      </c>
      <c r="V76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17888394</v>
      </c>
      <c r="W76" s="233">
        <f>IFERROR(VLOOKUP(Vertailu[[#This Row],[Y-tunnus]],'1.2 Ohjaus-laskentataulu'!A:AU,COLUMN('1.2 Ohjaus-laskentataulu'!AU:AU),FALSE),0)</f>
        <v>19811982</v>
      </c>
      <c r="X76" s="235">
        <f>IFERROR(Vertailu[[#This Row],[Rahoitus ml. hark. kor. + alv 2023, €]]-Vertailu[[#This Row],[Rahoitus ml. hark. kor. + alv 2022, €]],0)</f>
        <v>1923588</v>
      </c>
      <c r="Y76" s="230">
        <f>IFERROR(Vertailu[[#This Row],[Muutos, € 3]]/Vertailu[[#This Row],[Rahoitus ml. hark. kor. + alv 2022, €]],0)</f>
        <v>0.10753273882496103</v>
      </c>
      <c r="Z76" s="228">
        <f>IFERROR(VLOOKUP(Vertailu[[#This Row],[Y-tunnus]],'Suoritepäätös 2022 oikaistu'!$B:$N,COLUMN('Suoritepäätös 2022 oikaistu'!G:G),FALSE),0)</f>
        <v>11809724</v>
      </c>
      <c r="AA76" s="228">
        <f>IFERROR(VLOOKUP(Vertailu[[#This Row],[Y-tunnus]],'1.2 Ohjaus-laskentataulu'!A:AU,COLUMN('1.2 Ohjaus-laskentataulu'!AP:AP),FALSE),0)</f>
        <v>13002381</v>
      </c>
      <c r="AB76" s="228">
        <f>Vertailu[[#This Row],[Perusrahoitus 2023, €]]-Vertailu[[#This Row],[Perusrahoitus 2022, €]]</f>
        <v>1192657</v>
      </c>
      <c r="AC76" s="230">
        <f>IFERROR(Vertailu[[#This Row],[Perusrahoituksen muutos, €]]/Vertailu[[#This Row],[Perusrahoitus 2022, €]],0)</f>
        <v>0.10098940500218295</v>
      </c>
      <c r="AD76" s="228">
        <f>IFERROR(VLOOKUP(Vertailu[[#This Row],[Y-tunnus]],'Suoritepäätös 2022 oikaistu'!$B:$N,COLUMN('Suoritepäätös 2022 oikaistu'!M:M),FALSE),0)</f>
        <v>4027319</v>
      </c>
      <c r="AE76" s="228">
        <f>IFERROR(VLOOKUP(Vertailu[[#This Row],[Y-tunnus]],'1.2 Ohjaus-laskentataulu'!A:AU,COLUMN('1.2 Ohjaus-laskentataulu'!O:O),FALSE),0)</f>
        <v>4534797</v>
      </c>
      <c r="AF76" s="228">
        <f>Vertailu[[#This Row],[Suoritusrahoitus 2023, €]]-Vertailu[[#This Row],[Suoritusrahoitus 2022, €]]</f>
        <v>507478</v>
      </c>
      <c r="AG76" s="230">
        <f>IFERROR(Vertailu[[#This Row],[Suoritusrahoituksen muutos, €]]/Vertailu[[#This Row],[Suoritusrahoitus 2022, €]],0)</f>
        <v>0.12600889077820754</v>
      </c>
      <c r="AH76" s="228">
        <f>IFERROR(VLOOKUP(Vertailu[[#This Row],[Y-tunnus]],'Suoritepäätös 2022 oikaistu'!$Q:$AC,COLUMN('Suoritepäätös 2022 oikaistu'!K:K),FALSE),0)</f>
        <v>2051351</v>
      </c>
      <c r="AI76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2274804</v>
      </c>
      <c r="AJ76" s="228">
        <f>Vertailu[[#This Row],[Vaikuttavuusrahoitus 2023, €]]-Vertailu[[#This Row],[Vaikuttavuusrahoitus 2022, €]]</f>
        <v>223453</v>
      </c>
      <c r="AK76" s="230">
        <f>IFERROR(Vertailu[[#This Row],[Vaikuttavuusrahoituksen muutos, €]]/Vertailu[[#This Row],[Vaikuttavuusrahoitus 2022, €]],0)</f>
        <v>0.10892967610126204</v>
      </c>
    </row>
    <row r="77" spans="1:37" s="5" customFormat="1" ht="12.75" customHeight="1" x14ac:dyDescent="0.35">
      <c r="A77" s="7" t="s">
        <v>263</v>
      </c>
      <c r="B77" s="188" t="s">
        <v>72</v>
      </c>
      <c r="C77" s="188" t="s">
        <v>180</v>
      </c>
      <c r="D77" s="11" t="s">
        <v>336</v>
      </c>
      <c r="E77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0.69055784430116152</v>
      </c>
      <c r="F77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0.69159305942093374</v>
      </c>
      <c r="G77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0.20373492502489002</v>
      </c>
      <c r="H77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0.10467201555417618</v>
      </c>
      <c r="I77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8.2399362252274747E-2</v>
      </c>
      <c r="J77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3.2238324188242967E-3</v>
      </c>
      <c r="K77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9.5865751094809E-3</v>
      </c>
      <c r="L77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7.7914430774543809E-3</v>
      </c>
      <c r="M77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1.6708026961418636E-3</v>
      </c>
      <c r="N77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27281576</v>
      </c>
      <c r="O77" s="228">
        <f>IFERROR(VLOOKUP(Vertailu[[#This Row],[Y-tunnus]],'1.2 Ohjaus-laskentataulu'!A:AU,COLUMN('1.2 Ohjaus-laskentataulu'!AF:AF),FALSE),0)</f>
        <v>28949484</v>
      </c>
      <c r="P77" s="228">
        <f>IFERROR(Vertailu[[#This Row],[Rahoitus pl. hark. kor. 2023 ilman alv, €]]-Vertailu[[#This Row],[Rahoitus pl. hark. kor. 2022 ilman alv, €]],0)</f>
        <v>1667908</v>
      </c>
      <c r="Q77" s="230">
        <f>IFERROR(Vertailu[[#This Row],[Muutos, € 1]]/Vertailu[[#This Row],[Rahoitus pl. hark. kor. 2022 ilman alv, €]],0)</f>
        <v>6.1136790631157088E-2</v>
      </c>
      <c r="R77" s="233">
        <f>IFERROR(VLOOKUP(Vertailu[[#This Row],[Y-tunnus]],'Suoritepäätös 2022 oikaistu'!$Q:$AC,COLUMN('Suoritepäätös 2022 oikaistu'!L:L),FALSE),0)</f>
        <v>27281576</v>
      </c>
      <c r="S77" s="234">
        <f>IFERROR(VLOOKUP(Vertailu[[#This Row],[Y-tunnus]],'1.2 Ohjaus-laskentataulu'!A:AU,COLUMN('1.2 Ohjaus-laskentataulu'!AS:AS),FALSE),0)</f>
        <v>28979484</v>
      </c>
      <c r="T77" s="228">
        <f>IFERROR(Vertailu[[#This Row],[Rahoitus ml. hark. kor. 
2023 ilman alv, €]]-Vertailu[[#This Row],[Rahoitus ml. hark. kor. 
2022 ilman alv, €]],0)</f>
        <v>1697908</v>
      </c>
      <c r="U77" s="232">
        <f>IFERROR(Vertailu[[#This Row],[Muutos, € 2]]/Vertailu[[#This Row],[Rahoitus ml. hark. kor. 
2022 ilman alv, €]],0)</f>
        <v>6.2236433848249825E-2</v>
      </c>
      <c r="V77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27281576</v>
      </c>
      <c r="W77" s="233">
        <f>IFERROR(VLOOKUP(Vertailu[[#This Row],[Y-tunnus]],'1.2 Ohjaus-laskentataulu'!A:AU,COLUMN('1.2 Ohjaus-laskentataulu'!AU:AU),FALSE),0)</f>
        <v>28979484</v>
      </c>
      <c r="X77" s="235">
        <f>IFERROR(Vertailu[[#This Row],[Rahoitus ml. hark. kor. + alv 2023, €]]-Vertailu[[#This Row],[Rahoitus ml. hark. kor. + alv 2022, €]],0)</f>
        <v>1697908</v>
      </c>
      <c r="Y77" s="230">
        <f>IFERROR(Vertailu[[#This Row],[Muutos, € 3]]/Vertailu[[#This Row],[Rahoitus ml. hark. kor. + alv 2022, €]],0)</f>
        <v>6.2236433848249825E-2</v>
      </c>
      <c r="Z77" s="228">
        <f>IFERROR(VLOOKUP(Vertailu[[#This Row],[Y-tunnus]],'Suoritepäätös 2022 oikaistu'!$B:$N,COLUMN('Suoritepäätös 2022 oikaistu'!G:G),FALSE),0)</f>
        <v>18677190</v>
      </c>
      <c r="AA77" s="228">
        <f>IFERROR(VLOOKUP(Vertailu[[#This Row],[Y-tunnus]],'1.2 Ohjaus-laskentataulu'!A:AU,COLUMN('1.2 Ohjaus-laskentataulu'!AP:AP),FALSE),0)</f>
        <v>20042010</v>
      </c>
      <c r="AB77" s="228">
        <f>Vertailu[[#This Row],[Perusrahoitus 2023, €]]-Vertailu[[#This Row],[Perusrahoitus 2022, €]]</f>
        <v>1364820</v>
      </c>
      <c r="AC77" s="230">
        <f>IFERROR(Vertailu[[#This Row],[Perusrahoituksen muutos, €]]/Vertailu[[#This Row],[Perusrahoitus 2022, €]],0)</f>
        <v>7.3074161584264011E-2</v>
      </c>
      <c r="AD77" s="228">
        <f>IFERROR(VLOOKUP(Vertailu[[#This Row],[Y-tunnus]],'Suoritepäätös 2022 oikaistu'!$B:$N,COLUMN('Suoritepäätös 2022 oikaistu'!M:M),FALSE),0)</f>
        <v>5673903</v>
      </c>
      <c r="AE77" s="228">
        <f>IFERROR(VLOOKUP(Vertailu[[#This Row],[Y-tunnus]],'1.2 Ohjaus-laskentataulu'!A:AU,COLUMN('1.2 Ohjaus-laskentataulu'!O:O),FALSE),0)</f>
        <v>5904133</v>
      </c>
      <c r="AF77" s="228">
        <f>Vertailu[[#This Row],[Suoritusrahoitus 2023, €]]-Vertailu[[#This Row],[Suoritusrahoitus 2022, €]]</f>
        <v>230230</v>
      </c>
      <c r="AG77" s="230">
        <f>IFERROR(Vertailu[[#This Row],[Suoritusrahoituksen muutos, €]]/Vertailu[[#This Row],[Suoritusrahoitus 2022, €]],0)</f>
        <v>4.0577006691866251E-2</v>
      </c>
      <c r="AH77" s="228">
        <f>IFERROR(VLOOKUP(Vertailu[[#This Row],[Y-tunnus]],'Suoritepäätös 2022 oikaistu'!$Q:$AC,COLUMN('Suoritepäätös 2022 oikaistu'!K:K),FALSE),0)</f>
        <v>2930483</v>
      </c>
      <c r="AI77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3033341</v>
      </c>
      <c r="AJ77" s="228">
        <f>Vertailu[[#This Row],[Vaikuttavuusrahoitus 2023, €]]-Vertailu[[#This Row],[Vaikuttavuusrahoitus 2022, €]]</f>
        <v>102858</v>
      </c>
      <c r="AK77" s="230">
        <f>IFERROR(Vertailu[[#This Row],[Vaikuttavuusrahoituksen muutos, €]]/Vertailu[[#This Row],[Vaikuttavuusrahoitus 2022, €]],0)</f>
        <v>3.5099333454587517E-2</v>
      </c>
    </row>
    <row r="78" spans="1:37" s="5" customFormat="1" ht="12.75" customHeight="1" x14ac:dyDescent="0.35">
      <c r="A78" s="7" t="s">
        <v>262</v>
      </c>
      <c r="B78" s="188" t="s">
        <v>73</v>
      </c>
      <c r="C78" s="188" t="s">
        <v>224</v>
      </c>
      <c r="D78" s="11" t="s">
        <v>337</v>
      </c>
      <c r="E78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0.68835028724902836</v>
      </c>
      <c r="F78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0.68883396883134851</v>
      </c>
      <c r="G78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0.21850016860509069</v>
      </c>
      <c r="H78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9.2665862563560755E-2</v>
      </c>
      <c r="I78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7.6041011571661266E-2</v>
      </c>
      <c r="J78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4.2134343821267455E-3</v>
      </c>
      <c r="K78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1.2176641775641353E-2</v>
      </c>
      <c r="L78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1.5360044683766352E-4</v>
      </c>
      <c r="M78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8.1174387293726893E-5</v>
      </c>
      <c r="N78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45515909</v>
      </c>
      <c r="O78" s="228">
        <f>IFERROR(VLOOKUP(Vertailu[[#This Row],[Y-tunnus]],'1.2 Ohjaus-laskentataulu'!A:AU,COLUMN('1.2 Ohjaus-laskentataulu'!AF:AF),FALSE),0)</f>
        <v>47528945</v>
      </c>
      <c r="P78" s="228">
        <f>IFERROR(Vertailu[[#This Row],[Rahoitus pl. hark. kor. 2023 ilman alv, €]]-Vertailu[[#This Row],[Rahoitus pl. hark. kor. 2022 ilman alv, €]],0)</f>
        <v>2013036</v>
      </c>
      <c r="Q78" s="230">
        <f>IFERROR(Vertailu[[#This Row],[Muutos, € 1]]/Vertailu[[#This Row],[Rahoitus pl. hark. kor. 2022 ilman alv, €]],0)</f>
        <v>4.4227085522998123E-2</v>
      </c>
      <c r="R78" s="233">
        <f>IFERROR(VLOOKUP(Vertailu[[#This Row],[Y-tunnus]],'Suoritepäätös 2022 oikaistu'!$Q:$AC,COLUMN('Suoritepäätös 2022 oikaistu'!L:L),FALSE),0)</f>
        <v>45520909</v>
      </c>
      <c r="S78" s="234">
        <f>IFERROR(VLOOKUP(Vertailu[[#This Row],[Y-tunnus]],'1.2 Ohjaus-laskentataulu'!A:AU,COLUMN('1.2 Ohjaus-laskentataulu'!AS:AS),FALSE),0)</f>
        <v>47551945</v>
      </c>
      <c r="T78" s="228">
        <f>IFERROR(Vertailu[[#This Row],[Rahoitus ml. hark. kor. 
2023 ilman alv, €]]-Vertailu[[#This Row],[Rahoitus ml. hark. kor. 
2022 ilman alv, €]],0)</f>
        <v>2031036</v>
      </c>
      <c r="U78" s="232">
        <f>IFERROR(Vertailu[[#This Row],[Muutos, € 2]]/Vertailu[[#This Row],[Rahoitus ml. hark. kor. 
2022 ilman alv, €]],0)</f>
        <v>4.4617650319768436E-2</v>
      </c>
      <c r="V78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48534602</v>
      </c>
      <c r="W78" s="233">
        <f>IFERROR(VLOOKUP(Vertailu[[#This Row],[Y-tunnus]],'1.2 Ohjaus-laskentataulu'!A:AU,COLUMN('1.2 Ohjaus-laskentataulu'!AU:AU),FALSE),0)</f>
        <v>50906646</v>
      </c>
      <c r="X78" s="235">
        <f>IFERROR(Vertailu[[#This Row],[Rahoitus ml. hark. kor. + alv 2023, €]]-Vertailu[[#This Row],[Rahoitus ml. hark. kor. + alv 2022, €]],0)</f>
        <v>2372044</v>
      </c>
      <c r="Y78" s="230">
        <f>IFERROR(Vertailu[[#This Row],[Muutos, € 3]]/Vertailu[[#This Row],[Rahoitus ml. hark. kor. + alv 2022, €]],0)</f>
        <v>4.887325541476574E-2</v>
      </c>
      <c r="Z78" s="228">
        <f>IFERROR(VLOOKUP(Vertailu[[#This Row],[Y-tunnus]],'Suoritepäätös 2022 oikaistu'!$B:$N,COLUMN('Suoritepäätös 2022 oikaistu'!G:G),FALSE),0)</f>
        <v>31212225</v>
      </c>
      <c r="AA78" s="228">
        <f>IFERROR(VLOOKUP(Vertailu[[#This Row],[Y-tunnus]],'1.2 Ohjaus-laskentataulu'!A:AU,COLUMN('1.2 Ohjaus-laskentataulu'!AP:AP),FALSE),0)</f>
        <v>32755395</v>
      </c>
      <c r="AB78" s="228">
        <f>Vertailu[[#This Row],[Perusrahoitus 2023, €]]-Vertailu[[#This Row],[Perusrahoitus 2022, €]]</f>
        <v>1543170</v>
      </c>
      <c r="AC78" s="230">
        <f>IFERROR(Vertailu[[#This Row],[Perusrahoituksen muutos, €]]/Vertailu[[#This Row],[Perusrahoitus 2022, €]],0)</f>
        <v>4.9441204528033487E-2</v>
      </c>
      <c r="AD78" s="228">
        <f>IFERROR(VLOOKUP(Vertailu[[#This Row],[Y-tunnus]],'Suoritepäätös 2022 oikaistu'!$B:$N,COLUMN('Suoritepäätös 2022 oikaistu'!M:M),FALSE),0)</f>
        <v>9839963</v>
      </c>
      <c r="AE78" s="228">
        <f>IFERROR(VLOOKUP(Vertailu[[#This Row],[Y-tunnus]],'1.2 Ohjaus-laskentataulu'!A:AU,COLUMN('1.2 Ohjaus-laskentataulu'!O:O),FALSE),0)</f>
        <v>10390108</v>
      </c>
      <c r="AF78" s="228">
        <f>Vertailu[[#This Row],[Suoritusrahoitus 2023, €]]-Vertailu[[#This Row],[Suoritusrahoitus 2022, €]]</f>
        <v>550145</v>
      </c>
      <c r="AG78" s="230">
        <f>IFERROR(Vertailu[[#This Row],[Suoritusrahoituksen muutos, €]]/Vertailu[[#This Row],[Suoritusrahoitus 2022, €]],0)</f>
        <v>5.5909254943336678E-2</v>
      </c>
      <c r="AH78" s="228">
        <f>IFERROR(VLOOKUP(Vertailu[[#This Row],[Y-tunnus]],'Suoritepäätös 2022 oikaistu'!$Q:$AC,COLUMN('Suoritepäätös 2022 oikaistu'!K:K),FALSE),0)</f>
        <v>4468721</v>
      </c>
      <c r="AI78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4406442</v>
      </c>
      <c r="AJ78" s="228">
        <f>Vertailu[[#This Row],[Vaikuttavuusrahoitus 2023, €]]-Vertailu[[#This Row],[Vaikuttavuusrahoitus 2022, €]]</f>
        <v>-62279</v>
      </c>
      <c r="AK78" s="230">
        <f>IFERROR(Vertailu[[#This Row],[Vaikuttavuusrahoituksen muutos, €]]/Vertailu[[#This Row],[Vaikuttavuusrahoitus 2022, €]],0)</f>
        <v>-1.3936649882595043E-2</v>
      </c>
    </row>
    <row r="79" spans="1:37" s="5" customFormat="1" ht="12.75" customHeight="1" x14ac:dyDescent="0.35">
      <c r="A79" s="7" t="s">
        <v>260</v>
      </c>
      <c r="B79" s="188" t="s">
        <v>74</v>
      </c>
      <c r="C79" s="188" t="s">
        <v>180</v>
      </c>
      <c r="D79" s="11" t="s">
        <v>337</v>
      </c>
      <c r="E79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0.62475966879617117</v>
      </c>
      <c r="F79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0.62633271001575008</v>
      </c>
      <c r="G79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0.29555871474667156</v>
      </c>
      <c r="H79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7.8108575237578387E-2</v>
      </c>
      <c r="I79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5.482913822903087E-2</v>
      </c>
      <c r="J79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3.6235004492998985E-3</v>
      </c>
      <c r="K79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1.4336304414936813E-2</v>
      </c>
      <c r="L79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4.6353592137939985E-3</v>
      </c>
      <c r="M79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6.8427293051680303E-4</v>
      </c>
      <c r="N79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2094127</v>
      </c>
      <c r="O79" s="228">
        <f>IFERROR(VLOOKUP(Vertailu[[#This Row],[Y-tunnus]],'1.2 Ohjaus-laskentataulu'!A:AU,COLUMN('1.2 Ohjaus-laskentataulu'!AF:AF),FALSE),0)</f>
        <v>2538845</v>
      </c>
      <c r="P79" s="228">
        <f>IFERROR(Vertailu[[#This Row],[Rahoitus pl. hark. kor. 2023 ilman alv, €]]-Vertailu[[#This Row],[Rahoitus pl. hark. kor. 2022 ilman alv, €]],0)</f>
        <v>444718</v>
      </c>
      <c r="Q79" s="230">
        <f>IFERROR(Vertailu[[#This Row],[Muutos, € 1]]/Vertailu[[#This Row],[Rahoitus pl. hark. kor. 2022 ilman alv, €]],0)</f>
        <v>0.21236438859725318</v>
      </c>
      <c r="R79" s="233">
        <f>IFERROR(VLOOKUP(Vertailu[[#This Row],[Y-tunnus]],'Suoritepäätös 2022 oikaistu'!$Q:$AC,COLUMN('Suoritepäätös 2022 oikaistu'!L:L),FALSE),0)</f>
        <v>2099127</v>
      </c>
      <c r="S79" s="234">
        <f>IFERROR(VLOOKUP(Vertailu[[#This Row],[Y-tunnus]],'1.2 Ohjaus-laskentataulu'!A:AU,COLUMN('1.2 Ohjaus-laskentataulu'!AS:AS),FALSE),0)</f>
        <v>2542845</v>
      </c>
      <c r="T79" s="228">
        <f>IFERROR(Vertailu[[#This Row],[Rahoitus ml. hark. kor. 
2023 ilman alv, €]]-Vertailu[[#This Row],[Rahoitus ml. hark. kor. 
2022 ilman alv, €]],0)</f>
        <v>443718</v>
      </c>
      <c r="U79" s="232">
        <f>IFERROR(Vertailu[[#This Row],[Muutos, € 2]]/Vertailu[[#This Row],[Rahoitus ml. hark. kor. 
2022 ilman alv, €]],0)</f>
        <v>0.21138216029806678</v>
      </c>
      <c r="V79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2205600</v>
      </c>
      <c r="W79" s="233">
        <f>IFERROR(VLOOKUP(Vertailu[[#This Row],[Y-tunnus]],'1.2 Ohjaus-laskentataulu'!A:AU,COLUMN('1.2 Ohjaus-laskentataulu'!AU:AU),FALSE),0)</f>
        <v>2693479</v>
      </c>
      <c r="X79" s="235">
        <f>IFERROR(Vertailu[[#This Row],[Rahoitus ml. hark. kor. + alv 2023, €]]-Vertailu[[#This Row],[Rahoitus ml. hark. kor. + alv 2022, €]],0)</f>
        <v>487879</v>
      </c>
      <c r="Y79" s="230">
        <f>IFERROR(Vertailu[[#This Row],[Muutos, € 3]]/Vertailu[[#This Row],[Rahoitus ml. hark. kor. + alv 2022, €]],0)</f>
        <v>0.22120012694958288</v>
      </c>
      <c r="Z79" s="228">
        <f>IFERROR(VLOOKUP(Vertailu[[#This Row],[Y-tunnus]],'Suoritepäätös 2022 oikaistu'!$B:$N,COLUMN('Suoritepäätös 2022 oikaistu'!G:G),FALSE),0)</f>
        <v>1556751</v>
      </c>
      <c r="AA79" s="228">
        <f>IFERROR(VLOOKUP(Vertailu[[#This Row],[Y-tunnus]],'1.2 Ohjaus-laskentataulu'!A:AU,COLUMN('1.2 Ohjaus-laskentataulu'!AP:AP),FALSE),0)</f>
        <v>1592667</v>
      </c>
      <c r="AB79" s="228">
        <f>Vertailu[[#This Row],[Perusrahoitus 2023, €]]-Vertailu[[#This Row],[Perusrahoitus 2022, €]]</f>
        <v>35916</v>
      </c>
      <c r="AC79" s="230">
        <f>IFERROR(Vertailu[[#This Row],[Perusrahoituksen muutos, €]]/Vertailu[[#This Row],[Perusrahoitus 2022, €]],0)</f>
        <v>2.3071126981771651E-2</v>
      </c>
      <c r="AD79" s="228">
        <f>IFERROR(VLOOKUP(Vertailu[[#This Row],[Y-tunnus]],'Suoritepäätös 2022 oikaistu'!$B:$N,COLUMN('Suoritepäätös 2022 oikaistu'!M:M),FALSE),0)</f>
        <v>383397</v>
      </c>
      <c r="AE79" s="228">
        <f>IFERROR(VLOOKUP(Vertailu[[#This Row],[Y-tunnus]],'1.2 Ohjaus-laskentataulu'!A:AU,COLUMN('1.2 Ohjaus-laskentataulu'!O:O),FALSE),0)</f>
        <v>751560</v>
      </c>
      <c r="AF79" s="228">
        <f>Vertailu[[#This Row],[Suoritusrahoitus 2023, €]]-Vertailu[[#This Row],[Suoritusrahoitus 2022, €]]</f>
        <v>368163</v>
      </c>
      <c r="AG79" s="230">
        <f>IFERROR(Vertailu[[#This Row],[Suoritusrahoituksen muutos, €]]/Vertailu[[#This Row],[Suoritusrahoitus 2022, €]],0)</f>
        <v>0.96026572977879321</v>
      </c>
      <c r="AH79" s="228">
        <f>IFERROR(VLOOKUP(Vertailu[[#This Row],[Y-tunnus]],'Suoritepäätös 2022 oikaistu'!$Q:$AC,COLUMN('Suoritepäätös 2022 oikaistu'!K:K),FALSE),0)</f>
        <v>158979</v>
      </c>
      <c r="AI79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198618</v>
      </c>
      <c r="AJ79" s="228">
        <f>Vertailu[[#This Row],[Vaikuttavuusrahoitus 2023, €]]-Vertailu[[#This Row],[Vaikuttavuusrahoitus 2022, €]]</f>
        <v>39639</v>
      </c>
      <c r="AK79" s="230">
        <f>IFERROR(Vertailu[[#This Row],[Vaikuttavuusrahoituksen muutos, €]]/Vertailu[[#This Row],[Vaikuttavuusrahoitus 2022, €]],0)</f>
        <v>0.24933481780612535</v>
      </c>
    </row>
    <row r="80" spans="1:37" s="5" customFormat="1" ht="12.75" customHeight="1" x14ac:dyDescent="0.35">
      <c r="A80" s="7" t="s">
        <v>256</v>
      </c>
      <c r="B80" s="188" t="s">
        <v>75</v>
      </c>
      <c r="C80" s="188" t="s">
        <v>180</v>
      </c>
      <c r="D80" s="11" t="s">
        <v>337</v>
      </c>
      <c r="E80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0.51528976785783309</v>
      </c>
      <c r="F80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0.52195400874081832</v>
      </c>
      <c r="G80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0.21548423040679859</v>
      </c>
      <c r="H80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0.26256176085238309</v>
      </c>
      <c r="I80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0.1039874818899254</v>
      </c>
      <c r="J80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1.3567061589581392E-2</v>
      </c>
      <c r="K80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6.7812649528904811E-2</v>
      </c>
      <c r="L80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5.3297932885762914E-2</v>
      </c>
      <c r="M80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2.3896634958208544E-2</v>
      </c>
      <c r="N80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630752</v>
      </c>
      <c r="O80" s="228">
        <f>IFERROR(VLOOKUP(Vertailu[[#This Row],[Y-tunnus]],'1.2 Ohjaus-laskentataulu'!A:AU,COLUMN('1.2 Ohjaus-laskentataulu'!AF:AF),FALSE),0)</f>
        <v>745273</v>
      </c>
      <c r="P80" s="228">
        <f>IFERROR(Vertailu[[#This Row],[Rahoitus pl. hark. kor. 2023 ilman alv, €]]-Vertailu[[#This Row],[Rahoitus pl. hark. kor. 2022 ilman alv, €]],0)</f>
        <v>114521</v>
      </c>
      <c r="Q80" s="230">
        <f>IFERROR(Vertailu[[#This Row],[Muutos, € 1]]/Vertailu[[#This Row],[Rahoitus pl. hark. kor. 2022 ilman alv, €]],0)</f>
        <v>0.18156264268682462</v>
      </c>
      <c r="R80" s="233">
        <f>IFERROR(VLOOKUP(Vertailu[[#This Row],[Y-tunnus]],'Suoritepäätös 2022 oikaistu'!$Q:$AC,COLUMN('Suoritepäätös 2022 oikaistu'!L:L),FALSE),0)</f>
        <v>640752</v>
      </c>
      <c r="S80" s="234">
        <f>IFERROR(VLOOKUP(Vertailu[[#This Row],[Y-tunnus]],'1.2 Ohjaus-laskentataulu'!A:AU,COLUMN('1.2 Ohjaus-laskentataulu'!AS:AS),FALSE),0)</f>
        <v>750273</v>
      </c>
      <c r="T80" s="228">
        <f>IFERROR(Vertailu[[#This Row],[Rahoitus ml. hark. kor. 
2023 ilman alv, €]]-Vertailu[[#This Row],[Rahoitus ml. hark. kor. 
2022 ilman alv, €]],0)</f>
        <v>109521</v>
      </c>
      <c r="U80" s="232">
        <f>IFERROR(Vertailu[[#This Row],[Muutos, € 2]]/Vertailu[[#This Row],[Rahoitus ml. hark. kor. 
2022 ilman alv, €]],0)</f>
        <v>0.17092572477339127</v>
      </c>
      <c r="V80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805286</v>
      </c>
      <c r="W80" s="233">
        <f>IFERROR(VLOOKUP(Vertailu[[#This Row],[Y-tunnus]],'1.2 Ohjaus-laskentataulu'!A:AU,COLUMN('1.2 Ohjaus-laskentataulu'!AU:AU),FALSE),0)</f>
        <v>948271</v>
      </c>
      <c r="X80" s="235">
        <f>IFERROR(Vertailu[[#This Row],[Rahoitus ml. hark. kor. + alv 2023, €]]-Vertailu[[#This Row],[Rahoitus ml. hark. kor. + alv 2022, €]],0)</f>
        <v>142985</v>
      </c>
      <c r="Y80" s="230">
        <f>IFERROR(Vertailu[[#This Row],[Muutos, € 3]]/Vertailu[[#This Row],[Rahoitus ml. hark. kor. + alv 2022, €]],0)</f>
        <v>0.177558035281875</v>
      </c>
      <c r="Z80" s="228">
        <f>IFERROR(VLOOKUP(Vertailu[[#This Row],[Y-tunnus]],'Suoritepäätös 2022 oikaistu'!$B:$N,COLUMN('Suoritepäätös 2022 oikaistu'!G:G),FALSE),0)</f>
        <v>364197</v>
      </c>
      <c r="AA80" s="228">
        <f>IFERROR(VLOOKUP(Vertailu[[#This Row],[Y-tunnus]],'1.2 Ohjaus-laskentataulu'!A:AU,COLUMN('1.2 Ohjaus-laskentataulu'!AP:AP),FALSE),0)</f>
        <v>391608</v>
      </c>
      <c r="AB80" s="228">
        <f>Vertailu[[#This Row],[Perusrahoitus 2023, €]]-Vertailu[[#This Row],[Perusrahoitus 2022, €]]</f>
        <v>27411</v>
      </c>
      <c r="AC80" s="230">
        <f>IFERROR(Vertailu[[#This Row],[Perusrahoituksen muutos, €]]/Vertailu[[#This Row],[Perusrahoitus 2022, €]],0)</f>
        <v>7.526421140207086E-2</v>
      </c>
      <c r="AD80" s="228">
        <f>IFERROR(VLOOKUP(Vertailu[[#This Row],[Y-tunnus]],'Suoritepäätös 2022 oikaistu'!$B:$N,COLUMN('Suoritepäätös 2022 oikaistu'!M:M),FALSE),0)</f>
        <v>138799</v>
      </c>
      <c r="AE80" s="228">
        <f>IFERROR(VLOOKUP(Vertailu[[#This Row],[Y-tunnus]],'1.2 Ohjaus-laskentataulu'!A:AU,COLUMN('1.2 Ohjaus-laskentataulu'!O:O),FALSE),0)</f>
        <v>161672</v>
      </c>
      <c r="AF80" s="228">
        <f>Vertailu[[#This Row],[Suoritusrahoitus 2023, €]]-Vertailu[[#This Row],[Suoritusrahoitus 2022, €]]</f>
        <v>22873</v>
      </c>
      <c r="AG80" s="230">
        <f>IFERROR(Vertailu[[#This Row],[Suoritusrahoituksen muutos, €]]/Vertailu[[#This Row],[Suoritusrahoitus 2022, €]],0)</f>
        <v>0.16479225354649529</v>
      </c>
      <c r="AH80" s="228">
        <f>IFERROR(VLOOKUP(Vertailu[[#This Row],[Y-tunnus]],'Suoritepäätös 2022 oikaistu'!$Q:$AC,COLUMN('Suoritepäätös 2022 oikaistu'!K:K),FALSE),0)</f>
        <v>137756</v>
      </c>
      <c r="AI80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196993</v>
      </c>
      <c r="AJ80" s="228">
        <f>Vertailu[[#This Row],[Vaikuttavuusrahoitus 2023, €]]-Vertailu[[#This Row],[Vaikuttavuusrahoitus 2022, €]]</f>
        <v>59237</v>
      </c>
      <c r="AK80" s="230">
        <f>IFERROR(Vertailu[[#This Row],[Vaikuttavuusrahoituksen muutos, €]]/Vertailu[[#This Row],[Vaikuttavuusrahoitus 2022, €]],0)</f>
        <v>0.4300139376869247</v>
      </c>
    </row>
    <row r="81" spans="1:37" s="5" customFormat="1" ht="12.75" customHeight="1" x14ac:dyDescent="0.35">
      <c r="A81" s="7" t="s">
        <v>258</v>
      </c>
      <c r="B81" s="188" t="s">
        <v>76</v>
      </c>
      <c r="C81" s="188" t="s">
        <v>187</v>
      </c>
      <c r="D81" s="11" t="s">
        <v>337</v>
      </c>
      <c r="E81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0.58522437360689639</v>
      </c>
      <c r="F81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0.58883947108025314</v>
      </c>
      <c r="G81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0.24486707803032964</v>
      </c>
      <c r="H81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0.16629345088941727</v>
      </c>
      <c r="I81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9.9245270936062349E-2</v>
      </c>
      <c r="J81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5.3508607030641562E-3</v>
      </c>
      <c r="K81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1.7767687639052142E-2</v>
      </c>
      <c r="L81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2.293056327350175E-2</v>
      </c>
      <c r="M81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2.0999068337736865E-2</v>
      </c>
      <c r="N81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1796080</v>
      </c>
      <c r="O81" s="228">
        <f>IFERROR(VLOOKUP(Vertailu[[#This Row],[Y-tunnus]],'1.2 Ohjaus-laskentataulu'!A:AU,COLUMN('1.2 Ohjaus-laskentataulu'!AF:AF),FALSE),0)</f>
        <v>1929324</v>
      </c>
      <c r="P81" s="228">
        <f>IFERROR(Vertailu[[#This Row],[Rahoitus pl. hark. kor. 2023 ilman alv, €]]-Vertailu[[#This Row],[Rahoitus pl. hark. kor. 2022 ilman alv, €]],0)</f>
        <v>133244</v>
      </c>
      <c r="Q81" s="230">
        <f>IFERROR(Vertailu[[#This Row],[Muutos, € 1]]/Vertailu[[#This Row],[Rahoitus pl. hark. kor. 2022 ilman alv, €]],0)</f>
        <v>7.4186005077724826E-2</v>
      </c>
      <c r="R81" s="233">
        <f>IFERROR(VLOOKUP(Vertailu[[#This Row],[Y-tunnus]],'Suoritepäätös 2022 oikaistu'!$Q:$AC,COLUMN('Suoritepäätös 2022 oikaistu'!L:L),FALSE),0)</f>
        <v>1803080</v>
      </c>
      <c r="S81" s="234">
        <f>IFERROR(VLOOKUP(Vertailu[[#This Row],[Y-tunnus]],'1.2 Ohjaus-laskentataulu'!A:AU,COLUMN('1.2 Ohjaus-laskentataulu'!AS:AS),FALSE),0)</f>
        <v>1936324</v>
      </c>
      <c r="T81" s="228">
        <f>IFERROR(Vertailu[[#This Row],[Rahoitus ml. hark. kor. 
2023 ilman alv, €]]-Vertailu[[#This Row],[Rahoitus ml. hark. kor. 
2022 ilman alv, €]],0)</f>
        <v>133244</v>
      </c>
      <c r="U81" s="232">
        <f>IFERROR(Vertailu[[#This Row],[Muutos, € 2]]/Vertailu[[#This Row],[Rahoitus ml. hark. kor. 
2022 ilman alv, €]],0)</f>
        <v>7.3897996761097678E-2</v>
      </c>
      <c r="V81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1867749</v>
      </c>
      <c r="W81" s="233">
        <f>IFERROR(VLOOKUP(Vertailu[[#This Row],[Y-tunnus]],'1.2 Ohjaus-laskentataulu'!A:AU,COLUMN('1.2 Ohjaus-laskentataulu'!AU:AU),FALSE),0)</f>
        <v>2011906</v>
      </c>
      <c r="X81" s="235">
        <f>IFERROR(Vertailu[[#This Row],[Rahoitus ml. hark. kor. + alv 2023, €]]-Vertailu[[#This Row],[Rahoitus ml. hark. kor. + alv 2022, €]],0)</f>
        <v>144157</v>
      </c>
      <c r="Y81" s="230">
        <f>IFERROR(Vertailu[[#This Row],[Muutos, € 3]]/Vertailu[[#This Row],[Rahoitus ml. hark. kor. + alv 2022, €]],0)</f>
        <v>7.7182212385068866E-2</v>
      </c>
      <c r="Z81" s="228">
        <f>IFERROR(VLOOKUP(Vertailu[[#This Row],[Y-tunnus]],'Suoritepäätös 2022 oikaistu'!$B:$N,COLUMN('Suoritepäätös 2022 oikaistu'!G:G),FALSE),0)</f>
        <v>1029897</v>
      </c>
      <c r="AA81" s="228">
        <f>IFERROR(VLOOKUP(Vertailu[[#This Row],[Y-tunnus]],'1.2 Ohjaus-laskentataulu'!A:AU,COLUMN('1.2 Ohjaus-laskentataulu'!AP:AP),FALSE),0)</f>
        <v>1140184</v>
      </c>
      <c r="AB81" s="228">
        <f>Vertailu[[#This Row],[Perusrahoitus 2023, €]]-Vertailu[[#This Row],[Perusrahoitus 2022, €]]</f>
        <v>110287</v>
      </c>
      <c r="AC81" s="230">
        <f>IFERROR(Vertailu[[#This Row],[Perusrahoituksen muutos, €]]/Vertailu[[#This Row],[Perusrahoitus 2022, €]],0)</f>
        <v>0.10708546582813622</v>
      </c>
      <c r="AD81" s="228">
        <f>IFERROR(VLOOKUP(Vertailu[[#This Row],[Y-tunnus]],'Suoritepäätös 2022 oikaistu'!$B:$N,COLUMN('Suoritepäätös 2022 oikaistu'!M:M),FALSE),0)</f>
        <v>496293</v>
      </c>
      <c r="AE81" s="228">
        <f>IFERROR(VLOOKUP(Vertailu[[#This Row],[Y-tunnus]],'1.2 Ohjaus-laskentataulu'!A:AU,COLUMN('1.2 Ohjaus-laskentataulu'!O:O),FALSE),0)</f>
        <v>474142</v>
      </c>
      <c r="AF81" s="228">
        <f>Vertailu[[#This Row],[Suoritusrahoitus 2023, €]]-Vertailu[[#This Row],[Suoritusrahoitus 2022, €]]</f>
        <v>-22151</v>
      </c>
      <c r="AG81" s="230">
        <f>IFERROR(Vertailu[[#This Row],[Suoritusrahoituksen muutos, €]]/Vertailu[[#This Row],[Suoritusrahoitus 2022, €]],0)</f>
        <v>-4.4632908382749706E-2</v>
      </c>
      <c r="AH81" s="228">
        <f>IFERROR(VLOOKUP(Vertailu[[#This Row],[Y-tunnus]],'Suoritepäätös 2022 oikaistu'!$Q:$AC,COLUMN('Suoritepäätös 2022 oikaistu'!K:K),FALSE),0)</f>
        <v>276890</v>
      </c>
      <c r="AI81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321998</v>
      </c>
      <c r="AJ81" s="228">
        <f>Vertailu[[#This Row],[Vaikuttavuusrahoitus 2023, €]]-Vertailu[[#This Row],[Vaikuttavuusrahoitus 2022, €]]</f>
        <v>45108</v>
      </c>
      <c r="AK81" s="230">
        <f>IFERROR(Vertailu[[#This Row],[Vaikuttavuusrahoituksen muutos, €]]/Vertailu[[#This Row],[Vaikuttavuusrahoitus 2022, €]],0)</f>
        <v>0.16290945862978079</v>
      </c>
    </row>
    <row r="82" spans="1:37" s="5" customFormat="1" ht="12.75" customHeight="1" x14ac:dyDescent="0.35">
      <c r="A82" s="7" t="s">
        <v>290</v>
      </c>
      <c r="B82" s="188" t="s">
        <v>461</v>
      </c>
      <c r="C82" s="188" t="s">
        <v>180</v>
      </c>
      <c r="D82" s="11" t="s">
        <v>337</v>
      </c>
      <c r="E82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0.61399128931480673</v>
      </c>
      <c r="F82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0.61399128931480673</v>
      </c>
      <c r="G82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0.22412169678166163</v>
      </c>
      <c r="H82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0.16188701390353161</v>
      </c>
      <c r="I82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0.11221300567587687</v>
      </c>
      <c r="J82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4.7302559953870055E-3</v>
      </c>
      <c r="K82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1.7331138359718917E-2</v>
      </c>
      <c r="L82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2.0035275209026322E-2</v>
      </c>
      <c r="M82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7.5773386635224864E-3</v>
      </c>
      <c r="N82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6748687</v>
      </c>
      <c r="O82" s="228">
        <f>IFERROR(VLOOKUP(Vertailu[[#This Row],[Y-tunnus]],'1.2 Ohjaus-laskentataulu'!A:AU,COLUMN('1.2 Ohjaus-laskentataulu'!AF:AF),FALSE),0)</f>
        <v>7436384</v>
      </c>
      <c r="P82" s="228">
        <f>IFERROR(Vertailu[[#This Row],[Rahoitus pl. hark. kor. 2023 ilman alv, €]]-Vertailu[[#This Row],[Rahoitus pl. hark. kor. 2022 ilman alv, €]],0)</f>
        <v>687697</v>
      </c>
      <c r="Q82" s="230">
        <f>IFERROR(Vertailu[[#This Row],[Muutos, € 1]]/Vertailu[[#This Row],[Rahoitus pl. hark. kor. 2022 ilman alv, €]],0)</f>
        <v>0.10190085864109567</v>
      </c>
      <c r="R82" s="233">
        <f>IFERROR(VLOOKUP(Vertailu[[#This Row],[Y-tunnus]],'Suoritepäätös 2022 oikaistu'!$Q:$AC,COLUMN('Suoritepäätös 2022 oikaistu'!L:L),FALSE),0)</f>
        <v>6748687</v>
      </c>
      <c r="S82" s="234">
        <f>IFERROR(VLOOKUP(Vertailu[[#This Row],[Y-tunnus]],'1.2 Ohjaus-laskentataulu'!A:AU,COLUMN('1.2 Ohjaus-laskentataulu'!AS:AS),FALSE),0)</f>
        <v>7436384</v>
      </c>
      <c r="T82" s="228">
        <f>IFERROR(Vertailu[[#This Row],[Rahoitus ml. hark. kor. 
2023 ilman alv, €]]-Vertailu[[#This Row],[Rahoitus ml. hark. kor. 
2022 ilman alv, €]],0)</f>
        <v>687697</v>
      </c>
      <c r="U82" s="232">
        <f>IFERROR(Vertailu[[#This Row],[Muutos, € 2]]/Vertailu[[#This Row],[Rahoitus ml. hark. kor. 
2022 ilman alv, €]],0)</f>
        <v>0.10190085864109567</v>
      </c>
      <c r="V82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7024376</v>
      </c>
      <c r="W82" s="233">
        <f>IFERROR(VLOOKUP(Vertailu[[#This Row],[Y-tunnus]],'1.2 Ohjaus-laskentataulu'!A:AU,COLUMN('1.2 Ohjaus-laskentataulu'!AU:AU),FALSE),0)</f>
        <v>7796400</v>
      </c>
      <c r="X82" s="235">
        <f>IFERROR(Vertailu[[#This Row],[Rahoitus ml. hark. kor. + alv 2023, €]]-Vertailu[[#This Row],[Rahoitus ml. hark. kor. + alv 2022, €]],0)</f>
        <v>772024</v>
      </c>
      <c r="Y82" s="230">
        <f>IFERROR(Vertailu[[#This Row],[Muutos, € 3]]/Vertailu[[#This Row],[Rahoitus ml. hark. kor. + alv 2022, €]],0)</f>
        <v>0.10990641731023511</v>
      </c>
      <c r="Z82" s="228">
        <f>IFERROR(VLOOKUP(Vertailu[[#This Row],[Y-tunnus]],'Suoritepäätös 2022 oikaistu'!$B:$N,COLUMN('Suoritepäätös 2022 oikaistu'!G:G),FALSE),0)</f>
        <v>4276627</v>
      </c>
      <c r="AA82" s="228">
        <f>IFERROR(VLOOKUP(Vertailu[[#This Row],[Y-tunnus]],'1.2 Ohjaus-laskentataulu'!A:AU,COLUMN('1.2 Ohjaus-laskentataulu'!AP:AP),FALSE),0)</f>
        <v>4565875</v>
      </c>
      <c r="AB82" s="228">
        <f>Vertailu[[#This Row],[Perusrahoitus 2023, €]]-Vertailu[[#This Row],[Perusrahoitus 2022, €]]</f>
        <v>289248</v>
      </c>
      <c r="AC82" s="230">
        <f>IFERROR(Vertailu[[#This Row],[Perusrahoituksen muutos, €]]/Vertailu[[#This Row],[Perusrahoitus 2022, €]],0)</f>
        <v>6.7634610172923659E-2</v>
      </c>
      <c r="AD82" s="228">
        <f>IFERROR(VLOOKUP(Vertailu[[#This Row],[Y-tunnus]],'Suoritepäätös 2022 oikaistu'!$B:$N,COLUMN('Suoritepäätös 2022 oikaistu'!M:M),FALSE),0)</f>
        <v>1460565</v>
      </c>
      <c r="AE82" s="228">
        <f>IFERROR(VLOOKUP(Vertailu[[#This Row],[Y-tunnus]],'1.2 Ohjaus-laskentataulu'!A:AU,COLUMN('1.2 Ohjaus-laskentataulu'!O:O),FALSE),0)</f>
        <v>1666655</v>
      </c>
      <c r="AF82" s="228">
        <f>Vertailu[[#This Row],[Suoritusrahoitus 2023, €]]-Vertailu[[#This Row],[Suoritusrahoitus 2022, €]]</f>
        <v>206090</v>
      </c>
      <c r="AG82" s="230">
        <f>IFERROR(Vertailu[[#This Row],[Suoritusrahoituksen muutos, €]]/Vertailu[[#This Row],[Suoritusrahoitus 2022, €]],0)</f>
        <v>0.14110292934583535</v>
      </c>
      <c r="AH82" s="228">
        <f>IFERROR(VLOOKUP(Vertailu[[#This Row],[Y-tunnus]],'Suoritepäätös 2022 oikaistu'!$Q:$AC,COLUMN('Suoritepäätös 2022 oikaistu'!K:K),FALSE),0)</f>
        <v>1011495</v>
      </c>
      <c r="AI82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1203854</v>
      </c>
      <c r="AJ82" s="228">
        <f>Vertailu[[#This Row],[Vaikuttavuusrahoitus 2023, €]]-Vertailu[[#This Row],[Vaikuttavuusrahoitus 2022, €]]</f>
        <v>192359</v>
      </c>
      <c r="AK82" s="230">
        <f>IFERROR(Vertailu[[#This Row],[Vaikuttavuusrahoituksen muutos, €]]/Vertailu[[#This Row],[Vaikuttavuusrahoitus 2022, €]],0)</f>
        <v>0.19017296180406229</v>
      </c>
    </row>
    <row r="83" spans="1:37" s="5" customFormat="1" ht="12.75" customHeight="1" x14ac:dyDescent="0.35">
      <c r="A83" s="7" t="s">
        <v>257</v>
      </c>
      <c r="B83" s="188" t="s">
        <v>149</v>
      </c>
      <c r="C83" s="188" t="s">
        <v>194</v>
      </c>
      <c r="D83" s="11" t="s">
        <v>337</v>
      </c>
      <c r="E83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</v>
      </c>
      <c r="F83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</v>
      </c>
      <c r="G83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</v>
      </c>
      <c r="H83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1</v>
      </c>
      <c r="I83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0.92745591939546601</v>
      </c>
      <c r="J83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7.2544080604534003E-2</v>
      </c>
      <c r="K83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0</v>
      </c>
      <c r="L83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0</v>
      </c>
      <c r="M83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0</v>
      </c>
      <c r="N83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3634</v>
      </c>
      <c r="O83" s="228">
        <f>IFERROR(VLOOKUP(Vertailu[[#This Row],[Y-tunnus]],'1.2 Ohjaus-laskentataulu'!A:AU,COLUMN('1.2 Ohjaus-laskentataulu'!AF:AF),FALSE),0)</f>
        <v>1985</v>
      </c>
      <c r="P83" s="228">
        <f>IFERROR(Vertailu[[#This Row],[Rahoitus pl. hark. kor. 2023 ilman alv, €]]-Vertailu[[#This Row],[Rahoitus pl. hark. kor. 2022 ilman alv, €]],0)</f>
        <v>-1649</v>
      </c>
      <c r="Q83" s="230">
        <f>IFERROR(Vertailu[[#This Row],[Muutos, € 1]]/Vertailu[[#This Row],[Rahoitus pl. hark. kor. 2022 ilman alv, €]],0)</f>
        <v>-0.45376995046780405</v>
      </c>
      <c r="R83" s="233">
        <f>IFERROR(VLOOKUP(Vertailu[[#This Row],[Y-tunnus]],'Suoritepäätös 2022 oikaistu'!$Q:$AC,COLUMN('Suoritepäätös 2022 oikaistu'!L:L),FALSE),0)</f>
        <v>3634</v>
      </c>
      <c r="S83" s="234">
        <f>IFERROR(VLOOKUP(Vertailu[[#This Row],[Y-tunnus]],'1.2 Ohjaus-laskentataulu'!A:AU,COLUMN('1.2 Ohjaus-laskentataulu'!AS:AS),FALSE),0)</f>
        <v>1985</v>
      </c>
      <c r="T83" s="228">
        <f>IFERROR(Vertailu[[#This Row],[Rahoitus ml. hark. kor. 
2023 ilman alv, €]]-Vertailu[[#This Row],[Rahoitus ml. hark. kor. 
2022 ilman alv, €]],0)</f>
        <v>-1649</v>
      </c>
      <c r="U83" s="232">
        <f>IFERROR(Vertailu[[#This Row],[Muutos, € 2]]/Vertailu[[#This Row],[Rahoitus ml. hark. kor. 
2022 ilman alv, €]],0)</f>
        <v>-0.45376995046780405</v>
      </c>
      <c r="V83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3634</v>
      </c>
      <c r="W83" s="233">
        <f>IFERROR(VLOOKUP(Vertailu[[#This Row],[Y-tunnus]],'1.2 Ohjaus-laskentataulu'!A:AU,COLUMN('1.2 Ohjaus-laskentataulu'!AU:AU),FALSE),0)</f>
        <v>1985</v>
      </c>
      <c r="X83" s="235">
        <f>IFERROR(Vertailu[[#This Row],[Rahoitus ml. hark. kor. + alv 2023, €]]-Vertailu[[#This Row],[Rahoitus ml. hark. kor. + alv 2022, €]],0)</f>
        <v>-1649</v>
      </c>
      <c r="Y83" s="230">
        <f>IFERROR(Vertailu[[#This Row],[Muutos, € 3]]/Vertailu[[#This Row],[Rahoitus ml. hark. kor. + alv 2022, €]],0)</f>
        <v>-0.45376995046780405</v>
      </c>
      <c r="Z83" s="228">
        <f>IFERROR(VLOOKUP(Vertailu[[#This Row],[Y-tunnus]],'Suoritepäätös 2022 oikaistu'!$B:$N,COLUMN('Suoritepäätös 2022 oikaistu'!G:G),FALSE),0)</f>
        <v>0</v>
      </c>
      <c r="AA83" s="228">
        <f>IFERROR(VLOOKUP(Vertailu[[#This Row],[Y-tunnus]],'1.2 Ohjaus-laskentataulu'!A:AU,COLUMN('1.2 Ohjaus-laskentataulu'!AP:AP),FALSE),0)</f>
        <v>0</v>
      </c>
      <c r="AB83" s="228">
        <f>Vertailu[[#This Row],[Perusrahoitus 2023, €]]-Vertailu[[#This Row],[Perusrahoitus 2022, €]]</f>
        <v>0</v>
      </c>
      <c r="AC83" s="230">
        <f>IFERROR(Vertailu[[#This Row],[Perusrahoituksen muutos, €]]/Vertailu[[#This Row],[Perusrahoitus 2022, €]],0)</f>
        <v>0</v>
      </c>
      <c r="AD83" s="228">
        <f>IFERROR(VLOOKUP(Vertailu[[#This Row],[Y-tunnus]],'Suoritepäätös 2022 oikaistu'!$B:$N,COLUMN('Suoritepäätös 2022 oikaistu'!M:M),FALSE),0)</f>
        <v>3634</v>
      </c>
      <c r="AE83" s="228">
        <f>IFERROR(VLOOKUP(Vertailu[[#This Row],[Y-tunnus]],'1.2 Ohjaus-laskentataulu'!A:AU,COLUMN('1.2 Ohjaus-laskentataulu'!O:O),FALSE),0)</f>
        <v>0</v>
      </c>
      <c r="AF83" s="228">
        <f>Vertailu[[#This Row],[Suoritusrahoitus 2023, €]]-Vertailu[[#This Row],[Suoritusrahoitus 2022, €]]</f>
        <v>-3634</v>
      </c>
      <c r="AG83" s="230">
        <f>IFERROR(Vertailu[[#This Row],[Suoritusrahoituksen muutos, €]]/Vertailu[[#This Row],[Suoritusrahoitus 2022, €]],0)</f>
        <v>-1</v>
      </c>
      <c r="AH83" s="228">
        <f>IFERROR(VLOOKUP(Vertailu[[#This Row],[Y-tunnus]],'Suoritepäätös 2022 oikaistu'!$Q:$AC,COLUMN('Suoritepäätös 2022 oikaistu'!K:K),FALSE),0)</f>
        <v>0</v>
      </c>
      <c r="AI83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1985</v>
      </c>
      <c r="AJ83" s="228">
        <f>Vertailu[[#This Row],[Vaikuttavuusrahoitus 2023, €]]-Vertailu[[#This Row],[Vaikuttavuusrahoitus 2022, €]]</f>
        <v>1985</v>
      </c>
      <c r="AK83" s="230">
        <f>IFERROR(Vertailu[[#This Row],[Vaikuttavuusrahoituksen muutos, €]]/Vertailu[[#This Row],[Vaikuttavuusrahoitus 2022, €]],0)</f>
        <v>0</v>
      </c>
    </row>
    <row r="84" spans="1:37" s="5" customFormat="1" ht="12.75" customHeight="1" x14ac:dyDescent="0.35">
      <c r="A84" s="7" t="s">
        <v>255</v>
      </c>
      <c r="B84" s="188" t="s">
        <v>77</v>
      </c>
      <c r="C84" s="188" t="s">
        <v>186</v>
      </c>
      <c r="D84" s="11" t="s">
        <v>336</v>
      </c>
      <c r="E84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0.72152263316106802</v>
      </c>
      <c r="F84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0.72318074244852504</v>
      </c>
      <c r="G84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0.17233841371877864</v>
      </c>
      <c r="H84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0.10448084383269628</v>
      </c>
      <c r="I84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7.3983362531409663E-2</v>
      </c>
      <c r="J84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3.0906543003647777E-3</v>
      </c>
      <c r="K84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8.5159264774690279E-3</v>
      </c>
      <c r="L84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1.4392511438037039E-2</v>
      </c>
      <c r="M84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4.4983890854157806E-3</v>
      </c>
      <c r="N84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15150320</v>
      </c>
      <c r="O84" s="228">
        <f>IFERROR(VLOOKUP(Vertailu[[#This Row],[Y-tunnus]],'1.2 Ohjaus-laskentataulu'!A:AU,COLUMN('1.2 Ohjaus-laskentataulu'!AF:AF),FALSE),0)</f>
        <v>16256607</v>
      </c>
      <c r="P84" s="228">
        <f>IFERROR(Vertailu[[#This Row],[Rahoitus pl. hark. kor. 2023 ilman alv, €]]-Vertailu[[#This Row],[Rahoitus pl. hark. kor. 2022 ilman alv, €]],0)</f>
        <v>1106287</v>
      </c>
      <c r="Q84" s="230">
        <f>IFERROR(Vertailu[[#This Row],[Muutos, € 1]]/Vertailu[[#This Row],[Rahoitus pl. hark. kor. 2022 ilman alv, €]],0)</f>
        <v>7.3020701872963736E-2</v>
      </c>
      <c r="R84" s="233">
        <f>IFERROR(VLOOKUP(Vertailu[[#This Row],[Y-tunnus]],'Suoritepäätös 2022 oikaistu'!$Q:$AC,COLUMN('Suoritepäätös 2022 oikaistu'!L:L),FALSE),0)</f>
        <v>15179320</v>
      </c>
      <c r="S84" s="234">
        <f>IFERROR(VLOOKUP(Vertailu[[#This Row],[Y-tunnus]],'1.2 Ohjaus-laskentataulu'!A:AU,COLUMN('1.2 Ohjaus-laskentataulu'!AS:AS),FALSE),0)</f>
        <v>16283607</v>
      </c>
      <c r="T84" s="228">
        <f>IFERROR(Vertailu[[#This Row],[Rahoitus ml. hark. kor. 
2023 ilman alv, €]]-Vertailu[[#This Row],[Rahoitus ml. hark. kor. 
2022 ilman alv, €]],0)</f>
        <v>1104287</v>
      </c>
      <c r="U84" s="232">
        <f>IFERROR(Vertailu[[#This Row],[Muutos, € 2]]/Vertailu[[#This Row],[Rahoitus ml. hark. kor. 
2022 ilman alv, €]],0)</f>
        <v>7.2749438051243398E-2</v>
      </c>
      <c r="V84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15179320</v>
      </c>
      <c r="W84" s="233">
        <f>IFERROR(VLOOKUP(Vertailu[[#This Row],[Y-tunnus]],'1.2 Ohjaus-laskentataulu'!A:AU,COLUMN('1.2 Ohjaus-laskentataulu'!AU:AU),FALSE),0)</f>
        <v>16283607</v>
      </c>
      <c r="X84" s="235">
        <f>IFERROR(Vertailu[[#This Row],[Rahoitus ml. hark. kor. + alv 2023, €]]-Vertailu[[#This Row],[Rahoitus ml. hark. kor. + alv 2022, €]],0)</f>
        <v>1104287</v>
      </c>
      <c r="Y84" s="230">
        <f>IFERROR(Vertailu[[#This Row],[Muutos, € 3]]/Vertailu[[#This Row],[Rahoitus ml. hark. kor. + alv 2022, €]],0)</f>
        <v>7.2749438051243398E-2</v>
      </c>
      <c r="Z84" s="228">
        <f>IFERROR(VLOOKUP(Vertailu[[#This Row],[Y-tunnus]],'Suoritepäätös 2022 oikaistu'!$B:$N,COLUMN('Suoritepäätös 2022 oikaistu'!G:G),FALSE),0)</f>
        <v>10741026</v>
      </c>
      <c r="AA84" s="228">
        <f>IFERROR(VLOOKUP(Vertailu[[#This Row],[Y-tunnus]],'1.2 Ohjaus-laskentataulu'!A:AU,COLUMN('1.2 Ohjaus-laskentataulu'!AP:AP),FALSE),0)</f>
        <v>11775991</v>
      </c>
      <c r="AB84" s="228">
        <f>Vertailu[[#This Row],[Perusrahoitus 2023, €]]-Vertailu[[#This Row],[Perusrahoitus 2022, €]]</f>
        <v>1034965</v>
      </c>
      <c r="AC84" s="230">
        <f>IFERROR(Vertailu[[#This Row],[Perusrahoituksen muutos, €]]/Vertailu[[#This Row],[Perusrahoitus 2022, €]],0)</f>
        <v>9.635625125569941E-2</v>
      </c>
      <c r="AD84" s="228">
        <f>IFERROR(VLOOKUP(Vertailu[[#This Row],[Y-tunnus]],'Suoritepäätös 2022 oikaistu'!$B:$N,COLUMN('Suoritepäätös 2022 oikaistu'!M:M),FALSE),0)</f>
        <v>3101919</v>
      </c>
      <c r="AE84" s="228">
        <f>IFERROR(VLOOKUP(Vertailu[[#This Row],[Y-tunnus]],'1.2 Ohjaus-laskentataulu'!A:AU,COLUMN('1.2 Ohjaus-laskentataulu'!O:O),FALSE),0)</f>
        <v>2806291</v>
      </c>
      <c r="AF84" s="228">
        <f>Vertailu[[#This Row],[Suoritusrahoitus 2023, €]]-Vertailu[[#This Row],[Suoritusrahoitus 2022, €]]</f>
        <v>-295628</v>
      </c>
      <c r="AG84" s="230">
        <f>IFERROR(Vertailu[[#This Row],[Suoritusrahoituksen muutos, €]]/Vertailu[[#This Row],[Suoritusrahoitus 2022, €]],0)</f>
        <v>-9.5304874176276047E-2</v>
      </c>
      <c r="AH84" s="228">
        <f>IFERROR(VLOOKUP(Vertailu[[#This Row],[Y-tunnus]],'Suoritepäätös 2022 oikaistu'!$Q:$AC,COLUMN('Suoritepäätös 2022 oikaistu'!K:K),FALSE),0)</f>
        <v>1336375</v>
      </c>
      <c r="AI84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1701325</v>
      </c>
      <c r="AJ84" s="228">
        <f>Vertailu[[#This Row],[Vaikuttavuusrahoitus 2023, €]]-Vertailu[[#This Row],[Vaikuttavuusrahoitus 2022, €]]</f>
        <v>364950</v>
      </c>
      <c r="AK84" s="230">
        <f>IFERROR(Vertailu[[#This Row],[Vaikuttavuusrahoituksen muutos, €]]/Vertailu[[#This Row],[Vaikuttavuusrahoitus 2022, €]],0)</f>
        <v>0.27308951454494435</v>
      </c>
    </row>
    <row r="85" spans="1:37" s="5" customFormat="1" ht="12.75" customHeight="1" x14ac:dyDescent="0.35">
      <c r="A85" s="7" t="s">
        <v>254</v>
      </c>
      <c r="B85" s="188" t="s">
        <v>78</v>
      </c>
      <c r="C85" s="188" t="s">
        <v>187</v>
      </c>
      <c r="D85" s="11" t="s">
        <v>338</v>
      </c>
      <c r="E85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0.5914287749929843</v>
      </c>
      <c r="F85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0.5914287749929843</v>
      </c>
      <c r="G85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0.31694106664844279</v>
      </c>
      <c r="H85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9.1630158358572897E-2</v>
      </c>
      <c r="I85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8.2455219464247539E-2</v>
      </c>
      <c r="J85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2.8106429291174175E-3</v>
      </c>
      <c r="K85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6.3642959652079334E-3</v>
      </c>
      <c r="L85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0</v>
      </c>
      <c r="M85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0</v>
      </c>
      <c r="N85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591797</v>
      </c>
      <c r="O85" s="228">
        <f>IFERROR(VLOOKUP(Vertailu[[#This Row],[Y-tunnus]],'1.2 Ohjaus-laskentataulu'!A:AU,COLUMN('1.2 Ohjaus-laskentataulu'!AF:AF),FALSE),0)</f>
        <v>687743</v>
      </c>
      <c r="P85" s="228">
        <f>IFERROR(Vertailu[[#This Row],[Rahoitus pl. hark. kor. 2023 ilman alv, €]]-Vertailu[[#This Row],[Rahoitus pl. hark. kor. 2022 ilman alv, €]],0)</f>
        <v>95946</v>
      </c>
      <c r="Q85" s="230">
        <f>IFERROR(Vertailu[[#This Row],[Muutos, € 1]]/Vertailu[[#This Row],[Rahoitus pl. hark. kor. 2022 ilman alv, €]],0)</f>
        <v>0.16212654001287605</v>
      </c>
      <c r="R85" s="233">
        <f>IFERROR(VLOOKUP(Vertailu[[#This Row],[Y-tunnus]],'Suoritepäätös 2022 oikaistu'!$Q:$AC,COLUMN('Suoritepäätös 2022 oikaistu'!L:L),FALSE),0)</f>
        <v>591797</v>
      </c>
      <c r="S85" s="234">
        <f>IFERROR(VLOOKUP(Vertailu[[#This Row],[Y-tunnus]],'1.2 Ohjaus-laskentataulu'!A:AU,COLUMN('1.2 Ohjaus-laskentataulu'!AS:AS),FALSE),0)</f>
        <v>687743</v>
      </c>
      <c r="T85" s="228">
        <f>IFERROR(Vertailu[[#This Row],[Rahoitus ml. hark. kor. 
2023 ilman alv, €]]-Vertailu[[#This Row],[Rahoitus ml. hark. kor. 
2022 ilman alv, €]],0)</f>
        <v>95946</v>
      </c>
      <c r="U85" s="232">
        <f>IFERROR(Vertailu[[#This Row],[Muutos, € 2]]/Vertailu[[#This Row],[Rahoitus ml. hark. kor. 
2022 ilman alv, €]],0)</f>
        <v>0.16212654001287605</v>
      </c>
      <c r="V85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591797</v>
      </c>
      <c r="W85" s="233">
        <f>IFERROR(VLOOKUP(Vertailu[[#This Row],[Y-tunnus]],'1.2 Ohjaus-laskentataulu'!A:AU,COLUMN('1.2 Ohjaus-laskentataulu'!AU:AU),FALSE),0)</f>
        <v>687743</v>
      </c>
      <c r="X85" s="235">
        <f>IFERROR(Vertailu[[#This Row],[Rahoitus ml. hark. kor. + alv 2023, €]]-Vertailu[[#This Row],[Rahoitus ml. hark. kor. + alv 2022, €]],0)</f>
        <v>95946</v>
      </c>
      <c r="Y85" s="230">
        <f>IFERROR(Vertailu[[#This Row],[Muutos, € 3]]/Vertailu[[#This Row],[Rahoitus ml. hark. kor. + alv 2022, €]],0)</f>
        <v>0.16212654001287605</v>
      </c>
      <c r="Z85" s="228">
        <f>IFERROR(VLOOKUP(Vertailu[[#This Row],[Y-tunnus]],'Suoritepäätös 2022 oikaistu'!$B:$N,COLUMN('Suoritepäätös 2022 oikaistu'!G:G),FALSE),0)</f>
        <v>383510</v>
      </c>
      <c r="AA85" s="228">
        <f>IFERROR(VLOOKUP(Vertailu[[#This Row],[Y-tunnus]],'1.2 Ohjaus-laskentataulu'!A:AU,COLUMN('1.2 Ohjaus-laskentataulu'!AP:AP),FALSE),0)</f>
        <v>406751</v>
      </c>
      <c r="AB85" s="228">
        <f>Vertailu[[#This Row],[Perusrahoitus 2023, €]]-Vertailu[[#This Row],[Perusrahoitus 2022, €]]</f>
        <v>23241</v>
      </c>
      <c r="AC85" s="230">
        <f>IFERROR(Vertailu[[#This Row],[Perusrahoituksen muutos, €]]/Vertailu[[#This Row],[Perusrahoitus 2022, €]],0)</f>
        <v>6.060076660321765E-2</v>
      </c>
      <c r="AD85" s="228">
        <f>IFERROR(VLOOKUP(Vertailu[[#This Row],[Y-tunnus]],'Suoritepäätös 2022 oikaistu'!$B:$N,COLUMN('Suoritepäätös 2022 oikaistu'!M:M),FALSE),0)</f>
        <v>148347</v>
      </c>
      <c r="AE85" s="228">
        <f>IFERROR(VLOOKUP(Vertailu[[#This Row],[Y-tunnus]],'1.2 Ohjaus-laskentataulu'!A:AU,COLUMN('1.2 Ohjaus-laskentataulu'!O:O),FALSE),0)</f>
        <v>217974</v>
      </c>
      <c r="AF85" s="228">
        <f>Vertailu[[#This Row],[Suoritusrahoitus 2023, €]]-Vertailu[[#This Row],[Suoritusrahoitus 2022, €]]</f>
        <v>69627</v>
      </c>
      <c r="AG85" s="230">
        <f>IFERROR(Vertailu[[#This Row],[Suoritusrahoituksen muutos, €]]/Vertailu[[#This Row],[Suoritusrahoitus 2022, €]],0)</f>
        <v>0.46935226192642926</v>
      </c>
      <c r="AH85" s="228">
        <f>IFERROR(VLOOKUP(Vertailu[[#This Row],[Y-tunnus]],'Suoritepäätös 2022 oikaistu'!$Q:$AC,COLUMN('Suoritepäätös 2022 oikaistu'!K:K),FALSE),0)</f>
        <v>59940</v>
      </c>
      <c r="AI85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63018</v>
      </c>
      <c r="AJ85" s="228">
        <f>Vertailu[[#This Row],[Vaikuttavuusrahoitus 2023, €]]-Vertailu[[#This Row],[Vaikuttavuusrahoitus 2022, €]]</f>
        <v>3078</v>
      </c>
      <c r="AK85" s="230">
        <f>IFERROR(Vertailu[[#This Row],[Vaikuttavuusrahoituksen muutos, €]]/Vertailu[[#This Row],[Vaikuttavuusrahoitus 2022, €]],0)</f>
        <v>5.1351351351351354E-2</v>
      </c>
    </row>
    <row r="86" spans="1:37" s="5" customFormat="1" ht="12.75" customHeight="1" x14ac:dyDescent="0.35">
      <c r="A86" s="7" t="s">
        <v>250</v>
      </c>
      <c r="B86" s="188" t="s">
        <v>79</v>
      </c>
      <c r="C86" s="188" t="s">
        <v>180</v>
      </c>
      <c r="D86" s="11" t="s">
        <v>337</v>
      </c>
      <c r="E86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0.79439286444191415</v>
      </c>
      <c r="F86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0.79439286444191415</v>
      </c>
      <c r="G86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0.12500547429272138</v>
      </c>
      <c r="H86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8.0601661265364513E-2</v>
      </c>
      <c r="I86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7.2820866544042503E-2</v>
      </c>
      <c r="J86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0</v>
      </c>
      <c r="K86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7.7807947213220053E-3</v>
      </c>
      <c r="L86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0</v>
      </c>
      <c r="M86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0</v>
      </c>
      <c r="N86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538065</v>
      </c>
      <c r="O86" s="228">
        <f>IFERROR(VLOOKUP(Vertailu[[#This Row],[Y-tunnus]],'1.2 Ohjaus-laskentataulu'!A:AU,COLUMN('1.2 Ohjaus-laskentataulu'!AF:AF),FALSE),0)</f>
        <v>548016</v>
      </c>
      <c r="P86" s="228">
        <f>IFERROR(Vertailu[[#This Row],[Rahoitus pl. hark. kor. 2023 ilman alv, €]]-Vertailu[[#This Row],[Rahoitus pl. hark. kor. 2022 ilman alv, €]],0)</f>
        <v>9951</v>
      </c>
      <c r="Q86" s="230">
        <f>IFERROR(Vertailu[[#This Row],[Muutos, € 1]]/Vertailu[[#This Row],[Rahoitus pl. hark. kor. 2022 ilman alv, €]],0)</f>
        <v>1.8494048116863206E-2</v>
      </c>
      <c r="R86" s="233">
        <f>IFERROR(VLOOKUP(Vertailu[[#This Row],[Y-tunnus]],'Suoritepäätös 2022 oikaistu'!$Q:$AC,COLUMN('Suoritepäätös 2022 oikaistu'!L:L),FALSE),0)</f>
        <v>538065</v>
      </c>
      <c r="S86" s="234">
        <f>IFERROR(VLOOKUP(Vertailu[[#This Row],[Y-tunnus]],'1.2 Ohjaus-laskentataulu'!A:AU,COLUMN('1.2 Ohjaus-laskentataulu'!AS:AS),FALSE),0)</f>
        <v>548016</v>
      </c>
      <c r="T86" s="228">
        <f>IFERROR(Vertailu[[#This Row],[Rahoitus ml. hark. kor. 
2023 ilman alv, €]]-Vertailu[[#This Row],[Rahoitus ml. hark. kor. 
2022 ilman alv, €]],0)</f>
        <v>9951</v>
      </c>
      <c r="U86" s="232">
        <f>IFERROR(Vertailu[[#This Row],[Muutos, € 2]]/Vertailu[[#This Row],[Rahoitus ml. hark. kor. 
2022 ilman alv, €]],0)</f>
        <v>1.8494048116863206E-2</v>
      </c>
      <c r="V86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572355</v>
      </c>
      <c r="W86" s="233">
        <f>IFERROR(VLOOKUP(Vertailu[[#This Row],[Y-tunnus]],'1.2 Ohjaus-laskentataulu'!A:AU,COLUMN('1.2 Ohjaus-laskentataulu'!AU:AU),FALSE),0)</f>
        <v>587056</v>
      </c>
      <c r="X86" s="235">
        <f>IFERROR(Vertailu[[#This Row],[Rahoitus ml. hark. kor. + alv 2023, €]]-Vertailu[[#This Row],[Rahoitus ml. hark. kor. + alv 2022, €]],0)</f>
        <v>14701</v>
      </c>
      <c r="Y86" s="230">
        <f>IFERROR(Vertailu[[#This Row],[Muutos, € 3]]/Vertailu[[#This Row],[Rahoitus ml. hark. kor. + alv 2022, €]],0)</f>
        <v>2.5685108018624805E-2</v>
      </c>
      <c r="Z86" s="228">
        <f>IFERROR(VLOOKUP(Vertailu[[#This Row],[Y-tunnus]],'Suoritepäätös 2022 oikaistu'!$B:$N,COLUMN('Suoritepäätös 2022 oikaistu'!G:G),FALSE),0)</f>
        <v>395724</v>
      </c>
      <c r="AA86" s="228">
        <f>IFERROR(VLOOKUP(Vertailu[[#This Row],[Y-tunnus]],'1.2 Ohjaus-laskentataulu'!A:AU,COLUMN('1.2 Ohjaus-laskentataulu'!AP:AP),FALSE),0)</f>
        <v>435340</v>
      </c>
      <c r="AB86" s="228">
        <f>Vertailu[[#This Row],[Perusrahoitus 2023, €]]-Vertailu[[#This Row],[Perusrahoitus 2022, €]]</f>
        <v>39616</v>
      </c>
      <c r="AC86" s="230">
        <f>IFERROR(Vertailu[[#This Row],[Perusrahoituksen muutos, €]]/Vertailu[[#This Row],[Perusrahoitus 2022, €]],0)</f>
        <v>0.10011017780068937</v>
      </c>
      <c r="AD86" s="228">
        <f>IFERROR(VLOOKUP(Vertailu[[#This Row],[Y-tunnus]],'Suoritepäätös 2022 oikaistu'!$B:$N,COLUMN('Suoritepäätös 2022 oikaistu'!M:M),FALSE),0)</f>
        <v>81949</v>
      </c>
      <c r="AE86" s="228">
        <f>IFERROR(VLOOKUP(Vertailu[[#This Row],[Y-tunnus]],'1.2 Ohjaus-laskentataulu'!A:AU,COLUMN('1.2 Ohjaus-laskentataulu'!O:O),FALSE),0)</f>
        <v>68505</v>
      </c>
      <c r="AF86" s="228">
        <f>Vertailu[[#This Row],[Suoritusrahoitus 2023, €]]-Vertailu[[#This Row],[Suoritusrahoitus 2022, €]]</f>
        <v>-13444</v>
      </c>
      <c r="AG86" s="230">
        <f>IFERROR(Vertailu[[#This Row],[Suoritusrahoituksen muutos, €]]/Vertailu[[#This Row],[Suoritusrahoitus 2022, €]],0)</f>
        <v>-0.16405325263273499</v>
      </c>
      <c r="AH86" s="228">
        <f>IFERROR(VLOOKUP(Vertailu[[#This Row],[Y-tunnus]],'Suoritepäätös 2022 oikaistu'!$Q:$AC,COLUMN('Suoritepäätös 2022 oikaistu'!K:K),FALSE),0)</f>
        <v>60392</v>
      </c>
      <c r="AI86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44171</v>
      </c>
      <c r="AJ86" s="228">
        <f>Vertailu[[#This Row],[Vaikuttavuusrahoitus 2023, €]]-Vertailu[[#This Row],[Vaikuttavuusrahoitus 2022, €]]</f>
        <v>-16221</v>
      </c>
      <c r="AK86" s="230">
        <f>IFERROR(Vertailu[[#This Row],[Vaikuttavuusrahoituksen muutos, €]]/Vertailu[[#This Row],[Vaikuttavuusrahoitus 2022, €]],0)</f>
        <v>-0.26859517816929396</v>
      </c>
    </row>
    <row r="87" spans="1:37" s="5" customFormat="1" ht="12.75" customHeight="1" x14ac:dyDescent="0.35">
      <c r="A87" s="7" t="s">
        <v>249</v>
      </c>
      <c r="B87" s="188" t="s">
        <v>80</v>
      </c>
      <c r="C87" s="188" t="s">
        <v>180</v>
      </c>
      <c r="D87" s="11" t="s">
        <v>337</v>
      </c>
      <c r="E87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0.56155699746917231</v>
      </c>
      <c r="F87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0.56155699746917231</v>
      </c>
      <c r="G87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0.23942437133164612</v>
      </c>
      <c r="H87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0.19901863119918151</v>
      </c>
      <c r="I87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0.1436931236874697</v>
      </c>
      <c r="J87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7.9976845619514295E-3</v>
      </c>
      <c r="K87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3.7773948629583762E-2</v>
      </c>
      <c r="L87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5.4601260029077591E-3</v>
      </c>
      <c r="M87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4.09374831726886E-3</v>
      </c>
      <c r="N87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684138</v>
      </c>
      <c r="O87" s="228">
        <f>IFERROR(VLOOKUP(Vertailu[[#This Row],[Y-tunnus]],'1.2 Ohjaus-laskentataulu'!A:AU,COLUMN('1.2 Ohjaus-laskentataulu'!AF:AF),FALSE),0)</f>
        <v>742840</v>
      </c>
      <c r="P87" s="228">
        <f>IFERROR(Vertailu[[#This Row],[Rahoitus pl. hark. kor. 2023 ilman alv, €]]-Vertailu[[#This Row],[Rahoitus pl. hark. kor. 2022 ilman alv, €]],0)</f>
        <v>58702</v>
      </c>
      <c r="Q87" s="230">
        <f>IFERROR(Vertailu[[#This Row],[Muutos, € 1]]/Vertailu[[#This Row],[Rahoitus pl. hark. kor. 2022 ilman alv, €]],0)</f>
        <v>8.5804326027789715E-2</v>
      </c>
      <c r="R87" s="233">
        <f>IFERROR(VLOOKUP(Vertailu[[#This Row],[Y-tunnus]],'Suoritepäätös 2022 oikaistu'!$Q:$AC,COLUMN('Suoritepäätös 2022 oikaistu'!L:L),FALSE),0)</f>
        <v>684138</v>
      </c>
      <c r="S87" s="234">
        <f>IFERROR(VLOOKUP(Vertailu[[#This Row],[Y-tunnus]],'1.2 Ohjaus-laskentataulu'!A:AU,COLUMN('1.2 Ohjaus-laskentataulu'!AS:AS),FALSE),0)</f>
        <v>742840</v>
      </c>
      <c r="T87" s="228">
        <f>IFERROR(Vertailu[[#This Row],[Rahoitus ml. hark. kor. 
2023 ilman alv, €]]-Vertailu[[#This Row],[Rahoitus ml. hark. kor. 
2022 ilman alv, €]],0)</f>
        <v>58702</v>
      </c>
      <c r="U87" s="232">
        <f>IFERROR(Vertailu[[#This Row],[Muutos, € 2]]/Vertailu[[#This Row],[Rahoitus ml. hark. kor. 
2022 ilman alv, €]],0)</f>
        <v>8.5804326027789715E-2</v>
      </c>
      <c r="V87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717868</v>
      </c>
      <c r="W87" s="233">
        <f>IFERROR(VLOOKUP(Vertailu[[#This Row],[Y-tunnus]],'1.2 Ohjaus-laskentataulu'!A:AU,COLUMN('1.2 Ohjaus-laskentataulu'!AU:AU),FALSE),0)</f>
        <v>793663</v>
      </c>
      <c r="X87" s="235">
        <f>IFERROR(Vertailu[[#This Row],[Rahoitus ml. hark. kor. + alv 2023, €]]-Vertailu[[#This Row],[Rahoitus ml. hark. kor. + alv 2022, €]],0)</f>
        <v>75795</v>
      </c>
      <c r="Y87" s="230">
        <f>IFERROR(Vertailu[[#This Row],[Muutos, € 3]]/Vertailu[[#This Row],[Rahoitus ml. hark. kor. + alv 2022, €]],0)</f>
        <v>0.10558347774242618</v>
      </c>
      <c r="Z87" s="228">
        <f>IFERROR(VLOOKUP(Vertailu[[#This Row],[Y-tunnus]],'Suoritepäätös 2022 oikaistu'!$B:$N,COLUMN('Suoritepäätös 2022 oikaistu'!G:G),FALSE),0)</f>
        <v>386564</v>
      </c>
      <c r="AA87" s="228">
        <f>IFERROR(VLOOKUP(Vertailu[[#This Row],[Y-tunnus]],'1.2 Ohjaus-laskentataulu'!A:AU,COLUMN('1.2 Ohjaus-laskentataulu'!AP:AP),FALSE),0)</f>
        <v>417147</v>
      </c>
      <c r="AB87" s="228">
        <f>Vertailu[[#This Row],[Perusrahoitus 2023, €]]-Vertailu[[#This Row],[Perusrahoitus 2022, €]]</f>
        <v>30583</v>
      </c>
      <c r="AC87" s="230">
        <f>IFERROR(Vertailu[[#This Row],[Perusrahoituksen muutos, €]]/Vertailu[[#This Row],[Perusrahoitus 2022, €]],0)</f>
        <v>7.911497190633375E-2</v>
      </c>
      <c r="AD87" s="228">
        <f>IFERROR(VLOOKUP(Vertailu[[#This Row],[Y-tunnus]],'Suoritepäätös 2022 oikaistu'!$B:$N,COLUMN('Suoritepäätös 2022 oikaistu'!M:M),FALSE),0)</f>
        <v>190052</v>
      </c>
      <c r="AE87" s="228">
        <f>IFERROR(VLOOKUP(Vertailu[[#This Row],[Y-tunnus]],'1.2 Ohjaus-laskentataulu'!A:AU,COLUMN('1.2 Ohjaus-laskentataulu'!O:O),FALSE),0)</f>
        <v>177854</v>
      </c>
      <c r="AF87" s="228">
        <f>Vertailu[[#This Row],[Suoritusrahoitus 2023, €]]-Vertailu[[#This Row],[Suoritusrahoitus 2022, €]]</f>
        <v>-12198</v>
      </c>
      <c r="AG87" s="230">
        <f>IFERROR(Vertailu[[#This Row],[Suoritusrahoituksen muutos, €]]/Vertailu[[#This Row],[Suoritusrahoitus 2022, €]],0)</f>
        <v>-6.4182434281144105E-2</v>
      </c>
      <c r="AH87" s="228">
        <f>IFERROR(VLOOKUP(Vertailu[[#This Row],[Y-tunnus]],'Suoritepäätös 2022 oikaistu'!$Q:$AC,COLUMN('Suoritepäätös 2022 oikaistu'!K:K),FALSE),0)</f>
        <v>107522</v>
      </c>
      <c r="AI87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147839</v>
      </c>
      <c r="AJ87" s="228">
        <f>Vertailu[[#This Row],[Vaikuttavuusrahoitus 2023, €]]-Vertailu[[#This Row],[Vaikuttavuusrahoitus 2022, €]]</f>
        <v>40317</v>
      </c>
      <c r="AK87" s="230">
        <f>IFERROR(Vertailu[[#This Row],[Vaikuttavuusrahoituksen muutos, €]]/Vertailu[[#This Row],[Vaikuttavuusrahoitus 2022, €]],0)</f>
        <v>0.3749651234166031</v>
      </c>
    </row>
    <row r="88" spans="1:37" s="5" customFormat="1" ht="12.75" customHeight="1" x14ac:dyDescent="0.35">
      <c r="A88" s="7" t="s">
        <v>248</v>
      </c>
      <c r="B88" s="188" t="s">
        <v>81</v>
      </c>
      <c r="C88" s="188" t="s">
        <v>265</v>
      </c>
      <c r="D88" s="11" t="s">
        <v>337</v>
      </c>
      <c r="E88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0.56219525650232371</v>
      </c>
      <c r="F88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0.57187349382431674</v>
      </c>
      <c r="G88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0.22477512615582348</v>
      </c>
      <c r="H88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0.20335138001985975</v>
      </c>
      <c r="I88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0.12972322176906564</v>
      </c>
      <c r="J88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1.4180553324184173E-2</v>
      </c>
      <c r="K88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2.9104395274697409E-2</v>
      </c>
      <c r="L88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2.5103411965785496E-2</v>
      </c>
      <c r="M88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5.2397976861270207E-3</v>
      </c>
      <c r="N88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553248</v>
      </c>
      <c r="O88" s="228">
        <f>IFERROR(VLOOKUP(Vertailu[[#This Row],[Y-tunnus]],'1.2 Ohjaus-laskentataulu'!A:AU,COLUMN('1.2 Ohjaus-laskentataulu'!AF:AF),FALSE),0)</f>
        <v>511623</v>
      </c>
      <c r="P88" s="228">
        <f>IFERROR(Vertailu[[#This Row],[Rahoitus pl. hark. kor. 2023 ilman alv, €]]-Vertailu[[#This Row],[Rahoitus pl. hark. kor. 2022 ilman alv, €]],0)</f>
        <v>-41625</v>
      </c>
      <c r="Q88" s="230">
        <f>IFERROR(Vertailu[[#This Row],[Muutos, € 1]]/Vertailu[[#This Row],[Rahoitus pl. hark. kor. 2022 ilman alv, €]],0)</f>
        <v>-7.5237506507027596E-2</v>
      </c>
      <c r="R88" s="233">
        <f>IFERROR(VLOOKUP(Vertailu[[#This Row],[Y-tunnus]],'Suoritepäätös 2022 oikaistu'!$Q:$AC,COLUMN('Suoritepäätös 2022 oikaistu'!L:L),FALSE),0)</f>
        <v>553248</v>
      </c>
      <c r="S88" s="234">
        <f>IFERROR(VLOOKUP(Vertailu[[#This Row],[Y-tunnus]],'1.2 Ohjaus-laskentataulu'!A:AU,COLUMN('1.2 Ohjaus-laskentataulu'!AS:AS),FALSE),0)</f>
        <v>516623</v>
      </c>
      <c r="T88" s="228">
        <f>IFERROR(Vertailu[[#This Row],[Rahoitus ml. hark. kor. 
2023 ilman alv, €]]-Vertailu[[#This Row],[Rahoitus ml. hark. kor. 
2022 ilman alv, €]],0)</f>
        <v>-36625</v>
      </c>
      <c r="U88" s="232">
        <f>IFERROR(Vertailu[[#This Row],[Muutos, € 2]]/Vertailu[[#This Row],[Rahoitus ml. hark. kor. 
2022 ilman alv, €]],0)</f>
        <v>-6.619996818786511E-2</v>
      </c>
      <c r="V88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582085</v>
      </c>
      <c r="W88" s="233">
        <f>IFERROR(VLOOKUP(Vertailu[[#This Row],[Y-tunnus]],'1.2 Ohjaus-laskentataulu'!A:AU,COLUMN('1.2 Ohjaus-laskentataulu'!AU:AU),FALSE),0)</f>
        <v>556475</v>
      </c>
      <c r="X88" s="235">
        <f>IFERROR(Vertailu[[#This Row],[Rahoitus ml. hark. kor. + alv 2023, €]]-Vertailu[[#This Row],[Rahoitus ml. hark. kor. + alv 2022, €]],0)</f>
        <v>-25610</v>
      </c>
      <c r="Y88" s="230">
        <f>IFERROR(Vertailu[[#This Row],[Muutos, € 3]]/Vertailu[[#This Row],[Rahoitus ml. hark. kor. + alv 2022, €]],0)</f>
        <v>-4.3997010745853271E-2</v>
      </c>
      <c r="Z88" s="228">
        <f>IFERROR(VLOOKUP(Vertailu[[#This Row],[Y-tunnus]],'Suoritepäätös 2022 oikaistu'!$B:$N,COLUMN('Suoritepäätös 2022 oikaistu'!G:G),FALSE),0)</f>
        <v>261984</v>
      </c>
      <c r="AA88" s="228">
        <f>IFERROR(VLOOKUP(Vertailu[[#This Row],[Y-tunnus]],'1.2 Ohjaus-laskentataulu'!A:AU,COLUMN('1.2 Ohjaus-laskentataulu'!AP:AP),FALSE),0)</f>
        <v>295443</v>
      </c>
      <c r="AB88" s="228">
        <f>Vertailu[[#This Row],[Perusrahoitus 2023, €]]-Vertailu[[#This Row],[Perusrahoitus 2022, €]]</f>
        <v>33459</v>
      </c>
      <c r="AC88" s="230">
        <f>IFERROR(Vertailu[[#This Row],[Perusrahoituksen muutos, €]]/Vertailu[[#This Row],[Perusrahoitus 2022, €]],0)</f>
        <v>0.12771390619274459</v>
      </c>
      <c r="AD88" s="228">
        <f>IFERROR(VLOOKUP(Vertailu[[#This Row],[Y-tunnus]],'Suoritepäätös 2022 oikaistu'!$B:$N,COLUMN('Suoritepäätös 2022 oikaistu'!M:M),FALSE),0)</f>
        <v>154405</v>
      </c>
      <c r="AE88" s="228">
        <f>IFERROR(VLOOKUP(Vertailu[[#This Row],[Y-tunnus]],'1.2 Ohjaus-laskentataulu'!A:AU,COLUMN('1.2 Ohjaus-laskentataulu'!O:O),FALSE),0)</f>
        <v>116124</v>
      </c>
      <c r="AF88" s="228">
        <f>Vertailu[[#This Row],[Suoritusrahoitus 2023, €]]-Vertailu[[#This Row],[Suoritusrahoitus 2022, €]]</f>
        <v>-38281</v>
      </c>
      <c r="AG88" s="230">
        <f>IFERROR(Vertailu[[#This Row],[Suoritusrahoituksen muutos, €]]/Vertailu[[#This Row],[Suoritusrahoitus 2022, €]],0)</f>
        <v>-0.24792590913506687</v>
      </c>
      <c r="AH88" s="228">
        <f>IFERROR(VLOOKUP(Vertailu[[#This Row],[Y-tunnus]],'Suoritepäätös 2022 oikaistu'!$Q:$AC,COLUMN('Suoritepäätös 2022 oikaistu'!K:K),FALSE),0)</f>
        <v>136859</v>
      </c>
      <c r="AI88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105056</v>
      </c>
      <c r="AJ88" s="228">
        <f>Vertailu[[#This Row],[Vaikuttavuusrahoitus 2023, €]]-Vertailu[[#This Row],[Vaikuttavuusrahoitus 2022, €]]</f>
        <v>-31803</v>
      </c>
      <c r="AK88" s="230">
        <f>IFERROR(Vertailu[[#This Row],[Vaikuttavuusrahoituksen muutos, €]]/Vertailu[[#This Row],[Vaikuttavuusrahoitus 2022, €]],0)</f>
        <v>-0.23237784873482928</v>
      </c>
    </row>
    <row r="89" spans="1:37" s="5" customFormat="1" ht="12.75" customHeight="1" x14ac:dyDescent="0.35">
      <c r="A89" s="7" t="s">
        <v>247</v>
      </c>
      <c r="B89" s="188" t="s">
        <v>82</v>
      </c>
      <c r="C89" s="188" t="s">
        <v>194</v>
      </c>
      <c r="D89" s="11" t="s">
        <v>336</v>
      </c>
      <c r="E89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0.70990275631685817</v>
      </c>
      <c r="F89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0.70990275631685817</v>
      </c>
      <c r="G89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0.1948702561051065</v>
      </c>
      <c r="H89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9.5226987578035285E-2</v>
      </c>
      <c r="I89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7.2295815029391849E-2</v>
      </c>
      <c r="J89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3.3475026614805982E-3</v>
      </c>
      <c r="K89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1.0765892755402162E-2</v>
      </c>
      <c r="L89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7.2586968047893378E-3</v>
      </c>
      <c r="M89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1.5590803269713415E-3</v>
      </c>
      <c r="N89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10334350</v>
      </c>
      <c r="O89" s="228">
        <f>IFERROR(VLOOKUP(Vertailu[[#This Row],[Y-tunnus]],'1.2 Ohjaus-laskentataulu'!A:AU,COLUMN('1.2 Ohjaus-laskentataulu'!AF:AF),FALSE),0)</f>
        <v>11227773</v>
      </c>
      <c r="P89" s="228">
        <f>IFERROR(Vertailu[[#This Row],[Rahoitus pl. hark. kor. 2023 ilman alv, €]]-Vertailu[[#This Row],[Rahoitus pl. hark. kor. 2022 ilman alv, €]],0)</f>
        <v>893423</v>
      </c>
      <c r="Q89" s="230">
        <f>IFERROR(Vertailu[[#This Row],[Muutos, € 1]]/Vertailu[[#This Row],[Rahoitus pl. hark. kor. 2022 ilman alv, €]],0)</f>
        <v>8.645178458248462E-2</v>
      </c>
      <c r="R89" s="233">
        <f>IFERROR(VLOOKUP(Vertailu[[#This Row],[Y-tunnus]],'Suoritepäätös 2022 oikaistu'!$Q:$AC,COLUMN('Suoritepäätös 2022 oikaistu'!L:L),FALSE),0)</f>
        <v>10334350</v>
      </c>
      <c r="S89" s="234">
        <f>IFERROR(VLOOKUP(Vertailu[[#This Row],[Y-tunnus]],'1.2 Ohjaus-laskentataulu'!A:AU,COLUMN('1.2 Ohjaus-laskentataulu'!AS:AS),FALSE),0)</f>
        <v>11227773</v>
      </c>
      <c r="T89" s="228">
        <f>IFERROR(Vertailu[[#This Row],[Rahoitus ml. hark. kor. 
2023 ilman alv, €]]-Vertailu[[#This Row],[Rahoitus ml. hark. kor. 
2022 ilman alv, €]],0)</f>
        <v>893423</v>
      </c>
      <c r="U89" s="232">
        <f>IFERROR(Vertailu[[#This Row],[Muutos, € 2]]/Vertailu[[#This Row],[Rahoitus ml. hark. kor. 
2022 ilman alv, €]],0)</f>
        <v>8.645178458248462E-2</v>
      </c>
      <c r="V89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10334350</v>
      </c>
      <c r="W89" s="233">
        <f>IFERROR(VLOOKUP(Vertailu[[#This Row],[Y-tunnus]],'1.2 Ohjaus-laskentataulu'!A:AU,COLUMN('1.2 Ohjaus-laskentataulu'!AU:AU),FALSE),0)</f>
        <v>11227773</v>
      </c>
      <c r="X89" s="235">
        <f>IFERROR(Vertailu[[#This Row],[Rahoitus ml. hark. kor. + alv 2023, €]]-Vertailu[[#This Row],[Rahoitus ml. hark. kor. + alv 2022, €]],0)</f>
        <v>893423</v>
      </c>
      <c r="Y89" s="230">
        <f>IFERROR(Vertailu[[#This Row],[Muutos, € 3]]/Vertailu[[#This Row],[Rahoitus ml. hark. kor. + alv 2022, €]],0)</f>
        <v>8.645178458248462E-2</v>
      </c>
      <c r="Z89" s="228">
        <f>IFERROR(VLOOKUP(Vertailu[[#This Row],[Y-tunnus]],'Suoritepäätös 2022 oikaistu'!$B:$N,COLUMN('Suoritepäätös 2022 oikaistu'!G:G),FALSE),0)</f>
        <v>7469288</v>
      </c>
      <c r="AA89" s="228">
        <f>IFERROR(VLOOKUP(Vertailu[[#This Row],[Y-tunnus]],'1.2 Ohjaus-laskentataulu'!A:AU,COLUMN('1.2 Ohjaus-laskentataulu'!AP:AP),FALSE),0)</f>
        <v>7970627</v>
      </c>
      <c r="AB89" s="228">
        <f>Vertailu[[#This Row],[Perusrahoitus 2023, €]]-Vertailu[[#This Row],[Perusrahoitus 2022, €]]</f>
        <v>501339</v>
      </c>
      <c r="AC89" s="230">
        <f>IFERROR(Vertailu[[#This Row],[Perusrahoituksen muutos, €]]/Vertailu[[#This Row],[Perusrahoitus 2022, €]],0)</f>
        <v>6.7120052138838399E-2</v>
      </c>
      <c r="AD89" s="228">
        <f>IFERROR(VLOOKUP(Vertailu[[#This Row],[Y-tunnus]],'Suoritepäätös 2022 oikaistu'!$B:$N,COLUMN('Suoritepäätös 2022 oikaistu'!M:M),FALSE),0)</f>
        <v>1913311</v>
      </c>
      <c r="AE89" s="228">
        <f>IFERROR(VLOOKUP(Vertailu[[#This Row],[Y-tunnus]],'1.2 Ohjaus-laskentataulu'!A:AU,COLUMN('1.2 Ohjaus-laskentataulu'!O:O),FALSE),0)</f>
        <v>2187959</v>
      </c>
      <c r="AF89" s="228">
        <f>Vertailu[[#This Row],[Suoritusrahoitus 2023, €]]-Vertailu[[#This Row],[Suoritusrahoitus 2022, €]]</f>
        <v>274648</v>
      </c>
      <c r="AG89" s="230">
        <f>IFERROR(Vertailu[[#This Row],[Suoritusrahoituksen muutos, €]]/Vertailu[[#This Row],[Suoritusrahoitus 2022, €]],0)</f>
        <v>0.14354592640715494</v>
      </c>
      <c r="AH89" s="228">
        <f>IFERROR(VLOOKUP(Vertailu[[#This Row],[Y-tunnus]],'Suoritepäätös 2022 oikaistu'!$Q:$AC,COLUMN('Suoritepäätös 2022 oikaistu'!K:K),FALSE),0)</f>
        <v>951751</v>
      </c>
      <c r="AI89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1069187</v>
      </c>
      <c r="AJ89" s="228">
        <f>Vertailu[[#This Row],[Vaikuttavuusrahoitus 2023, €]]-Vertailu[[#This Row],[Vaikuttavuusrahoitus 2022, €]]</f>
        <v>117436</v>
      </c>
      <c r="AK89" s="230">
        <f>IFERROR(Vertailu[[#This Row],[Vaikuttavuusrahoituksen muutos, €]]/Vertailu[[#This Row],[Vaikuttavuusrahoitus 2022, €]],0)</f>
        <v>0.12338941592916634</v>
      </c>
    </row>
    <row r="90" spans="1:37" s="5" customFormat="1" ht="12.75" customHeight="1" x14ac:dyDescent="0.35">
      <c r="A90" s="7" t="s">
        <v>246</v>
      </c>
      <c r="B90" s="188" t="s">
        <v>83</v>
      </c>
      <c r="C90" s="188" t="s">
        <v>180</v>
      </c>
      <c r="D90" s="11" t="s">
        <v>337</v>
      </c>
      <c r="E90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0.65941381747260519</v>
      </c>
      <c r="F90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0.66301476726525177</v>
      </c>
      <c r="G90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0.20649891756981553</v>
      </c>
      <c r="H90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0.1304863151649327</v>
      </c>
      <c r="I90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8.6305342767515322E-2</v>
      </c>
      <c r="J90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5.9984928109718949E-3</v>
      </c>
      <c r="K90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1.6369228213794058E-2</v>
      </c>
      <c r="L90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1.3215409123059931E-2</v>
      </c>
      <c r="M90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8.5978422495914843E-3</v>
      </c>
      <c r="N90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12373241</v>
      </c>
      <c r="O90" s="228">
        <f>IFERROR(VLOOKUP(Vertailu[[#This Row],[Y-tunnus]],'1.2 Ohjaus-laskentataulu'!A:AU,COLUMN('1.2 Ohjaus-laskentataulu'!AF:AF),FALSE),0)</f>
        <v>13005112</v>
      </c>
      <c r="P90" s="228">
        <f>IFERROR(Vertailu[[#This Row],[Rahoitus pl. hark. kor. 2023 ilman alv, €]]-Vertailu[[#This Row],[Rahoitus pl. hark. kor. 2022 ilman alv, €]],0)</f>
        <v>631871</v>
      </c>
      <c r="Q90" s="230">
        <f>IFERROR(Vertailu[[#This Row],[Muutos, € 1]]/Vertailu[[#This Row],[Rahoitus pl. hark. kor. 2022 ilman alv, €]],0)</f>
        <v>5.1067541640868387E-2</v>
      </c>
      <c r="R90" s="233">
        <f>IFERROR(VLOOKUP(Vertailu[[#This Row],[Y-tunnus]],'Suoritepäätös 2022 oikaistu'!$Q:$AC,COLUMN('Suoritepäätös 2022 oikaistu'!L:L),FALSE),0)</f>
        <v>12430241</v>
      </c>
      <c r="S90" s="234">
        <f>IFERROR(VLOOKUP(Vertailu[[#This Row],[Y-tunnus]],'1.2 Ohjaus-laskentataulu'!A:AU,COLUMN('1.2 Ohjaus-laskentataulu'!AS:AS),FALSE),0)</f>
        <v>13052112</v>
      </c>
      <c r="T90" s="228">
        <f>IFERROR(Vertailu[[#This Row],[Rahoitus ml. hark. kor. 
2023 ilman alv, €]]-Vertailu[[#This Row],[Rahoitus ml. hark. kor. 
2022 ilman alv, €]],0)</f>
        <v>621871</v>
      </c>
      <c r="U90" s="232">
        <f>IFERROR(Vertailu[[#This Row],[Muutos, € 2]]/Vertailu[[#This Row],[Rahoitus ml. hark. kor. 
2022 ilman alv, €]],0)</f>
        <v>5.002887715531823E-2</v>
      </c>
      <c r="V90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13062950</v>
      </c>
      <c r="W90" s="233">
        <f>IFERROR(VLOOKUP(Vertailu[[#This Row],[Y-tunnus]],'1.2 Ohjaus-laskentataulu'!A:AU,COLUMN('1.2 Ohjaus-laskentataulu'!AU:AU),FALSE),0)</f>
        <v>13779272</v>
      </c>
      <c r="X90" s="235">
        <f>IFERROR(Vertailu[[#This Row],[Rahoitus ml. hark. kor. + alv 2023, €]]-Vertailu[[#This Row],[Rahoitus ml. hark. kor. + alv 2022, €]],0)</f>
        <v>716322</v>
      </c>
      <c r="Y90" s="230">
        <f>IFERROR(Vertailu[[#This Row],[Muutos, € 3]]/Vertailu[[#This Row],[Rahoitus ml. hark. kor. + alv 2022, €]],0)</f>
        <v>5.4836158754339566E-2</v>
      </c>
      <c r="Z90" s="228">
        <f>IFERROR(VLOOKUP(Vertailu[[#This Row],[Y-tunnus]],'Suoritepäätös 2022 oikaistu'!$B:$N,COLUMN('Suoritepäätös 2022 oikaistu'!G:G),FALSE),0)</f>
        <v>7953768</v>
      </c>
      <c r="AA90" s="228">
        <f>IFERROR(VLOOKUP(Vertailu[[#This Row],[Y-tunnus]],'1.2 Ohjaus-laskentataulu'!A:AU,COLUMN('1.2 Ohjaus-laskentataulu'!AP:AP),FALSE),0)</f>
        <v>8653743</v>
      </c>
      <c r="AB90" s="228">
        <f>Vertailu[[#This Row],[Perusrahoitus 2023, €]]-Vertailu[[#This Row],[Perusrahoitus 2022, €]]</f>
        <v>699975</v>
      </c>
      <c r="AC90" s="230">
        <f>IFERROR(Vertailu[[#This Row],[Perusrahoituksen muutos, €]]/Vertailu[[#This Row],[Perusrahoitus 2022, €]],0)</f>
        <v>8.800545854493115E-2</v>
      </c>
      <c r="AD90" s="228">
        <f>IFERROR(VLOOKUP(Vertailu[[#This Row],[Y-tunnus]],'Suoritepäätös 2022 oikaistu'!$B:$N,COLUMN('Suoritepäätös 2022 oikaistu'!M:M),FALSE),0)</f>
        <v>2819700</v>
      </c>
      <c r="AE90" s="228">
        <f>IFERROR(VLOOKUP(Vertailu[[#This Row],[Y-tunnus]],'1.2 Ohjaus-laskentataulu'!A:AU,COLUMN('1.2 Ohjaus-laskentataulu'!O:O),FALSE),0)</f>
        <v>2695247</v>
      </c>
      <c r="AF90" s="228">
        <f>Vertailu[[#This Row],[Suoritusrahoitus 2023, €]]-Vertailu[[#This Row],[Suoritusrahoitus 2022, €]]</f>
        <v>-124453</v>
      </c>
      <c r="AG90" s="230">
        <f>IFERROR(Vertailu[[#This Row],[Suoritusrahoituksen muutos, €]]/Vertailu[[#This Row],[Suoritusrahoitus 2022, €]],0)</f>
        <v>-4.4136964925346668E-2</v>
      </c>
      <c r="AH90" s="228">
        <f>IFERROR(VLOOKUP(Vertailu[[#This Row],[Y-tunnus]],'Suoritepäätös 2022 oikaistu'!$Q:$AC,COLUMN('Suoritepäätös 2022 oikaistu'!K:K),FALSE),0)</f>
        <v>1656773</v>
      </c>
      <c r="AI90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1703122</v>
      </c>
      <c r="AJ90" s="228">
        <f>Vertailu[[#This Row],[Vaikuttavuusrahoitus 2023, €]]-Vertailu[[#This Row],[Vaikuttavuusrahoitus 2022, €]]</f>
        <v>46349</v>
      </c>
      <c r="AK90" s="230">
        <f>IFERROR(Vertailu[[#This Row],[Vaikuttavuusrahoituksen muutos, €]]/Vertailu[[#This Row],[Vaikuttavuusrahoitus 2022, €]],0)</f>
        <v>2.797546797298121E-2</v>
      </c>
    </row>
    <row r="91" spans="1:37" s="5" customFormat="1" ht="12.75" customHeight="1" x14ac:dyDescent="0.35">
      <c r="A91" s="7" t="s">
        <v>245</v>
      </c>
      <c r="B91" s="188" t="s">
        <v>84</v>
      </c>
      <c r="C91" s="188" t="s">
        <v>232</v>
      </c>
      <c r="D91" s="11" t="s">
        <v>337</v>
      </c>
      <c r="E91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0.74018286352863316</v>
      </c>
      <c r="F91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0.74533743362202365</v>
      </c>
      <c r="G91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0.17241521505381888</v>
      </c>
      <c r="H91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8.2247351324157517E-2</v>
      </c>
      <c r="I91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6.2162053498252087E-2</v>
      </c>
      <c r="J91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3.3185122261248047E-3</v>
      </c>
      <c r="K91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5.886519046651952E-3</v>
      </c>
      <c r="L91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7.5803107793400706E-3</v>
      </c>
      <c r="M91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3.2999557737885985E-3</v>
      </c>
      <c r="N91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836561</v>
      </c>
      <c r="O91" s="228">
        <f>IFERROR(VLOOKUP(Vertailu[[#This Row],[Y-tunnus]],'1.2 Ohjaus-laskentataulu'!A:AU,COLUMN('1.2 Ohjaus-laskentataulu'!AF:AF),FALSE),0)</f>
        <v>965013</v>
      </c>
      <c r="P91" s="228">
        <f>IFERROR(Vertailu[[#This Row],[Rahoitus pl. hark. kor. 2023 ilman alv, €]]-Vertailu[[#This Row],[Rahoitus pl. hark. kor. 2022 ilman alv, €]],0)</f>
        <v>128452</v>
      </c>
      <c r="Q91" s="230">
        <f>IFERROR(Vertailu[[#This Row],[Muutos, € 1]]/Vertailu[[#This Row],[Rahoitus pl. hark. kor. 2022 ilman alv, €]],0)</f>
        <v>0.15354767912919678</v>
      </c>
      <c r="R91" s="233">
        <f>IFERROR(VLOOKUP(Vertailu[[#This Row],[Y-tunnus]],'Suoritepäätös 2022 oikaistu'!$Q:$AC,COLUMN('Suoritepäätös 2022 oikaistu'!L:L),FALSE),0)</f>
        <v>836561</v>
      </c>
      <c r="S91" s="234">
        <f>IFERROR(VLOOKUP(Vertailu[[#This Row],[Y-tunnus]],'1.2 Ohjaus-laskentataulu'!A:AU,COLUMN('1.2 Ohjaus-laskentataulu'!AS:AS),FALSE),0)</f>
        <v>970013</v>
      </c>
      <c r="T91" s="228">
        <f>IFERROR(Vertailu[[#This Row],[Rahoitus ml. hark. kor. 
2023 ilman alv, €]]-Vertailu[[#This Row],[Rahoitus ml. hark. kor. 
2022 ilman alv, €]],0)</f>
        <v>133452</v>
      </c>
      <c r="U91" s="232">
        <f>IFERROR(Vertailu[[#This Row],[Muutos, € 2]]/Vertailu[[#This Row],[Rahoitus ml. hark. kor. 
2022 ilman alv, €]],0)</f>
        <v>0.15952452959198432</v>
      </c>
      <c r="V91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877024</v>
      </c>
      <c r="W91" s="233">
        <f>IFERROR(VLOOKUP(Vertailu[[#This Row],[Y-tunnus]],'1.2 Ohjaus-laskentataulu'!A:AU,COLUMN('1.2 Ohjaus-laskentataulu'!AU:AU),FALSE),0)</f>
        <v>1027606</v>
      </c>
      <c r="X91" s="235">
        <f>IFERROR(Vertailu[[#This Row],[Rahoitus ml. hark. kor. + alv 2023, €]]-Vertailu[[#This Row],[Rahoitus ml. hark. kor. + alv 2022, €]],0)</f>
        <v>150582</v>
      </c>
      <c r="Y91" s="230">
        <f>IFERROR(Vertailu[[#This Row],[Muutos, € 3]]/Vertailu[[#This Row],[Rahoitus ml. hark. kor. + alv 2022, €]],0)</f>
        <v>0.1716965556244755</v>
      </c>
      <c r="Z91" s="228">
        <f>IFERROR(VLOOKUP(Vertailu[[#This Row],[Y-tunnus]],'Suoritepäätös 2022 oikaistu'!$B:$N,COLUMN('Suoritepäätös 2022 oikaistu'!G:G),FALSE),0)</f>
        <v>669311</v>
      </c>
      <c r="AA91" s="228">
        <f>IFERROR(VLOOKUP(Vertailu[[#This Row],[Y-tunnus]],'1.2 Ohjaus-laskentataulu'!A:AU,COLUMN('1.2 Ohjaus-laskentataulu'!AP:AP),FALSE),0)</f>
        <v>722987</v>
      </c>
      <c r="AB91" s="228">
        <f>Vertailu[[#This Row],[Perusrahoitus 2023, €]]-Vertailu[[#This Row],[Perusrahoitus 2022, €]]</f>
        <v>53676</v>
      </c>
      <c r="AC91" s="230">
        <f>IFERROR(Vertailu[[#This Row],[Perusrahoituksen muutos, €]]/Vertailu[[#This Row],[Perusrahoitus 2022, €]],0)</f>
        <v>8.0195902950945072E-2</v>
      </c>
      <c r="AD91" s="228">
        <f>IFERROR(VLOOKUP(Vertailu[[#This Row],[Y-tunnus]],'Suoritepäätös 2022 oikaistu'!$B:$N,COLUMN('Suoritepäätös 2022 oikaistu'!M:M),FALSE),0)</f>
        <v>91118</v>
      </c>
      <c r="AE91" s="228">
        <f>IFERROR(VLOOKUP(Vertailu[[#This Row],[Y-tunnus]],'1.2 Ohjaus-laskentataulu'!A:AU,COLUMN('1.2 Ohjaus-laskentataulu'!O:O),FALSE),0)</f>
        <v>167245</v>
      </c>
      <c r="AF91" s="228">
        <f>Vertailu[[#This Row],[Suoritusrahoitus 2023, €]]-Vertailu[[#This Row],[Suoritusrahoitus 2022, €]]</f>
        <v>76127</v>
      </c>
      <c r="AG91" s="230">
        <f>IFERROR(Vertailu[[#This Row],[Suoritusrahoituksen muutos, €]]/Vertailu[[#This Row],[Suoritusrahoitus 2022, €]],0)</f>
        <v>0.83547707368467261</v>
      </c>
      <c r="AH91" s="228">
        <f>IFERROR(VLOOKUP(Vertailu[[#This Row],[Y-tunnus]],'Suoritepäätös 2022 oikaistu'!$Q:$AC,COLUMN('Suoritepäätös 2022 oikaistu'!K:K),FALSE),0)</f>
        <v>76132</v>
      </c>
      <c r="AI91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79781</v>
      </c>
      <c r="AJ91" s="228">
        <f>Vertailu[[#This Row],[Vaikuttavuusrahoitus 2023, €]]-Vertailu[[#This Row],[Vaikuttavuusrahoitus 2022, €]]</f>
        <v>3649</v>
      </c>
      <c r="AK91" s="230">
        <f>IFERROR(Vertailu[[#This Row],[Vaikuttavuusrahoituksen muutos, €]]/Vertailu[[#This Row],[Vaikuttavuusrahoitus 2022, €]],0)</f>
        <v>4.7929911206851257E-2</v>
      </c>
    </row>
    <row r="92" spans="1:37" s="5" customFormat="1" ht="12.75" customHeight="1" x14ac:dyDescent="0.35">
      <c r="A92" s="7" t="s">
        <v>252</v>
      </c>
      <c r="B92" s="188" t="s">
        <v>85</v>
      </c>
      <c r="C92" s="188" t="s">
        <v>251</v>
      </c>
      <c r="D92" s="11" t="s">
        <v>336</v>
      </c>
      <c r="E92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0.69836115881617611</v>
      </c>
      <c r="F92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0.70012733816704664</v>
      </c>
      <c r="G92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0.19279464089377019</v>
      </c>
      <c r="H92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0.1070780209391832</v>
      </c>
      <c r="I92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7.556835525355346E-2</v>
      </c>
      <c r="J92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3.9984954843251498E-3</v>
      </c>
      <c r="K92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1.229114487631118E-2</v>
      </c>
      <c r="L92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1.2909492677428821E-2</v>
      </c>
      <c r="M92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2.3105326475645793E-3</v>
      </c>
      <c r="N92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53716007</v>
      </c>
      <c r="O92" s="228">
        <f>IFERROR(VLOOKUP(Vertailu[[#This Row],[Y-tunnus]],'1.2 Ohjaus-laskentataulu'!A:AU,COLUMN('1.2 Ohjaus-laskentataulu'!AF:AF),FALSE),0)</f>
        <v>59345361</v>
      </c>
      <c r="P92" s="228">
        <f>IFERROR(Vertailu[[#This Row],[Rahoitus pl. hark. kor. 2023 ilman alv, €]]-Vertailu[[#This Row],[Rahoitus pl. hark. kor. 2022 ilman alv, €]],0)</f>
        <v>5629354</v>
      </c>
      <c r="Q92" s="230">
        <f>IFERROR(Vertailu[[#This Row],[Muutos, € 1]]/Vertailu[[#This Row],[Rahoitus pl. hark. kor. 2022 ilman alv, €]],0)</f>
        <v>0.10479844490302491</v>
      </c>
      <c r="R92" s="233">
        <f>IFERROR(VLOOKUP(Vertailu[[#This Row],[Y-tunnus]],'Suoritepäätös 2022 oikaistu'!$Q:$AC,COLUMN('Suoritepäätös 2022 oikaistu'!L:L),FALSE),0)</f>
        <v>53824007</v>
      </c>
      <c r="S92" s="234">
        <f>IFERROR(VLOOKUP(Vertailu[[#This Row],[Y-tunnus]],'1.2 Ohjaus-laskentataulu'!A:AU,COLUMN('1.2 Ohjaus-laskentataulu'!AS:AS),FALSE),0)</f>
        <v>59450361</v>
      </c>
      <c r="T92" s="228">
        <f>IFERROR(Vertailu[[#This Row],[Rahoitus ml. hark. kor. 
2023 ilman alv, €]]-Vertailu[[#This Row],[Rahoitus ml. hark. kor. 
2022 ilman alv, €]],0)</f>
        <v>5626354</v>
      </c>
      <c r="U92" s="232">
        <f>IFERROR(Vertailu[[#This Row],[Muutos, € 2]]/Vertailu[[#This Row],[Rahoitus ml. hark. kor. 
2022 ilman alv, €]],0)</f>
        <v>0.1045324254658335</v>
      </c>
      <c r="V92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53824007</v>
      </c>
      <c r="W92" s="233">
        <f>IFERROR(VLOOKUP(Vertailu[[#This Row],[Y-tunnus]],'1.2 Ohjaus-laskentataulu'!A:AU,COLUMN('1.2 Ohjaus-laskentataulu'!AU:AU),FALSE),0)</f>
        <v>59450361</v>
      </c>
      <c r="X92" s="235">
        <f>IFERROR(Vertailu[[#This Row],[Rahoitus ml. hark. kor. + alv 2023, €]]-Vertailu[[#This Row],[Rahoitus ml. hark. kor. + alv 2022, €]],0)</f>
        <v>5626354</v>
      </c>
      <c r="Y92" s="230">
        <f>IFERROR(Vertailu[[#This Row],[Muutos, € 3]]/Vertailu[[#This Row],[Rahoitus ml. hark. kor. + alv 2022, €]],0)</f>
        <v>0.1045324254658335</v>
      </c>
      <c r="Z92" s="228">
        <f>IFERROR(VLOOKUP(Vertailu[[#This Row],[Y-tunnus]],'Suoritepäätös 2022 oikaistu'!$B:$N,COLUMN('Suoritepäätös 2022 oikaistu'!G:G),FALSE),0)</f>
        <v>37801921</v>
      </c>
      <c r="AA92" s="228">
        <f>IFERROR(VLOOKUP(Vertailu[[#This Row],[Y-tunnus]],'1.2 Ohjaus-laskentataulu'!A:AU,COLUMN('1.2 Ohjaus-laskentataulu'!AP:AP),FALSE),0)</f>
        <v>41622823</v>
      </c>
      <c r="AB92" s="228">
        <f>Vertailu[[#This Row],[Perusrahoitus 2023, €]]-Vertailu[[#This Row],[Perusrahoitus 2022, €]]</f>
        <v>3820902</v>
      </c>
      <c r="AC92" s="230">
        <f>IFERROR(Vertailu[[#This Row],[Perusrahoituksen muutos, €]]/Vertailu[[#This Row],[Perusrahoitus 2022, €]],0)</f>
        <v>0.10107692675194999</v>
      </c>
      <c r="AD92" s="228">
        <f>IFERROR(VLOOKUP(Vertailu[[#This Row],[Y-tunnus]],'Suoritepäätös 2022 oikaistu'!$B:$N,COLUMN('Suoritepäätös 2022 oikaistu'!M:M),FALSE),0)</f>
        <v>10643912</v>
      </c>
      <c r="AE92" s="228">
        <f>IFERROR(VLOOKUP(Vertailu[[#This Row],[Y-tunnus]],'1.2 Ohjaus-laskentataulu'!A:AU,COLUMN('1.2 Ohjaus-laskentataulu'!O:O),FALSE),0)</f>
        <v>11461711</v>
      </c>
      <c r="AF92" s="228">
        <f>Vertailu[[#This Row],[Suoritusrahoitus 2023, €]]-Vertailu[[#This Row],[Suoritusrahoitus 2022, €]]</f>
        <v>817799</v>
      </c>
      <c r="AG92" s="230">
        <f>IFERROR(Vertailu[[#This Row],[Suoritusrahoituksen muutos, €]]/Vertailu[[#This Row],[Suoritusrahoitus 2022, €]],0)</f>
        <v>7.6832559307141959E-2</v>
      </c>
      <c r="AH92" s="228">
        <f>IFERROR(VLOOKUP(Vertailu[[#This Row],[Y-tunnus]],'Suoritepäätös 2022 oikaistu'!$Q:$AC,COLUMN('Suoritepäätös 2022 oikaistu'!K:K),FALSE),0)</f>
        <v>5378174</v>
      </c>
      <c r="AI92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6365827</v>
      </c>
      <c r="AJ92" s="228">
        <f>Vertailu[[#This Row],[Vaikuttavuusrahoitus 2023, €]]-Vertailu[[#This Row],[Vaikuttavuusrahoitus 2022, €]]</f>
        <v>987653</v>
      </c>
      <c r="AK92" s="230">
        <f>IFERROR(Vertailu[[#This Row],[Vaikuttavuusrahoituksen muutos, €]]/Vertailu[[#This Row],[Vaikuttavuusrahoitus 2022, €]],0)</f>
        <v>0.18364095323059462</v>
      </c>
    </row>
    <row r="93" spans="1:37" s="5" customFormat="1" ht="12.75" customHeight="1" x14ac:dyDescent="0.35">
      <c r="A93" s="7" t="s">
        <v>242</v>
      </c>
      <c r="B93" s="188" t="s">
        <v>86</v>
      </c>
      <c r="C93" s="188" t="s">
        <v>224</v>
      </c>
      <c r="D93" s="11" t="s">
        <v>337</v>
      </c>
      <c r="E93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0.57933937702312133</v>
      </c>
      <c r="F93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0.57933937702312133</v>
      </c>
      <c r="G93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0.2692656684246354</v>
      </c>
      <c r="H93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0.15139495455224333</v>
      </c>
      <c r="I93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8.221874814715302E-2</v>
      </c>
      <c r="J93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6.0912227401646191E-3</v>
      </c>
      <c r="K93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2.0366869332164524E-2</v>
      </c>
      <c r="L93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3.3656332252333929E-2</v>
      </c>
      <c r="M93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9.061782080427256E-3</v>
      </c>
      <c r="N93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1203438</v>
      </c>
      <c r="O93" s="228">
        <f>IFERROR(VLOOKUP(Vertailu[[#This Row],[Y-tunnus]],'1.2 Ohjaus-laskentataulu'!A:AU,COLUMN('1.2 Ohjaus-laskentataulu'!AF:AF),FALSE),0)</f>
        <v>1332409</v>
      </c>
      <c r="P93" s="228">
        <f>IFERROR(Vertailu[[#This Row],[Rahoitus pl. hark. kor. 2023 ilman alv, €]]-Vertailu[[#This Row],[Rahoitus pl. hark. kor. 2022 ilman alv, €]],0)</f>
        <v>128971</v>
      </c>
      <c r="Q93" s="230">
        <f>IFERROR(Vertailu[[#This Row],[Muutos, € 1]]/Vertailu[[#This Row],[Rahoitus pl. hark. kor. 2022 ilman alv, €]],0)</f>
        <v>0.10716879473641351</v>
      </c>
      <c r="R93" s="233">
        <f>IFERROR(VLOOKUP(Vertailu[[#This Row],[Y-tunnus]],'Suoritepäätös 2022 oikaistu'!$Q:$AC,COLUMN('Suoritepäätös 2022 oikaistu'!L:L),FALSE),0)</f>
        <v>1203438</v>
      </c>
      <c r="S93" s="234">
        <f>IFERROR(VLOOKUP(Vertailu[[#This Row],[Y-tunnus]],'1.2 Ohjaus-laskentataulu'!A:AU,COLUMN('1.2 Ohjaus-laskentataulu'!AS:AS),FALSE),0)</f>
        <v>1332409</v>
      </c>
      <c r="T93" s="228">
        <f>IFERROR(Vertailu[[#This Row],[Rahoitus ml. hark. kor. 
2023 ilman alv, €]]-Vertailu[[#This Row],[Rahoitus ml. hark. kor. 
2022 ilman alv, €]],0)</f>
        <v>128971</v>
      </c>
      <c r="U93" s="232">
        <f>IFERROR(Vertailu[[#This Row],[Muutos, € 2]]/Vertailu[[#This Row],[Rahoitus ml. hark. kor. 
2022 ilman alv, €]],0)</f>
        <v>0.10716879473641351</v>
      </c>
      <c r="V93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1255768</v>
      </c>
      <c r="W93" s="233">
        <f>IFERROR(VLOOKUP(Vertailu[[#This Row],[Y-tunnus]],'1.2 Ohjaus-laskentataulu'!A:AU,COLUMN('1.2 Ohjaus-laskentataulu'!AU:AU),FALSE),0)</f>
        <v>1383963</v>
      </c>
      <c r="X93" s="235">
        <f>IFERROR(Vertailu[[#This Row],[Rahoitus ml. hark. kor. + alv 2023, €]]-Vertailu[[#This Row],[Rahoitus ml. hark. kor. + alv 2022, €]],0)</f>
        <v>128195</v>
      </c>
      <c r="Y93" s="230">
        <f>IFERROR(Vertailu[[#This Row],[Muutos, € 3]]/Vertailu[[#This Row],[Rahoitus ml. hark. kor. + alv 2022, €]],0)</f>
        <v>0.10208493925629575</v>
      </c>
      <c r="Z93" s="228">
        <f>IFERROR(VLOOKUP(Vertailu[[#This Row],[Y-tunnus]],'Suoritepäätös 2022 oikaistu'!$B:$N,COLUMN('Suoritepäätös 2022 oikaistu'!G:G),FALSE),0)</f>
        <v>726715</v>
      </c>
      <c r="AA93" s="228">
        <f>IFERROR(VLOOKUP(Vertailu[[#This Row],[Y-tunnus]],'1.2 Ohjaus-laskentataulu'!A:AU,COLUMN('1.2 Ohjaus-laskentataulu'!AP:AP),FALSE),0)</f>
        <v>771917</v>
      </c>
      <c r="AB93" s="228">
        <f>Vertailu[[#This Row],[Perusrahoitus 2023, €]]-Vertailu[[#This Row],[Perusrahoitus 2022, €]]</f>
        <v>45202</v>
      </c>
      <c r="AC93" s="230">
        <f>IFERROR(Vertailu[[#This Row],[Perusrahoituksen muutos, €]]/Vertailu[[#This Row],[Perusrahoitus 2022, €]],0)</f>
        <v>6.2200449970070799E-2</v>
      </c>
      <c r="AD93" s="228">
        <f>IFERROR(VLOOKUP(Vertailu[[#This Row],[Y-tunnus]],'Suoritepäätös 2022 oikaistu'!$B:$N,COLUMN('Suoritepäätös 2022 oikaistu'!M:M),FALSE),0)</f>
        <v>298964</v>
      </c>
      <c r="AE93" s="228">
        <f>IFERROR(VLOOKUP(Vertailu[[#This Row],[Y-tunnus]],'1.2 Ohjaus-laskentataulu'!A:AU,COLUMN('1.2 Ohjaus-laskentataulu'!O:O),FALSE),0)</f>
        <v>358772</v>
      </c>
      <c r="AF93" s="228">
        <f>Vertailu[[#This Row],[Suoritusrahoitus 2023, €]]-Vertailu[[#This Row],[Suoritusrahoitus 2022, €]]</f>
        <v>59808</v>
      </c>
      <c r="AG93" s="230">
        <f>IFERROR(Vertailu[[#This Row],[Suoritusrahoituksen muutos, €]]/Vertailu[[#This Row],[Suoritusrahoitus 2022, €]],0)</f>
        <v>0.20005084224187528</v>
      </c>
      <c r="AH93" s="228">
        <f>IFERROR(VLOOKUP(Vertailu[[#This Row],[Y-tunnus]],'Suoritepäätös 2022 oikaistu'!$Q:$AC,COLUMN('Suoritepäätös 2022 oikaistu'!K:K),FALSE),0)</f>
        <v>177759</v>
      </c>
      <c r="AI93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201720</v>
      </c>
      <c r="AJ93" s="228">
        <f>Vertailu[[#This Row],[Vaikuttavuusrahoitus 2023, €]]-Vertailu[[#This Row],[Vaikuttavuusrahoitus 2022, €]]</f>
        <v>23961</v>
      </c>
      <c r="AK93" s="230">
        <f>IFERROR(Vertailu[[#This Row],[Vaikuttavuusrahoituksen muutos, €]]/Vertailu[[#This Row],[Vaikuttavuusrahoitus 2022, €]],0)</f>
        <v>0.13479486270737345</v>
      </c>
    </row>
    <row r="94" spans="1:37" s="5" customFormat="1" ht="12.75" customHeight="1" x14ac:dyDescent="0.35">
      <c r="A94" s="7" t="s">
        <v>241</v>
      </c>
      <c r="B94" s="188" t="s">
        <v>87</v>
      </c>
      <c r="C94" s="188" t="s">
        <v>184</v>
      </c>
      <c r="D94" s="11" t="s">
        <v>337</v>
      </c>
      <c r="E94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0.68527326251119924</v>
      </c>
      <c r="F94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0.68527326251119924</v>
      </c>
      <c r="G94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0.21496138913776186</v>
      </c>
      <c r="H94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9.9765348351038868E-2</v>
      </c>
      <c r="I94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7.6665386748581421E-2</v>
      </c>
      <c r="J94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5.5753231793165235E-3</v>
      </c>
      <c r="K94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1.3292375954605572E-2</v>
      </c>
      <c r="L94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3.7510132684841504E-3</v>
      </c>
      <c r="M94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4.8124920005119675E-4</v>
      </c>
      <c r="N94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483133</v>
      </c>
      <c r="O94" s="228">
        <f>IFERROR(VLOOKUP(Vertailu[[#This Row],[Y-tunnus]],'1.2 Ohjaus-laskentataulu'!A:AU,COLUMN('1.2 Ohjaus-laskentataulu'!AF:AF),FALSE),0)</f>
        <v>585975</v>
      </c>
      <c r="P94" s="228">
        <f>IFERROR(Vertailu[[#This Row],[Rahoitus pl. hark. kor. 2023 ilman alv, €]]-Vertailu[[#This Row],[Rahoitus pl. hark. kor. 2022 ilman alv, €]],0)</f>
        <v>102842</v>
      </c>
      <c r="Q94" s="230">
        <f>IFERROR(Vertailu[[#This Row],[Muutos, € 1]]/Vertailu[[#This Row],[Rahoitus pl. hark. kor. 2022 ilman alv, €]],0)</f>
        <v>0.21286478050557506</v>
      </c>
      <c r="R94" s="233">
        <f>IFERROR(VLOOKUP(Vertailu[[#This Row],[Y-tunnus]],'Suoritepäätös 2022 oikaistu'!$Q:$AC,COLUMN('Suoritepäätös 2022 oikaistu'!L:L),FALSE),0)</f>
        <v>483133</v>
      </c>
      <c r="S94" s="234">
        <f>IFERROR(VLOOKUP(Vertailu[[#This Row],[Y-tunnus]],'1.2 Ohjaus-laskentataulu'!A:AU,COLUMN('1.2 Ohjaus-laskentataulu'!AS:AS),FALSE),0)</f>
        <v>585975</v>
      </c>
      <c r="T94" s="228">
        <f>IFERROR(Vertailu[[#This Row],[Rahoitus ml. hark. kor. 
2023 ilman alv, €]]-Vertailu[[#This Row],[Rahoitus ml. hark. kor. 
2022 ilman alv, €]],0)</f>
        <v>102842</v>
      </c>
      <c r="U94" s="232">
        <f>IFERROR(Vertailu[[#This Row],[Muutos, € 2]]/Vertailu[[#This Row],[Rahoitus ml. hark. kor. 
2022 ilman alv, €]],0)</f>
        <v>0.21286478050557506</v>
      </c>
      <c r="V94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527382</v>
      </c>
      <c r="W94" s="233">
        <f>IFERROR(VLOOKUP(Vertailu[[#This Row],[Y-tunnus]],'1.2 Ohjaus-laskentataulu'!A:AU,COLUMN('1.2 Ohjaus-laskentataulu'!AU:AU),FALSE),0)</f>
        <v>624756</v>
      </c>
      <c r="X94" s="235">
        <f>IFERROR(Vertailu[[#This Row],[Rahoitus ml. hark. kor. + alv 2023, €]]-Vertailu[[#This Row],[Rahoitus ml. hark. kor. + alv 2022, €]],0)</f>
        <v>97374</v>
      </c>
      <c r="Y94" s="230">
        <f>IFERROR(Vertailu[[#This Row],[Muutos, € 3]]/Vertailu[[#This Row],[Rahoitus ml. hark. kor. + alv 2022, €]],0)</f>
        <v>0.18463656325016781</v>
      </c>
      <c r="Z94" s="228">
        <f>IFERROR(VLOOKUP(Vertailu[[#This Row],[Y-tunnus]],'Suoritepäätös 2022 oikaistu'!$B:$N,COLUMN('Suoritepäätös 2022 oikaistu'!G:G),FALSE),0)</f>
        <v>348090</v>
      </c>
      <c r="AA94" s="228">
        <f>IFERROR(VLOOKUP(Vertailu[[#This Row],[Y-tunnus]],'1.2 Ohjaus-laskentataulu'!A:AU,COLUMN('1.2 Ohjaus-laskentataulu'!AP:AP),FALSE),0)</f>
        <v>401553</v>
      </c>
      <c r="AB94" s="228">
        <f>Vertailu[[#This Row],[Perusrahoitus 2023, €]]-Vertailu[[#This Row],[Perusrahoitus 2022, €]]</f>
        <v>53463</v>
      </c>
      <c r="AC94" s="230">
        <f>IFERROR(Vertailu[[#This Row],[Perusrahoituksen muutos, €]]/Vertailu[[#This Row],[Perusrahoitus 2022, €]],0)</f>
        <v>0.15358958889942256</v>
      </c>
      <c r="AD94" s="228">
        <f>IFERROR(VLOOKUP(Vertailu[[#This Row],[Y-tunnus]],'Suoritepäätös 2022 oikaistu'!$B:$N,COLUMN('Suoritepäätös 2022 oikaistu'!M:M),FALSE),0)</f>
        <v>81628</v>
      </c>
      <c r="AE94" s="228">
        <f>IFERROR(VLOOKUP(Vertailu[[#This Row],[Y-tunnus]],'1.2 Ohjaus-laskentataulu'!A:AU,COLUMN('1.2 Ohjaus-laskentataulu'!O:O),FALSE),0)</f>
        <v>125962</v>
      </c>
      <c r="AF94" s="228">
        <f>Vertailu[[#This Row],[Suoritusrahoitus 2023, €]]-Vertailu[[#This Row],[Suoritusrahoitus 2022, €]]</f>
        <v>44334</v>
      </c>
      <c r="AG94" s="230">
        <f>IFERROR(Vertailu[[#This Row],[Suoritusrahoituksen muutos, €]]/Vertailu[[#This Row],[Suoritusrahoitus 2022, €]],0)</f>
        <v>0.54312245798010483</v>
      </c>
      <c r="AH94" s="228">
        <f>IFERROR(VLOOKUP(Vertailu[[#This Row],[Y-tunnus]],'Suoritepäätös 2022 oikaistu'!$Q:$AC,COLUMN('Suoritepäätös 2022 oikaistu'!K:K),FALSE),0)</f>
        <v>53415</v>
      </c>
      <c r="AI94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58460</v>
      </c>
      <c r="AJ94" s="228">
        <f>Vertailu[[#This Row],[Vaikuttavuusrahoitus 2023, €]]-Vertailu[[#This Row],[Vaikuttavuusrahoitus 2022, €]]</f>
        <v>5045</v>
      </c>
      <c r="AK94" s="230">
        <f>IFERROR(Vertailu[[#This Row],[Vaikuttavuusrahoituksen muutos, €]]/Vertailu[[#This Row],[Vaikuttavuusrahoitus 2022, €]],0)</f>
        <v>9.4449124777684176E-2</v>
      </c>
    </row>
    <row r="95" spans="1:37" s="5" customFormat="1" ht="12.75" customHeight="1" x14ac:dyDescent="0.35">
      <c r="A95" s="7" t="s">
        <v>240</v>
      </c>
      <c r="B95" s="188" t="s">
        <v>88</v>
      </c>
      <c r="C95" s="188" t="s">
        <v>187</v>
      </c>
      <c r="D95" s="11" t="s">
        <v>337</v>
      </c>
      <c r="E95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0.62276083269956584</v>
      </c>
      <c r="F95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0.62276083269956584</v>
      </c>
      <c r="G95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0.21906781862756675</v>
      </c>
      <c r="H95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0.15817134867286736</v>
      </c>
      <c r="I95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0.1177376155543064</v>
      </c>
      <c r="J95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1.008469652380525E-2</v>
      </c>
      <c r="K95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2.2391436817715885E-2</v>
      </c>
      <c r="L95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4.8078149430554043E-3</v>
      </c>
      <c r="M95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3.1497848339844211E-3</v>
      </c>
      <c r="N95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2748281</v>
      </c>
      <c r="O95" s="228">
        <f>IFERROR(VLOOKUP(Vertailu[[#This Row],[Y-tunnus]],'1.2 Ohjaus-laskentataulu'!A:AU,COLUMN('1.2 Ohjaus-laskentataulu'!AF:AF),FALSE),0)</f>
        <v>2116970</v>
      </c>
      <c r="P95" s="228">
        <f>IFERROR(Vertailu[[#This Row],[Rahoitus pl. hark. kor. 2023 ilman alv, €]]-Vertailu[[#This Row],[Rahoitus pl. hark. kor. 2022 ilman alv, €]],0)</f>
        <v>-631311</v>
      </c>
      <c r="Q95" s="230">
        <f>IFERROR(Vertailu[[#This Row],[Muutos, € 1]]/Vertailu[[#This Row],[Rahoitus pl. hark. kor. 2022 ilman alv, €]],0)</f>
        <v>-0.22971122676320216</v>
      </c>
      <c r="R95" s="233">
        <f>IFERROR(VLOOKUP(Vertailu[[#This Row],[Y-tunnus]],'Suoritepäätös 2022 oikaistu'!$Q:$AC,COLUMN('Suoritepäätös 2022 oikaistu'!L:L),FALSE),0)</f>
        <v>2748281</v>
      </c>
      <c r="S95" s="234">
        <f>IFERROR(VLOOKUP(Vertailu[[#This Row],[Y-tunnus]],'1.2 Ohjaus-laskentataulu'!A:AU,COLUMN('1.2 Ohjaus-laskentataulu'!AS:AS),FALSE),0)</f>
        <v>2116970</v>
      </c>
      <c r="T95" s="228">
        <f>IFERROR(Vertailu[[#This Row],[Rahoitus ml. hark. kor. 
2023 ilman alv, €]]-Vertailu[[#This Row],[Rahoitus ml. hark. kor. 
2022 ilman alv, €]],0)</f>
        <v>-631311</v>
      </c>
      <c r="U95" s="232">
        <f>IFERROR(Vertailu[[#This Row],[Muutos, € 2]]/Vertailu[[#This Row],[Rahoitus ml. hark. kor. 
2022 ilman alv, €]],0)</f>
        <v>-0.22971122676320216</v>
      </c>
      <c r="V95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2863857</v>
      </c>
      <c r="W95" s="233">
        <f>IFERROR(VLOOKUP(Vertailu[[#This Row],[Y-tunnus]],'1.2 Ohjaus-laskentataulu'!A:AU,COLUMN('1.2 Ohjaus-laskentataulu'!AU:AU),FALSE),0)</f>
        <v>2246726</v>
      </c>
      <c r="X95" s="235">
        <f>IFERROR(Vertailu[[#This Row],[Rahoitus ml. hark. kor. + alv 2023, €]]-Vertailu[[#This Row],[Rahoitus ml. hark. kor. + alv 2022, €]],0)</f>
        <v>-617131</v>
      </c>
      <c r="Y95" s="230">
        <f>IFERROR(Vertailu[[#This Row],[Muutos, € 3]]/Vertailu[[#This Row],[Rahoitus ml. hark. kor. + alv 2022, €]],0)</f>
        <v>-0.21548946054219886</v>
      </c>
      <c r="Z95" s="228">
        <f>IFERROR(VLOOKUP(Vertailu[[#This Row],[Y-tunnus]],'Suoritepäätös 2022 oikaistu'!$B:$N,COLUMN('Suoritepäätös 2022 oikaistu'!G:G),FALSE),0)</f>
        <v>1803353</v>
      </c>
      <c r="AA95" s="228">
        <f>IFERROR(VLOOKUP(Vertailu[[#This Row],[Y-tunnus]],'1.2 Ohjaus-laskentataulu'!A:AU,COLUMN('1.2 Ohjaus-laskentataulu'!AP:AP),FALSE),0)</f>
        <v>1318366</v>
      </c>
      <c r="AB95" s="228">
        <f>Vertailu[[#This Row],[Perusrahoitus 2023, €]]-Vertailu[[#This Row],[Perusrahoitus 2022, €]]</f>
        <v>-484987</v>
      </c>
      <c r="AC95" s="230">
        <f>IFERROR(Vertailu[[#This Row],[Perusrahoituksen muutos, €]]/Vertailu[[#This Row],[Perusrahoitus 2022, €]],0)</f>
        <v>-0.26893625374510705</v>
      </c>
      <c r="AD95" s="228">
        <f>IFERROR(VLOOKUP(Vertailu[[#This Row],[Y-tunnus]],'Suoritepäätös 2022 oikaistu'!$B:$N,COLUMN('Suoritepäätös 2022 oikaistu'!M:M),FALSE),0)</f>
        <v>561207</v>
      </c>
      <c r="AE95" s="228">
        <f>IFERROR(VLOOKUP(Vertailu[[#This Row],[Y-tunnus]],'1.2 Ohjaus-laskentataulu'!A:AU,COLUMN('1.2 Ohjaus-laskentataulu'!O:O),FALSE),0)</f>
        <v>463760</v>
      </c>
      <c r="AF95" s="228">
        <f>Vertailu[[#This Row],[Suoritusrahoitus 2023, €]]-Vertailu[[#This Row],[Suoritusrahoitus 2022, €]]</f>
        <v>-97447</v>
      </c>
      <c r="AG95" s="230">
        <f>IFERROR(Vertailu[[#This Row],[Suoritusrahoituksen muutos, €]]/Vertailu[[#This Row],[Suoritusrahoitus 2022, €]],0)</f>
        <v>-0.17363824756284224</v>
      </c>
      <c r="AH95" s="228">
        <f>IFERROR(VLOOKUP(Vertailu[[#This Row],[Y-tunnus]],'Suoritepäätös 2022 oikaistu'!$Q:$AC,COLUMN('Suoritepäätös 2022 oikaistu'!K:K),FALSE),0)</f>
        <v>383721</v>
      </c>
      <c r="AI95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334844</v>
      </c>
      <c r="AJ95" s="228">
        <f>Vertailu[[#This Row],[Vaikuttavuusrahoitus 2023, €]]-Vertailu[[#This Row],[Vaikuttavuusrahoitus 2022, €]]</f>
        <v>-48877</v>
      </c>
      <c r="AK95" s="230">
        <f>IFERROR(Vertailu[[#This Row],[Vaikuttavuusrahoituksen muutos, €]]/Vertailu[[#This Row],[Vaikuttavuusrahoitus 2022, €]],0)</f>
        <v>-0.1273764010830786</v>
      </c>
    </row>
    <row r="96" spans="1:37" s="5" customFormat="1" ht="12.75" customHeight="1" x14ac:dyDescent="0.35">
      <c r="A96" s="7" t="s">
        <v>244</v>
      </c>
      <c r="B96" s="188" t="s">
        <v>89</v>
      </c>
      <c r="C96" s="188" t="s">
        <v>180</v>
      </c>
      <c r="D96" s="11" t="s">
        <v>337</v>
      </c>
      <c r="E96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0.6105374564105347</v>
      </c>
      <c r="F96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0.6105374564105347</v>
      </c>
      <c r="G96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0.27939942649606281</v>
      </c>
      <c r="H96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0.11006311709340244</v>
      </c>
      <c r="I96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7.6767776134456817E-2</v>
      </c>
      <c r="J96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3.8800843068879272E-3</v>
      </c>
      <c r="K96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8.9903978796636776E-3</v>
      </c>
      <c r="L96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1.2681085677327146E-2</v>
      </c>
      <c r="M96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7.7437730950668708E-3</v>
      </c>
      <c r="N96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1666592</v>
      </c>
      <c r="O96" s="228">
        <f>IFERROR(VLOOKUP(Vertailu[[#This Row],[Y-tunnus]],'1.2 Ohjaus-laskentataulu'!A:AU,COLUMN('1.2 Ohjaus-laskentataulu'!AF:AF),FALSE),0)</f>
        <v>1768776</v>
      </c>
      <c r="P96" s="228">
        <f>IFERROR(Vertailu[[#This Row],[Rahoitus pl. hark. kor. 2023 ilman alv, €]]-Vertailu[[#This Row],[Rahoitus pl. hark. kor. 2022 ilman alv, €]],0)</f>
        <v>102184</v>
      </c>
      <c r="Q96" s="230">
        <f>IFERROR(Vertailu[[#This Row],[Muutos, € 1]]/Vertailu[[#This Row],[Rahoitus pl. hark. kor. 2022 ilman alv, €]],0)</f>
        <v>6.1313146828977941E-2</v>
      </c>
      <c r="R96" s="233">
        <f>IFERROR(VLOOKUP(Vertailu[[#This Row],[Y-tunnus]],'Suoritepäätös 2022 oikaistu'!$Q:$AC,COLUMN('Suoritepäätös 2022 oikaistu'!L:L),FALSE),0)</f>
        <v>1666592</v>
      </c>
      <c r="S96" s="234">
        <f>IFERROR(VLOOKUP(Vertailu[[#This Row],[Y-tunnus]],'1.2 Ohjaus-laskentataulu'!A:AU,COLUMN('1.2 Ohjaus-laskentataulu'!AS:AS),FALSE),0)</f>
        <v>1768776</v>
      </c>
      <c r="T96" s="228">
        <f>IFERROR(Vertailu[[#This Row],[Rahoitus ml. hark. kor. 
2023 ilman alv, €]]-Vertailu[[#This Row],[Rahoitus ml. hark. kor. 
2022 ilman alv, €]],0)</f>
        <v>102184</v>
      </c>
      <c r="U96" s="232">
        <f>IFERROR(Vertailu[[#This Row],[Muutos, € 2]]/Vertailu[[#This Row],[Rahoitus ml. hark. kor. 
2022 ilman alv, €]],0)</f>
        <v>6.1313146828977941E-2</v>
      </c>
      <c r="V96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1753919</v>
      </c>
      <c r="W96" s="233">
        <f>IFERROR(VLOOKUP(Vertailu[[#This Row],[Y-tunnus]],'1.2 Ohjaus-laskentataulu'!A:AU,COLUMN('1.2 Ohjaus-laskentataulu'!AU:AU),FALSE),0)</f>
        <v>2026800</v>
      </c>
      <c r="X96" s="235">
        <f>IFERROR(Vertailu[[#This Row],[Rahoitus ml. hark. kor. + alv 2023, €]]-Vertailu[[#This Row],[Rahoitus ml. hark. kor. + alv 2022, €]],0)</f>
        <v>272881</v>
      </c>
      <c r="Y96" s="230">
        <f>IFERROR(Vertailu[[#This Row],[Muutos, € 3]]/Vertailu[[#This Row],[Rahoitus ml. hark. kor. + alv 2022, €]],0)</f>
        <v>0.15558358168193628</v>
      </c>
      <c r="Z96" s="228">
        <f>IFERROR(VLOOKUP(Vertailu[[#This Row],[Y-tunnus]],'Suoritepäätös 2022 oikaistu'!$B:$N,COLUMN('Suoritepäätös 2022 oikaistu'!G:G),FALSE),0)</f>
        <v>1032668</v>
      </c>
      <c r="AA96" s="228">
        <f>IFERROR(VLOOKUP(Vertailu[[#This Row],[Y-tunnus]],'1.2 Ohjaus-laskentataulu'!A:AU,COLUMN('1.2 Ohjaus-laskentataulu'!AP:AP),FALSE),0)</f>
        <v>1079904</v>
      </c>
      <c r="AB96" s="228">
        <f>Vertailu[[#This Row],[Perusrahoitus 2023, €]]-Vertailu[[#This Row],[Perusrahoitus 2022, €]]</f>
        <v>47236</v>
      </c>
      <c r="AC96" s="230">
        <f>IFERROR(Vertailu[[#This Row],[Perusrahoituksen muutos, €]]/Vertailu[[#This Row],[Perusrahoitus 2022, €]],0)</f>
        <v>4.5741709823486347E-2</v>
      </c>
      <c r="AD96" s="228">
        <f>IFERROR(VLOOKUP(Vertailu[[#This Row],[Y-tunnus]],'Suoritepäätös 2022 oikaistu'!$B:$N,COLUMN('Suoritepäätös 2022 oikaistu'!M:M),FALSE),0)</f>
        <v>463448</v>
      </c>
      <c r="AE96" s="228">
        <f>IFERROR(VLOOKUP(Vertailu[[#This Row],[Y-tunnus]],'1.2 Ohjaus-laskentataulu'!A:AU,COLUMN('1.2 Ohjaus-laskentataulu'!O:O),FALSE),0)</f>
        <v>494195</v>
      </c>
      <c r="AF96" s="228">
        <f>Vertailu[[#This Row],[Suoritusrahoitus 2023, €]]-Vertailu[[#This Row],[Suoritusrahoitus 2022, €]]</f>
        <v>30747</v>
      </c>
      <c r="AG96" s="230">
        <f>IFERROR(Vertailu[[#This Row],[Suoritusrahoituksen muutos, €]]/Vertailu[[#This Row],[Suoritusrahoitus 2022, €]],0)</f>
        <v>6.6344012704769473E-2</v>
      </c>
      <c r="AH96" s="228">
        <f>IFERROR(VLOOKUP(Vertailu[[#This Row],[Y-tunnus]],'Suoritepäätös 2022 oikaistu'!$Q:$AC,COLUMN('Suoritepäätös 2022 oikaistu'!K:K),FALSE),0)</f>
        <v>170476</v>
      </c>
      <c r="AI96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194677</v>
      </c>
      <c r="AJ96" s="228">
        <f>Vertailu[[#This Row],[Vaikuttavuusrahoitus 2023, €]]-Vertailu[[#This Row],[Vaikuttavuusrahoitus 2022, €]]</f>
        <v>24201</v>
      </c>
      <c r="AK96" s="230">
        <f>IFERROR(Vertailu[[#This Row],[Vaikuttavuusrahoituksen muutos, €]]/Vertailu[[#This Row],[Vaikuttavuusrahoitus 2022, €]],0)</f>
        <v>0.14196133180037074</v>
      </c>
    </row>
    <row r="97" spans="1:37" s="5" customFormat="1" ht="12.75" customHeight="1" x14ac:dyDescent="0.35">
      <c r="A97" s="7" t="s">
        <v>243</v>
      </c>
      <c r="B97" s="188" t="s">
        <v>90</v>
      </c>
      <c r="C97" s="188" t="s">
        <v>184</v>
      </c>
      <c r="D97" s="11" t="s">
        <v>337</v>
      </c>
      <c r="E97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0.66264094014103203</v>
      </c>
      <c r="F97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0.66264094014103203</v>
      </c>
      <c r="G97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0.19882958922612101</v>
      </c>
      <c r="H97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0.13852947063284693</v>
      </c>
      <c r="I97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0.11594364709038006</v>
      </c>
      <c r="J97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2.9736820965003412E-3</v>
      </c>
      <c r="K97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1.0859930586852895E-2</v>
      </c>
      <c r="L97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6.6581068918895002E-3</v>
      </c>
      <c r="M97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2.0941039672241414E-3</v>
      </c>
      <c r="N97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699818</v>
      </c>
      <c r="O97" s="228">
        <f>IFERROR(VLOOKUP(Vertailu[[#This Row],[Y-tunnus]],'1.2 Ohjaus-laskentataulu'!A:AU,COLUMN('1.2 Ohjaus-laskentataulu'!AF:AF),FALSE),0)</f>
        <v>734443</v>
      </c>
      <c r="P97" s="228">
        <f>IFERROR(Vertailu[[#This Row],[Rahoitus pl. hark. kor. 2023 ilman alv, €]]-Vertailu[[#This Row],[Rahoitus pl. hark. kor. 2022 ilman alv, €]],0)</f>
        <v>34625</v>
      </c>
      <c r="Q97" s="230">
        <f>IFERROR(Vertailu[[#This Row],[Muutos, € 1]]/Vertailu[[#This Row],[Rahoitus pl. hark. kor. 2022 ilman alv, €]],0)</f>
        <v>4.9477149773226752E-2</v>
      </c>
      <c r="R97" s="233">
        <f>IFERROR(VLOOKUP(Vertailu[[#This Row],[Y-tunnus]],'Suoritepäätös 2022 oikaistu'!$Q:$AC,COLUMN('Suoritepäätös 2022 oikaistu'!L:L),FALSE),0)</f>
        <v>699818</v>
      </c>
      <c r="S97" s="234">
        <f>IFERROR(VLOOKUP(Vertailu[[#This Row],[Y-tunnus]],'1.2 Ohjaus-laskentataulu'!A:AU,COLUMN('1.2 Ohjaus-laskentataulu'!AS:AS),FALSE),0)</f>
        <v>734443</v>
      </c>
      <c r="T97" s="228">
        <f>IFERROR(Vertailu[[#This Row],[Rahoitus ml. hark. kor. 
2023 ilman alv, €]]-Vertailu[[#This Row],[Rahoitus ml. hark. kor. 
2022 ilman alv, €]],0)</f>
        <v>34625</v>
      </c>
      <c r="U97" s="232">
        <f>IFERROR(Vertailu[[#This Row],[Muutos, € 2]]/Vertailu[[#This Row],[Rahoitus ml. hark. kor. 
2022 ilman alv, €]],0)</f>
        <v>4.9477149773226752E-2</v>
      </c>
      <c r="V97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728266</v>
      </c>
      <c r="W97" s="233">
        <f>IFERROR(VLOOKUP(Vertailu[[#This Row],[Y-tunnus]],'1.2 Ohjaus-laskentataulu'!A:AU,COLUMN('1.2 Ohjaus-laskentataulu'!AU:AU),FALSE),0)</f>
        <v>762252</v>
      </c>
      <c r="X97" s="235">
        <f>IFERROR(Vertailu[[#This Row],[Rahoitus ml. hark. kor. + alv 2023, €]]-Vertailu[[#This Row],[Rahoitus ml. hark. kor. + alv 2022, €]],0)</f>
        <v>33986</v>
      </c>
      <c r="Y97" s="230">
        <f>IFERROR(Vertailu[[#This Row],[Muutos, € 3]]/Vertailu[[#This Row],[Rahoitus ml. hark. kor. + alv 2022, €]],0)</f>
        <v>4.6667014524912599E-2</v>
      </c>
      <c r="Z97" s="228">
        <f>IFERROR(VLOOKUP(Vertailu[[#This Row],[Y-tunnus]],'Suoritepäätös 2022 oikaistu'!$B:$N,COLUMN('Suoritepäätös 2022 oikaistu'!G:G),FALSE),0)</f>
        <v>463510</v>
      </c>
      <c r="AA97" s="228">
        <f>IFERROR(VLOOKUP(Vertailu[[#This Row],[Y-tunnus]],'1.2 Ohjaus-laskentataulu'!A:AU,COLUMN('1.2 Ohjaus-laskentataulu'!AP:AP),FALSE),0)</f>
        <v>486672</v>
      </c>
      <c r="AB97" s="228">
        <f>Vertailu[[#This Row],[Perusrahoitus 2023, €]]-Vertailu[[#This Row],[Perusrahoitus 2022, €]]</f>
        <v>23162</v>
      </c>
      <c r="AC97" s="230">
        <f>IFERROR(Vertailu[[#This Row],[Perusrahoituksen muutos, €]]/Vertailu[[#This Row],[Perusrahoitus 2022, €]],0)</f>
        <v>4.9970874414791484E-2</v>
      </c>
      <c r="AD97" s="228">
        <f>IFERROR(VLOOKUP(Vertailu[[#This Row],[Y-tunnus]],'Suoritepäätös 2022 oikaistu'!$B:$N,COLUMN('Suoritepäätös 2022 oikaistu'!M:M),FALSE),0)</f>
        <v>126371</v>
      </c>
      <c r="AE97" s="228">
        <f>IFERROR(VLOOKUP(Vertailu[[#This Row],[Y-tunnus]],'1.2 Ohjaus-laskentataulu'!A:AU,COLUMN('1.2 Ohjaus-laskentataulu'!O:O),FALSE),0)</f>
        <v>146029</v>
      </c>
      <c r="AF97" s="228">
        <f>Vertailu[[#This Row],[Suoritusrahoitus 2023, €]]-Vertailu[[#This Row],[Suoritusrahoitus 2022, €]]</f>
        <v>19658</v>
      </c>
      <c r="AG97" s="230">
        <f>IFERROR(Vertailu[[#This Row],[Suoritusrahoituksen muutos, €]]/Vertailu[[#This Row],[Suoritusrahoitus 2022, €]],0)</f>
        <v>0.15555784159340355</v>
      </c>
      <c r="AH97" s="228">
        <f>IFERROR(VLOOKUP(Vertailu[[#This Row],[Y-tunnus]],'Suoritepäätös 2022 oikaistu'!$Q:$AC,COLUMN('Suoritepäätös 2022 oikaistu'!K:K),FALSE),0)</f>
        <v>109937</v>
      </c>
      <c r="AI97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101742</v>
      </c>
      <c r="AJ97" s="228">
        <f>Vertailu[[#This Row],[Vaikuttavuusrahoitus 2023, €]]-Vertailu[[#This Row],[Vaikuttavuusrahoitus 2022, €]]</f>
        <v>-8195</v>
      </c>
      <c r="AK97" s="230">
        <f>IFERROR(Vertailu[[#This Row],[Vaikuttavuusrahoituksen muutos, €]]/Vertailu[[#This Row],[Vaikuttavuusrahoitus 2022, €]],0)</f>
        <v>-7.4542692633053478E-2</v>
      </c>
    </row>
    <row r="98" spans="1:37" s="5" customFormat="1" ht="12.75" customHeight="1" x14ac:dyDescent="0.35">
      <c r="A98" s="7" t="s">
        <v>238</v>
      </c>
      <c r="B98" s="188" t="s">
        <v>91</v>
      </c>
      <c r="C98" s="188" t="s">
        <v>187</v>
      </c>
      <c r="D98" s="11" t="s">
        <v>337</v>
      </c>
      <c r="E98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0.64486727864796878</v>
      </c>
      <c r="F98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0.64789309430196551</v>
      </c>
      <c r="G98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0.22241318481016334</v>
      </c>
      <c r="H98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0.12969372088787115</v>
      </c>
      <c r="I98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7.5598793788847693E-2</v>
      </c>
      <c r="J98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7.4114328628996874E-3</v>
      </c>
      <c r="K98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1.7701626739011902E-2</v>
      </c>
      <c r="L98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1.7642925915324365E-2</v>
      </c>
      <c r="M98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1.1338941581787495E-2</v>
      </c>
      <c r="N98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1431906</v>
      </c>
      <c r="O98" s="228">
        <f>IFERROR(VLOOKUP(Vertailu[[#This Row],[Y-tunnus]],'1.2 Ohjaus-laskentataulu'!A:AU,COLUMN('1.2 Ohjaus-laskentataulu'!AF:AF),FALSE),0)</f>
        <v>1647447</v>
      </c>
      <c r="P98" s="228">
        <f>IFERROR(Vertailu[[#This Row],[Rahoitus pl. hark. kor. 2023 ilman alv, €]]-Vertailu[[#This Row],[Rahoitus pl. hark. kor. 2022 ilman alv, €]],0)</f>
        <v>215541</v>
      </c>
      <c r="Q98" s="230">
        <f>IFERROR(Vertailu[[#This Row],[Muutos, € 1]]/Vertailu[[#This Row],[Rahoitus pl. hark. kor. 2022 ilman alv, €]],0)</f>
        <v>0.15052733908510754</v>
      </c>
      <c r="R98" s="233">
        <f>IFERROR(VLOOKUP(Vertailu[[#This Row],[Y-tunnus]],'Suoritepäätös 2022 oikaistu'!$Q:$AC,COLUMN('Suoritepäätös 2022 oikaistu'!L:L),FALSE),0)</f>
        <v>1436906</v>
      </c>
      <c r="S98" s="234">
        <f>IFERROR(VLOOKUP(Vertailu[[#This Row],[Y-tunnus]],'1.2 Ohjaus-laskentataulu'!A:AU,COLUMN('1.2 Ohjaus-laskentataulu'!AS:AS),FALSE),0)</f>
        <v>1652447</v>
      </c>
      <c r="T98" s="228">
        <f>IFERROR(Vertailu[[#This Row],[Rahoitus ml. hark. kor. 
2023 ilman alv, €]]-Vertailu[[#This Row],[Rahoitus ml. hark. kor. 
2022 ilman alv, €]],0)</f>
        <v>215541</v>
      </c>
      <c r="U98" s="232">
        <f>IFERROR(Vertailu[[#This Row],[Muutos, € 2]]/Vertailu[[#This Row],[Rahoitus ml. hark. kor. 
2022 ilman alv, €]],0)</f>
        <v>0.15000354929271642</v>
      </c>
      <c r="V98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1486585</v>
      </c>
      <c r="W98" s="233">
        <f>IFERROR(VLOOKUP(Vertailu[[#This Row],[Y-tunnus]],'1.2 Ohjaus-laskentataulu'!A:AU,COLUMN('1.2 Ohjaus-laskentataulu'!AU:AU),FALSE),0)</f>
        <v>1737620</v>
      </c>
      <c r="X98" s="235">
        <f>IFERROR(Vertailu[[#This Row],[Rahoitus ml. hark. kor. + alv 2023, €]]-Vertailu[[#This Row],[Rahoitus ml. hark. kor. + alv 2022, €]],0)</f>
        <v>251035</v>
      </c>
      <c r="Y98" s="230">
        <f>IFERROR(Vertailu[[#This Row],[Muutos, € 3]]/Vertailu[[#This Row],[Rahoitus ml. hark. kor. + alv 2022, €]],0)</f>
        <v>0.16886689963910573</v>
      </c>
      <c r="Z98" s="228">
        <f>IFERROR(VLOOKUP(Vertailu[[#This Row],[Y-tunnus]],'Suoritepäätös 2022 oikaistu'!$B:$N,COLUMN('Suoritepäätös 2022 oikaistu'!G:G),FALSE),0)</f>
        <v>926524</v>
      </c>
      <c r="AA98" s="228">
        <f>IFERROR(VLOOKUP(Vertailu[[#This Row],[Y-tunnus]],'1.2 Ohjaus-laskentataulu'!A:AU,COLUMN('1.2 Ohjaus-laskentataulu'!AP:AP),FALSE),0)</f>
        <v>1070609</v>
      </c>
      <c r="AB98" s="228">
        <f>Vertailu[[#This Row],[Perusrahoitus 2023, €]]-Vertailu[[#This Row],[Perusrahoitus 2022, €]]</f>
        <v>144085</v>
      </c>
      <c r="AC98" s="230">
        <f>IFERROR(Vertailu[[#This Row],[Perusrahoituksen muutos, €]]/Vertailu[[#This Row],[Perusrahoitus 2022, €]],0)</f>
        <v>0.15551135210744677</v>
      </c>
      <c r="AD98" s="228">
        <f>IFERROR(VLOOKUP(Vertailu[[#This Row],[Y-tunnus]],'Suoritepäätös 2022 oikaistu'!$B:$N,COLUMN('Suoritepäätös 2022 oikaistu'!M:M),FALSE),0)</f>
        <v>339705</v>
      </c>
      <c r="AE98" s="228">
        <f>IFERROR(VLOOKUP(Vertailu[[#This Row],[Y-tunnus]],'1.2 Ohjaus-laskentataulu'!A:AU,COLUMN('1.2 Ohjaus-laskentataulu'!O:O),FALSE),0)</f>
        <v>367526</v>
      </c>
      <c r="AF98" s="228">
        <f>Vertailu[[#This Row],[Suoritusrahoitus 2023, €]]-Vertailu[[#This Row],[Suoritusrahoitus 2022, €]]</f>
        <v>27821</v>
      </c>
      <c r="AG98" s="230">
        <f>IFERROR(Vertailu[[#This Row],[Suoritusrahoituksen muutos, €]]/Vertailu[[#This Row],[Suoritusrahoitus 2022, €]],0)</f>
        <v>8.1897528738169884E-2</v>
      </c>
      <c r="AH98" s="228">
        <f>IFERROR(VLOOKUP(Vertailu[[#This Row],[Y-tunnus]],'Suoritepäätös 2022 oikaistu'!$Q:$AC,COLUMN('Suoritepäätös 2022 oikaistu'!K:K),FALSE),0)</f>
        <v>170677</v>
      </c>
      <c r="AI98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214312</v>
      </c>
      <c r="AJ98" s="228">
        <f>Vertailu[[#This Row],[Vaikuttavuusrahoitus 2023, €]]-Vertailu[[#This Row],[Vaikuttavuusrahoitus 2022, €]]</f>
        <v>43635</v>
      </c>
      <c r="AK98" s="230">
        <f>IFERROR(Vertailu[[#This Row],[Vaikuttavuusrahoituksen muutos, €]]/Vertailu[[#This Row],[Vaikuttavuusrahoitus 2022, €]],0)</f>
        <v>0.25565834881091182</v>
      </c>
    </row>
    <row r="99" spans="1:37" s="5" customFormat="1" ht="12.75" customHeight="1" x14ac:dyDescent="0.35">
      <c r="A99" s="7" t="s">
        <v>237</v>
      </c>
      <c r="B99" s="188" t="s">
        <v>92</v>
      </c>
      <c r="C99" s="188" t="s">
        <v>194</v>
      </c>
      <c r="D99" s="11" t="s">
        <v>336</v>
      </c>
      <c r="E99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0.64565040178487287</v>
      </c>
      <c r="F99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0.64760374816550415</v>
      </c>
      <c r="G99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0.23029911593126606</v>
      </c>
      <c r="H99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0.12209713590322974</v>
      </c>
      <c r="I99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8.4960589652976398E-2</v>
      </c>
      <c r="J99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3.9940654169367696E-3</v>
      </c>
      <c r="K99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1.5075927365712319E-2</v>
      </c>
      <c r="L99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1.3709957521051398E-2</v>
      </c>
      <c r="M99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4.356595946552853E-3</v>
      </c>
      <c r="N99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17604067</v>
      </c>
      <c r="O99" s="228">
        <f>IFERROR(VLOOKUP(Vertailu[[#This Row],[Y-tunnus]],'1.2 Ohjaus-laskentataulu'!A:AU,COLUMN('1.2 Ohjaus-laskentataulu'!AF:AF),FALSE),0)</f>
        <v>18904853</v>
      </c>
      <c r="P99" s="228">
        <f>IFERROR(Vertailu[[#This Row],[Rahoitus pl. hark. kor. 2023 ilman alv, €]]-Vertailu[[#This Row],[Rahoitus pl. hark. kor. 2022 ilman alv, €]],0)</f>
        <v>1300786</v>
      </c>
      <c r="Q99" s="230">
        <f>IFERROR(Vertailu[[#This Row],[Muutos, € 1]]/Vertailu[[#This Row],[Rahoitus pl. hark. kor. 2022 ilman alv, €]],0)</f>
        <v>7.3891220704851893E-2</v>
      </c>
      <c r="R99" s="233">
        <f>IFERROR(VLOOKUP(Vertailu[[#This Row],[Y-tunnus]],'Suoritepäätös 2022 oikaistu'!$Q:$AC,COLUMN('Suoritepäätös 2022 oikaistu'!L:L),FALSE),0)</f>
        <v>17650067</v>
      </c>
      <c r="S99" s="234">
        <f>IFERROR(VLOOKUP(Vertailu[[#This Row],[Y-tunnus]],'1.2 Ohjaus-laskentataulu'!A:AU,COLUMN('1.2 Ohjaus-laskentataulu'!AS:AS),FALSE),0)</f>
        <v>18941853</v>
      </c>
      <c r="T99" s="228">
        <f>IFERROR(Vertailu[[#This Row],[Rahoitus ml. hark. kor. 
2023 ilman alv, €]]-Vertailu[[#This Row],[Rahoitus ml. hark. kor. 
2022 ilman alv, €]],0)</f>
        <v>1291786</v>
      </c>
      <c r="U99" s="232">
        <f>IFERROR(Vertailu[[#This Row],[Muutos, € 2]]/Vertailu[[#This Row],[Rahoitus ml. hark. kor. 
2022 ilman alv, €]],0)</f>
        <v>7.3188730671673932E-2</v>
      </c>
      <c r="V99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17650067</v>
      </c>
      <c r="W99" s="233">
        <f>IFERROR(VLOOKUP(Vertailu[[#This Row],[Y-tunnus]],'1.2 Ohjaus-laskentataulu'!A:AU,COLUMN('1.2 Ohjaus-laskentataulu'!AU:AU),FALSE),0)</f>
        <v>18941853</v>
      </c>
      <c r="X99" s="235">
        <f>IFERROR(Vertailu[[#This Row],[Rahoitus ml. hark. kor. + alv 2023, €]]-Vertailu[[#This Row],[Rahoitus ml. hark. kor. + alv 2022, €]],0)</f>
        <v>1291786</v>
      </c>
      <c r="Y99" s="230">
        <f>IFERROR(Vertailu[[#This Row],[Muutos, € 3]]/Vertailu[[#This Row],[Rahoitus ml. hark. kor. + alv 2022, €]],0)</f>
        <v>7.3188730671673932E-2</v>
      </c>
      <c r="Z99" s="228">
        <f>IFERROR(VLOOKUP(Vertailu[[#This Row],[Y-tunnus]],'Suoritepäätös 2022 oikaistu'!$B:$N,COLUMN('Suoritepäätös 2022 oikaistu'!G:G),FALSE),0)</f>
        <v>11249016</v>
      </c>
      <c r="AA99" s="228">
        <f>IFERROR(VLOOKUP(Vertailu[[#This Row],[Y-tunnus]],'1.2 Ohjaus-laskentataulu'!A:AU,COLUMN('1.2 Ohjaus-laskentataulu'!AP:AP),FALSE),0)</f>
        <v>12266815</v>
      </c>
      <c r="AB99" s="228">
        <f>Vertailu[[#This Row],[Perusrahoitus 2023, €]]-Vertailu[[#This Row],[Perusrahoitus 2022, €]]</f>
        <v>1017799</v>
      </c>
      <c r="AC99" s="230">
        <f>IFERROR(Vertailu[[#This Row],[Perusrahoituksen muutos, €]]/Vertailu[[#This Row],[Perusrahoitus 2022, €]],0)</f>
        <v>9.0478936113167582E-2</v>
      </c>
      <c r="AD99" s="228">
        <f>IFERROR(VLOOKUP(Vertailu[[#This Row],[Y-tunnus]],'Suoritepäätös 2022 oikaistu'!$B:$N,COLUMN('Suoritepäätös 2022 oikaistu'!M:M),FALSE),0)</f>
        <v>4207110</v>
      </c>
      <c r="AE99" s="228">
        <f>IFERROR(VLOOKUP(Vertailu[[#This Row],[Y-tunnus]],'1.2 Ohjaus-laskentataulu'!A:AU,COLUMN('1.2 Ohjaus-laskentataulu'!O:O),FALSE),0)</f>
        <v>4362292</v>
      </c>
      <c r="AF99" s="228">
        <f>Vertailu[[#This Row],[Suoritusrahoitus 2023, €]]-Vertailu[[#This Row],[Suoritusrahoitus 2022, €]]</f>
        <v>155182</v>
      </c>
      <c r="AG99" s="230">
        <f>IFERROR(Vertailu[[#This Row],[Suoritusrahoituksen muutos, €]]/Vertailu[[#This Row],[Suoritusrahoitus 2022, €]],0)</f>
        <v>3.68856530967814E-2</v>
      </c>
      <c r="AH99" s="228">
        <f>IFERROR(VLOOKUP(Vertailu[[#This Row],[Y-tunnus]],'Suoritepäätös 2022 oikaistu'!$Q:$AC,COLUMN('Suoritepäätös 2022 oikaistu'!K:K),FALSE),0)</f>
        <v>2193941</v>
      </c>
      <c r="AI99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2312746</v>
      </c>
      <c r="AJ99" s="228">
        <f>Vertailu[[#This Row],[Vaikuttavuusrahoitus 2023, €]]-Vertailu[[#This Row],[Vaikuttavuusrahoitus 2022, €]]</f>
        <v>118805</v>
      </c>
      <c r="AK99" s="230">
        <f>IFERROR(Vertailu[[#This Row],[Vaikuttavuusrahoituksen muutos, €]]/Vertailu[[#This Row],[Vaikuttavuusrahoitus 2022, €]],0)</f>
        <v>5.4151410635017078E-2</v>
      </c>
    </row>
    <row r="100" spans="1:37" s="5" customFormat="1" ht="12.75" customHeight="1" x14ac:dyDescent="0.35">
      <c r="A100" s="7" t="s">
        <v>236</v>
      </c>
      <c r="B100" s="188" t="s">
        <v>93</v>
      </c>
      <c r="C100" s="188" t="s">
        <v>180</v>
      </c>
      <c r="D100" s="11" t="s">
        <v>337</v>
      </c>
      <c r="E100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0.77580216414176228</v>
      </c>
      <c r="F100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0.77580216414176228</v>
      </c>
      <c r="G100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0.15041751285427266</v>
      </c>
      <c r="H100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7.3780323003965101E-2</v>
      </c>
      <c r="I100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4.5364700978737398E-2</v>
      </c>
      <c r="J100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3.24653827409206E-3</v>
      </c>
      <c r="K100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2.0655841977924409E-2</v>
      </c>
      <c r="L100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4.5132417732112289E-3</v>
      </c>
      <c r="M100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0</v>
      </c>
      <c r="N100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964004</v>
      </c>
      <c r="O100" s="228">
        <f>IFERROR(VLOOKUP(Vertailu[[#This Row],[Y-tunnus]],'1.2 Ohjaus-laskentataulu'!A:AU,COLUMN('1.2 Ohjaus-laskentataulu'!AF:AF),FALSE),0)</f>
        <v>921289</v>
      </c>
      <c r="P100" s="228">
        <f>IFERROR(Vertailu[[#This Row],[Rahoitus pl. hark. kor. 2023 ilman alv, €]]-Vertailu[[#This Row],[Rahoitus pl. hark. kor. 2022 ilman alv, €]],0)</f>
        <v>-42715</v>
      </c>
      <c r="Q100" s="230">
        <f>IFERROR(Vertailu[[#This Row],[Muutos, € 1]]/Vertailu[[#This Row],[Rahoitus pl. hark. kor. 2022 ilman alv, €]],0)</f>
        <v>-4.430998211625678E-2</v>
      </c>
      <c r="R100" s="233">
        <f>IFERROR(VLOOKUP(Vertailu[[#This Row],[Y-tunnus]],'Suoritepäätös 2022 oikaistu'!$Q:$AC,COLUMN('Suoritepäätös 2022 oikaistu'!L:L),FALSE),0)</f>
        <v>964004</v>
      </c>
      <c r="S100" s="234">
        <f>IFERROR(VLOOKUP(Vertailu[[#This Row],[Y-tunnus]],'1.2 Ohjaus-laskentataulu'!A:AU,COLUMN('1.2 Ohjaus-laskentataulu'!AS:AS),FALSE),0)</f>
        <v>921289</v>
      </c>
      <c r="T100" s="228">
        <f>IFERROR(Vertailu[[#This Row],[Rahoitus ml. hark. kor. 
2023 ilman alv, €]]-Vertailu[[#This Row],[Rahoitus ml. hark. kor. 
2022 ilman alv, €]],0)</f>
        <v>-42715</v>
      </c>
      <c r="U100" s="232">
        <f>IFERROR(Vertailu[[#This Row],[Muutos, € 2]]/Vertailu[[#This Row],[Rahoitus ml. hark. kor. 
2022 ilman alv, €]],0)</f>
        <v>-4.430998211625678E-2</v>
      </c>
      <c r="V100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1097244</v>
      </c>
      <c r="W100" s="233">
        <f>IFERROR(VLOOKUP(Vertailu[[#This Row],[Y-tunnus]],'1.2 Ohjaus-laskentataulu'!A:AU,COLUMN('1.2 Ohjaus-laskentataulu'!AU:AU),FALSE),0)</f>
        <v>1016104</v>
      </c>
      <c r="X100" s="235">
        <f>IFERROR(Vertailu[[#This Row],[Rahoitus ml. hark. kor. + alv 2023, €]]-Vertailu[[#This Row],[Rahoitus ml. hark. kor. + alv 2022, €]],0)</f>
        <v>-81140</v>
      </c>
      <c r="Y100" s="230">
        <f>IFERROR(Vertailu[[#This Row],[Muutos, € 3]]/Vertailu[[#This Row],[Rahoitus ml. hark. kor. + alv 2022, €]],0)</f>
        <v>-7.3948912001341544E-2</v>
      </c>
      <c r="Z100" s="228">
        <f>IFERROR(VLOOKUP(Vertailu[[#This Row],[Y-tunnus]],'Suoritepäätös 2022 oikaistu'!$B:$N,COLUMN('Suoritepäätös 2022 oikaistu'!G:G),FALSE),0)</f>
        <v>635112</v>
      </c>
      <c r="AA100" s="228">
        <f>IFERROR(VLOOKUP(Vertailu[[#This Row],[Y-tunnus]],'1.2 Ohjaus-laskentataulu'!A:AU,COLUMN('1.2 Ohjaus-laskentataulu'!AP:AP),FALSE),0)</f>
        <v>714738</v>
      </c>
      <c r="AB100" s="228">
        <f>Vertailu[[#This Row],[Perusrahoitus 2023, €]]-Vertailu[[#This Row],[Perusrahoitus 2022, €]]</f>
        <v>79626</v>
      </c>
      <c r="AC100" s="230">
        <f>IFERROR(Vertailu[[#This Row],[Perusrahoituksen muutos, €]]/Vertailu[[#This Row],[Perusrahoitus 2022, €]],0)</f>
        <v>0.12537316252881381</v>
      </c>
      <c r="AD100" s="228">
        <f>IFERROR(VLOOKUP(Vertailu[[#This Row],[Y-tunnus]],'Suoritepäätös 2022 oikaistu'!$B:$N,COLUMN('Suoritepäätös 2022 oikaistu'!M:M),FALSE),0)</f>
        <v>214528</v>
      </c>
      <c r="AE100" s="228">
        <f>IFERROR(VLOOKUP(Vertailu[[#This Row],[Y-tunnus]],'1.2 Ohjaus-laskentataulu'!A:AU,COLUMN('1.2 Ohjaus-laskentataulu'!O:O),FALSE),0)</f>
        <v>138578</v>
      </c>
      <c r="AF100" s="228">
        <f>Vertailu[[#This Row],[Suoritusrahoitus 2023, €]]-Vertailu[[#This Row],[Suoritusrahoitus 2022, €]]</f>
        <v>-75950</v>
      </c>
      <c r="AG100" s="230">
        <f>IFERROR(Vertailu[[#This Row],[Suoritusrahoituksen muutos, €]]/Vertailu[[#This Row],[Suoritusrahoitus 2022, €]],0)</f>
        <v>-0.35403303997613367</v>
      </c>
      <c r="AH100" s="228">
        <f>IFERROR(VLOOKUP(Vertailu[[#This Row],[Y-tunnus]],'Suoritepäätös 2022 oikaistu'!$Q:$AC,COLUMN('Suoritepäätös 2022 oikaistu'!K:K),FALSE),0)</f>
        <v>114364</v>
      </c>
      <c r="AI100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67973</v>
      </c>
      <c r="AJ100" s="228">
        <f>Vertailu[[#This Row],[Vaikuttavuusrahoitus 2023, €]]-Vertailu[[#This Row],[Vaikuttavuusrahoitus 2022, €]]</f>
        <v>-46391</v>
      </c>
      <c r="AK100" s="230">
        <f>IFERROR(Vertailu[[#This Row],[Vaikuttavuusrahoituksen muutos, €]]/Vertailu[[#This Row],[Vaikuttavuusrahoitus 2022, €]],0)</f>
        <v>-0.40564338428176699</v>
      </c>
    </row>
    <row r="101" spans="1:37" s="5" customFormat="1" ht="12.75" customHeight="1" x14ac:dyDescent="0.35">
      <c r="A101" s="7" t="s">
        <v>259</v>
      </c>
      <c r="B101" s="188" t="s">
        <v>456</v>
      </c>
      <c r="C101" s="188" t="s">
        <v>180</v>
      </c>
      <c r="D101" s="11" t="s">
        <v>337</v>
      </c>
      <c r="E101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0.56534534102387046</v>
      </c>
      <c r="F101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0.56534534102387046</v>
      </c>
      <c r="G101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0.25317460609981407</v>
      </c>
      <c r="H101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0.18148005287631547</v>
      </c>
      <c r="I101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0.1117343082130238</v>
      </c>
      <c r="J101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9.997559382092595E-3</v>
      </c>
      <c r="K101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4.3779284810815257E-2</v>
      </c>
      <c r="L101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1.1638205878219416E-2</v>
      </c>
      <c r="M101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4.3306945921644142E-3</v>
      </c>
      <c r="N101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11492354</v>
      </c>
      <c r="O101" s="228">
        <f>IFERROR(VLOOKUP(Vertailu[[#This Row],[Y-tunnus]],'1.2 Ohjaus-laskentataulu'!A:AU,COLUMN('1.2 Ohjaus-laskentataulu'!AF:AF),FALSE),0)</f>
        <v>12480446</v>
      </c>
      <c r="P101" s="228">
        <f>IFERROR(Vertailu[[#This Row],[Rahoitus pl. hark. kor. 2023 ilman alv, €]]-Vertailu[[#This Row],[Rahoitus pl. hark. kor. 2022 ilman alv, €]],0)</f>
        <v>988092</v>
      </c>
      <c r="Q101" s="230">
        <f>IFERROR(Vertailu[[#This Row],[Muutos, € 1]]/Vertailu[[#This Row],[Rahoitus pl. hark. kor. 2022 ilman alv, €]],0)</f>
        <v>8.5978207771880324E-2</v>
      </c>
      <c r="R101" s="233">
        <f>IFERROR(VLOOKUP(Vertailu[[#This Row],[Y-tunnus]],'Suoritepäätös 2022 oikaistu'!$Q:$AC,COLUMN('Suoritepäätös 2022 oikaistu'!L:L),FALSE),0)</f>
        <v>11492354</v>
      </c>
      <c r="S101" s="234">
        <f>IFERROR(VLOOKUP(Vertailu[[#This Row],[Y-tunnus]],'1.2 Ohjaus-laskentataulu'!A:AU,COLUMN('1.2 Ohjaus-laskentataulu'!AS:AS),FALSE),0)</f>
        <v>12480446</v>
      </c>
      <c r="T101" s="228">
        <f>IFERROR(Vertailu[[#This Row],[Rahoitus ml. hark. kor. 
2023 ilman alv, €]]-Vertailu[[#This Row],[Rahoitus ml. hark. kor. 
2022 ilman alv, €]],0)</f>
        <v>988092</v>
      </c>
      <c r="U101" s="232">
        <f>IFERROR(Vertailu[[#This Row],[Muutos, € 2]]/Vertailu[[#This Row],[Rahoitus ml. hark. kor. 
2022 ilman alv, €]],0)</f>
        <v>8.5978207771880324E-2</v>
      </c>
      <c r="V101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12966457</v>
      </c>
      <c r="W101" s="233">
        <f>IFERROR(VLOOKUP(Vertailu[[#This Row],[Y-tunnus]],'1.2 Ohjaus-laskentataulu'!A:AU,COLUMN('1.2 Ohjaus-laskentataulu'!AU:AU),FALSE),0)</f>
        <v>13617243</v>
      </c>
      <c r="X101" s="235">
        <f>IFERROR(Vertailu[[#This Row],[Rahoitus ml. hark. kor. + alv 2023, €]]-Vertailu[[#This Row],[Rahoitus ml. hark. kor. + alv 2022, €]],0)</f>
        <v>650786</v>
      </c>
      <c r="Y101" s="230">
        <f>IFERROR(Vertailu[[#This Row],[Muutos, € 3]]/Vertailu[[#This Row],[Rahoitus ml. hark. kor. + alv 2022, €]],0)</f>
        <v>5.0189963225883524E-2</v>
      </c>
      <c r="Z101" s="228">
        <f>IFERROR(VLOOKUP(Vertailu[[#This Row],[Y-tunnus]],'Suoritepäätös 2022 oikaistu'!$B:$N,COLUMN('Suoritepäätös 2022 oikaistu'!G:G),FALSE),0)</f>
        <v>6643642</v>
      </c>
      <c r="AA101" s="228">
        <f>IFERROR(VLOOKUP(Vertailu[[#This Row],[Y-tunnus]],'1.2 Ohjaus-laskentataulu'!A:AU,COLUMN('1.2 Ohjaus-laskentataulu'!AP:AP),FALSE),0)</f>
        <v>7055762</v>
      </c>
      <c r="AB101" s="228">
        <f>Vertailu[[#This Row],[Perusrahoitus 2023, €]]-Vertailu[[#This Row],[Perusrahoitus 2022, €]]</f>
        <v>412120</v>
      </c>
      <c r="AC101" s="230">
        <f>IFERROR(Vertailu[[#This Row],[Perusrahoituksen muutos, €]]/Vertailu[[#This Row],[Perusrahoitus 2022, €]],0)</f>
        <v>6.203224074987785E-2</v>
      </c>
      <c r="AD101" s="228">
        <f>IFERROR(VLOOKUP(Vertailu[[#This Row],[Y-tunnus]],'Suoritepäätös 2022 oikaistu'!$B:$N,COLUMN('Suoritepäätös 2022 oikaistu'!M:M),FALSE),0)</f>
        <v>2954704</v>
      </c>
      <c r="AE101" s="228">
        <f>IFERROR(VLOOKUP(Vertailu[[#This Row],[Y-tunnus]],'1.2 Ohjaus-laskentataulu'!A:AU,COLUMN('1.2 Ohjaus-laskentataulu'!O:O),FALSE),0)</f>
        <v>3159732</v>
      </c>
      <c r="AF101" s="228">
        <f>Vertailu[[#This Row],[Suoritusrahoitus 2023, €]]-Vertailu[[#This Row],[Suoritusrahoitus 2022, €]]</f>
        <v>205028</v>
      </c>
      <c r="AG101" s="230">
        <f>IFERROR(Vertailu[[#This Row],[Suoritusrahoituksen muutos, €]]/Vertailu[[#This Row],[Suoritusrahoitus 2022, €]],0)</f>
        <v>6.9390368713752718E-2</v>
      </c>
      <c r="AH101" s="228">
        <f>IFERROR(VLOOKUP(Vertailu[[#This Row],[Y-tunnus]],'Suoritepäätös 2022 oikaistu'!$Q:$AC,COLUMN('Suoritepäätös 2022 oikaistu'!K:K),FALSE),0)</f>
        <v>1894008</v>
      </c>
      <c r="AI101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2264952</v>
      </c>
      <c r="AJ101" s="228">
        <f>Vertailu[[#This Row],[Vaikuttavuusrahoitus 2023, €]]-Vertailu[[#This Row],[Vaikuttavuusrahoitus 2022, €]]</f>
        <v>370944</v>
      </c>
      <c r="AK101" s="230">
        <f>IFERROR(Vertailu[[#This Row],[Vaikuttavuusrahoituksen muutos, €]]/Vertailu[[#This Row],[Vaikuttavuusrahoitus 2022, €]],0)</f>
        <v>0.19585133748115108</v>
      </c>
    </row>
    <row r="102" spans="1:37" s="5" customFormat="1" ht="12.75" customHeight="1" x14ac:dyDescent="0.35">
      <c r="A102" s="7" t="s">
        <v>235</v>
      </c>
      <c r="B102" s="188" t="s">
        <v>94</v>
      </c>
      <c r="C102" s="188" t="s">
        <v>187</v>
      </c>
      <c r="D102" s="11" t="s">
        <v>337</v>
      </c>
      <c r="E102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0.60896275043912818</v>
      </c>
      <c r="F102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0.60896275043912818</v>
      </c>
      <c r="G102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0.16492778948450429</v>
      </c>
      <c r="H102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0.22610946007636751</v>
      </c>
      <c r="I102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0.1335917211105031</v>
      </c>
      <c r="J102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5.4479107776121702E-3</v>
      </c>
      <c r="K102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2.4285830897091323E-2</v>
      </c>
      <c r="L102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3.6043280960428574E-2</v>
      </c>
      <c r="M102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2.6740716330732325E-2</v>
      </c>
      <c r="N102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289437</v>
      </c>
      <c r="O102" s="228">
        <f>IFERROR(VLOOKUP(Vertailu[[#This Row],[Y-tunnus]],'1.2 Ohjaus-laskentataulu'!A:AU,COLUMN('1.2 Ohjaus-laskentataulu'!AF:AF),FALSE),0)</f>
        <v>330769</v>
      </c>
      <c r="P102" s="228">
        <f>IFERROR(Vertailu[[#This Row],[Rahoitus pl. hark. kor. 2023 ilman alv, €]]-Vertailu[[#This Row],[Rahoitus pl. hark. kor. 2022 ilman alv, €]],0)</f>
        <v>41332</v>
      </c>
      <c r="Q102" s="230">
        <f>IFERROR(Vertailu[[#This Row],[Muutos, € 1]]/Vertailu[[#This Row],[Rahoitus pl. hark. kor. 2022 ilman alv, €]],0)</f>
        <v>0.1428013695553782</v>
      </c>
      <c r="R102" s="233">
        <f>IFERROR(VLOOKUP(Vertailu[[#This Row],[Y-tunnus]],'Suoritepäätös 2022 oikaistu'!$Q:$AC,COLUMN('Suoritepäätös 2022 oikaistu'!L:L),FALSE),0)</f>
        <v>289437</v>
      </c>
      <c r="S102" s="234">
        <f>IFERROR(VLOOKUP(Vertailu[[#This Row],[Y-tunnus]],'1.2 Ohjaus-laskentataulu'!A:AU,COLUMN('1.2 Ohjaus-laskentataulu'!AS:AS),FALSE),0)</f>
        <v>330769</v>
      </c>
      <c r="T102" s="228">
        <f>IFERROR(Vertailu[[#This Row],[Rahoitus ml. hark. kor. 
2023 ilman alv, €]]-Vertailu[[#This Row],[Rahoitus ml. hark. kor. 
2022 ilman alv, €]],0)</f>
        <v>41332</v>
      </c>
      <c r="U102" s="232">
        <f>IFERROR(Vertailu[[#This Row],[Muutos, € 2]]/Vertailu[[#This Row],[Rahoitus ml. hark. kor. 
2022 ilman alv, €]],0)</f>
        <v>0.1428013695553782</v>
      </c>
      <c r="V102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304974</v>
      </c>
      <c r="W102" s="233">
        <f>IFERROR(VLOOKUP(Vertailu[[#This Row],[Y-tunnus]],'1.2 Ohjaus-laskentataulu'!A:AU,COLUMN('1.2 Ohjaus-laskentataulu'!AU:AU),FALSE),0)</f>
        <v>342509</v>
      </c>
      <c r="X102" s="235">
        <f>IFERROR(Vertailu[[#This Row],[Rahoitus ml. hark. kor. + alv 2023, €]]-Vertailu[[#This Row],[Rahoitus ml. hark. kor. + alv 2022, €]],0)</f>
        <v>37535</v>
      </c>
      <c r="Y102" s="230">
        <f>IFERROR(Vertailu[[#This Row],[Muutos, € 3]]/Vertailu[[#This Row],[Rahoitus ml. hark. kor. + alv 2022, €]],0)</f>
        <v>0.12307606550066563</v>
      </c>
      <c r="Z102" s="228">
        <f>IFERROR(VLOOKUP(Vertailu[[#This Row],[Y-tunnus]],'Suoritepäätös 2022 oikaistu'!$B:$N,COLUMN('Suoritepäätös 2022 oikaistu'!G:G),FALSE),0)</f>
        <v>188091</v>
      </c>
      <c r="AA102" s="228">
        <f>IFERROR(VLOOKUP(Vertailu[[#This Row],[Y-tunnus]],'1.2 Ohjaus-laskentataulu'!A:AU,COLUMN('1.2 Ohjaus-laskentataulu'!AP:AP),FALSE),0)</f>
        <v>201426</v>
      </c>
      <c r="AB102" s="228">
        <f>Vertailu[[#This Row],[Perusrahoitus 2023, €]]-Vertailu[[#This Row],[Perusrahoitus 2022, €]]</f>
        <v>13335</v>
      </c>
      <c r="AC102" s="230">
        <f>IFERROR(Vertailu[[#This Row],[Perusrahoituksen muutos, €]]/Vertailu[[#This Row],[Perusrahoitus 2022, €]],0)</f>
        <v>7.0896534124439761E-2</v>
      </c>
      <c r="AD102" s="228">
        <f>IFERROR(VLOOKUP(Vertailu[[#This Row],[Y-tunnus]],'Suoritepäätös 2022 oikaistu'!$B:$N,COLUMN('Suoritepäätös 2022 oikaistu'!M:M),FALSE),0)</f>
        <v>54170</v>
      </c>
      <c r="AE102" s="228">
        <f>IFERROR(VLOOKUP(Vertailu[[#This Row],[Y-tunnus]],'1.2 Ohjaus-laskentataulu'!A:AU,COLUMN('1.2 Ohjaus-laskentataulu'!O:O),FALSE),0)</f>
        <v>54553</v>
      </c>
      <c r="AF102" s="228">
        <f>Vertailu[[#This Row],[Suoritusrahoitus 2023, €]]-Vertailu[[#This Row],[Suoritusrahoitus 2022, €]]</f>
        <v>383</v>
      </c>
      <c r="AG102" s="230">
        <f>IFERROR(Vertailu[[#This Row],[Suoritusrahoituksen muutos, €]]/Vertailu[[#This Row],[Suoritusrahoitus 2022, €]],0)</f>
        <v>7.0703341332841053E-3</v>
      </c>
      <c r="AH102" s="228">
        <f>IFERROR(VLOOKUP(Vertailu[[#This Row],[Y-tunnus]],'Suoritepäätös 2022 oikaistu'!$Q:$AC,COLUMN('Suoritepäätös 2022 oikaistu'!K:K),FALSE),0)</f>
        <v>47176</v>
      </c>
      <c r="AI102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74790</v>
      </c>
      <c r="AJ102" s="228">
        <f>Vertailu[[#This Row],[Vaikuttavuusrahoitus 2023, €]]-Vertailu[[#This Row],[Vaikuttavuusrahoitus 2022, €]]</f>
        <v>27614</v>
      </c>
      <c r="AK102" s="230">
        <f>IFERROR(Vertailu[[#This Row],[Vaikuttavuusrahoituksen muutos, €]]/Vertailu[[#This Row],[Vaikuttavuusrahoitus 2022, €]],0)</f>
        <v>0.58534000339155501</v>
      </c>
    </row>
    <row r="103" spans="1:37" s="5" customFormat="1" ht="12.75" customHeight="1" x14ac:dyDescent="0.35">
      <c r="A103" s="7" t="s">
        <v>234</v>
      </c>
      <c r="B103" s="188" t="s">
        <v>95</v>
      </c>
      <c r="C103" s="188" t="s">
        <v>232</v>
      </c>
      <c r="D103" s="11" t="s">
        <v>337</v>
      </c>
      <c r="E103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0.64970091114966644</v>
      </c>
      <c r="F103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0.64970091114966644</v>
      </c>
      <c r="G103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0.23358141042822589</v>
      </c>
      <c r="H103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0.1167176784221077</v>
      </c>
      <c r="I103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8.2813987118394883E-2</v>
      </c>
      <c r="J103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5.1792847868339913E-3</v>
      </c>
      <c r="K103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1.6040214490120518E-2</v>
      </c>
      <c r="L103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1.0844879858889768E-2</v>
      </c>
      <c r="M103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1.8393121678685325E-3</v>
      </c>
      <c r="N103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533397</v>
      </c>
      <c r="O103" s="228">
        <f>IFERROR(VLOOKUP(Vertailu[[#This Row],[Y-tunnus]],'1.2 Ohjaus-laskentataulu'!A:AU,COLUMN('1.2 Ohjaus-laskentataulu'!AF:AF),FALSE),0)</f>
        <v>623059</v>
      </c>
      <c r="P103" s="228">
        <f>IFERROR(Vertailu[[#This Row],[Rahoitus pl. hark. kor. 2023 ilman alv, €]]-Vertailu[[#This Row],[Rahoitus pl. hark. kor. 2022 ilman alv, €]],0)</f>
        <v>89662</v>
      </c>
      <c r="Q103" s="230">
        <f>IFERROR(Vertailu[[#This Row],[Muutos, € 1]]/Vertailu[[#This Row],[Rahoitus pl. hark. kor. 2022 ilman alv, €]],0)</f>
        <v>0.16809618351809252</v>
      </c>
      <c r="R103" s="233">
        <f>IFERROR(VLOOKUP(Vertailu[[#This Row],[Y-tunnus]],'Suoritepäätös 2022 oikaistu'!$Q:$AC,COLUMN('Suoritepäätös 2022 oikaistu'!L:L),FALSE),0)</f>
        <v>533397</v>
      </c>
      <c r="S103" s="234">
        <f>IFERROR(VLOOKUP(Vertailu[[#This Row],[Y-tunnus]],'1.2 Ohjaus-laskentataulu'!A:AU,COLUMN('1.2 Ohjaus-laskentataulu'!AS:AS),FALSE),0)</f>
        <v>623059</v>
      </c>
      <c r="T103" s="228">
        <f>IFERROR(Vertailu[[#This Row],[Rahoitus ml. hark. kor. 
2023 ilman alv, €]]-Vertailu[[#This Row],[Rahoitus ml. hark. kor. 
2022 ilman alv, €]],0)</f>
        <v>89662</v>
      </c>
      <c r="U103" s="232">
        <f>IFERROR(Vertailu[[#This Row],[Muutos, € 2]]/Vertailu[[#This Row],[Rahoitus ml. hark. kor. 
2022 ilman alv, €]],0)</f>
        <v>0.16809618351809252</v>
      </c>
      <c r="V103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566273</v>
      </c>
      <c r="W103" s="233">
        <f>IFERROR(VLOOKUP(Vertailu[[#This Row],[Y-tunnus]],'1.2 Ohjaus-laskentataulu'!A:AU,COLUMN('1.2 Ohjaus-laskentataulu'!AU:AU),FALSE),0)</f>
        <v>654642</v>
      </c>
      <c r="X103" s="235">
        <f>IFERROR(Vertailu[[#This Row],[Rahoitus ml. hark. kor. + alv 2023, €]]-Vertailu[[#This Row],[Rahoitus ml. hark. kor. + alv 2022, €]],0)</f>
        <v>88369</v>
      </c>
      <c r="Y103" s="230">
        <f>IFERROR(Vertailu[[#This Row],[Muutos, € 3]]/Vertailu[[#This Row],[Rahoitus ml. hark. kor. + alv 2022, €]],0)</f>
        <v>0.15605370554485204</v>
      </c>
      <c r="Z103" s="228">
        <f>IFERROR(VLOOKUP(Vertailu[[#This Row],[Y-tunnus]],'Suoritepäätös 2022 oikaistu'!$B:$N,COLUMN('Suoritepäätös 2022 oikaistu'!G:G),FALSE),0)</f>
        <v>368854</v>
      </c>
      <c r="AA103" s="228">
        <f>IFERROR(VLOOKUP(Vertailu[[#This Row],[Y-tunnus]],'1.2 Ohjaus-laskentataulu'!A:AU,COLUMN('1.2 Ohjaus-laskentataulu'!AP:AP),FALSE),0)</f>
        <v>404802</v>
      </c>
      <c r="AB103" s="228">
        <f>Vertailu[[#This Row],[Perusrahoitus 2023, €]]-Vertailu[[#This Row],[Perusrahoitus 2022, €]]</f>
        <v>35948</v>
      </c>
      <c r="AC103" s="230">
        <f>IFERROR(Vertailu[[#This Row],[Perusrahoituksen muutos, €]]/Vertailu[[#This Row],[Perusrahoitus 2022, €]],0)</f>
        <v>9.7458615061785964E-2</v>
      </c>
      <c r="AD103" s="228">
        <f>IFERROR(VLOOKUP(Vertailu[[#This Row],[Y-tunnus]],'Suoritepäätös 2022 oikaistu'!$B:$N,COLUMN('Suoritepäätös 2022 oikaistu'!M:M),FALSE),0)</f>
        <v>119144</v>
      </c>
      <c r="AE103" s="228">
        <f>IFERROR(VLOOKUP(Vertailu[[#This Row],[Y-tunnus]],'1.2 Ohjaus-laskentataulu'!A:AU,COLUMN('1.2 Ohjaus-laskentataulu'!O:O),FALSE),0)</f>
        <v>145535</v>
      </c>
      <c r="AF103" s="228">
        <f>Vertailu[[#This Row],[Suoritusrahoitus 2023, €]]-Vertailu[[#This Row],[Suoritusrahoitus 2022, €]]</f>
        <v>26391</v>
      </c>
      <c r="AG103" s="230">
        <f>IFERROR(Vertailu[[#This Row],[Suoritusrahoituksen muutos, €]]/Vertailu[[#This Row],[Suoritusrahoitus 2022, €]],0)</f>
        <v>0.22150506949573626</v>
      </c>
      <c r="AH103" s="228">
        <f>IFERROR(VLOOKUP(Vertailu[[#This Row],[Y-tunnus]],'Suoritepäätös 2022 oikaistu'!$Q:$AC,COLUMN('Suoritepäätös 2022 oikaistu'!K:K),FALSE),0)</f>
        <v>45399</v>
      </c>
      <c r="AI103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72722</v>
      </c>
      <c r="AJ103" s="228">
        <f>Vertailu[[#This Row],[Vaikuttavuusrahoitus 2023, €]]-Vertailu[[#This Row],[Vaikuttavuusrahoitus 2022, €]]</f>
        <v>27323</v>
      </c>
      <c r="AK103" s="230">
        <f>IFERROR(Vertailu[[#This Row],[Vaikuttavuusrahoituksen muutos, €]]/Vertailu[[#This Row],[Vaikuttavuusrahoitus 2022, €]],0)</f>
        <v>0.60184145025220814</v>
      </c>
    </row>
    <row r="104" spans="1:37" s="5" customFormat="1" ht="12.75" customHeight="1" x14ac:dyDescent="0.35">
      <c r="A104" s="7" t="s">
        <v>233</v>
      </c>
      <c r="B104" s="188" t="s">
        <v>96</v>
      </c>
      <c r="C104" s="188" t="s">
        <v>232</v>
      </c>
      <c r="D104" s="11" t="s">
        <v>336</v>
      </c>
      <c r="E104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0.70110197008479458</v>
      </c>
      <c r="F104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0.70305038150842825</v>
      </c>
      <c r="G104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0.20110826183001673</v>
      </c>
      <c r="H104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9.5841356661555063E-2</v>
      </c>
      <c r="I104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6.4038925363421345E-2</v>
      </c>
      <c r="J104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4.1949297950831348E-3</v>
      </c>
      <c r="K104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1.1590477149991498E-2</v>
      </c>
      <c r="L104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1.2643404095577048E-2</v>
      </c>
      <c r="M104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3.3736202574820282E-3</v>
      </c>
      <c r="N104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34823372</v>
      </c>
      <c r="O104" s="228">
        <f>IFERROR(VLOOKUP(Vertailu[[#This Row],[Y-tunnus]],'1.2 Ohjaus-laskentataulu'!A:AU,COLUMN('1.2 Ohjaus-laskentataulu'!AF:AF),FALSE),0)</f>
        <v>36881181</v>
      </c>
      <c r="P104" s="228">
        <f>IFERROR(Vertailu[[#This Row],[Rahoitus pl. hark. kor. 2023 ilman alv, €]]-Vertailu[[#This Row],[Rahoitus pl. hark. kor. 2022 ilman alv, €]],0)</f>
        <v>2057809</v>
      </c>
      <c r="Q104" s="230">
        <f>IFERROR(Vertailu[[#This Row],[Muutos, € 1]]/Vertailu[[#This Row],[Rahoitus pl. hark. kor. 2022 ilman alv, €]],0)</f>
        <v>5.9092755290900606E-2</v>
      </c>
      <c r="R104" s="233">
        <f>IFERROR(VLOOKUP(Vertailu[[#This Row],[Y-tunnus]],'Suoritepäätös 2022 oikaistu'!$Q:$AC,COLUMN('Suoritepäätös 2022 oikaistu'!L:L),FALSE),0)</f>
        <v>34879372</v>
      </c>
      <c r="S104" s="234">
        <f>IFERROR(VLOOKUP(Vertailu[[#This Row],[Y-tunnus]],'1.2 Ohjaus-laskentataulu'!A:AU,COLUMN('1.2 Ohjaus-laskentataulu'!AS:AS),FALSE),0)</f>
        <v>36953181</v>
      </c>
      <c r="T104" s="228">
        <f>IFERROR(Vertailu[[#This Row],[Rahoitus ml. hark. kor. 
2023 ilman alv, €]]-Vertailu[[#This Row],[Rahoitus ml. hark. kor. 
2022 ilman alv, €]],0)</f>
        <v>2073809</v>
      </c>
      <c r="U104" s="232">
        <f>IFERROR(Vertailu[[#This Row],[Muutos, € 2]]/Vertailu[[#This Row],[Rahoitus ml. hark. kor. 
2022 ilman alv, €]],0)</f>
        <v>5.9456603748484924E-2</v>
      </c>
      <c r="V104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34879372</v>
      </c>
      <c r="W104" s="233">
        <f>IFERROR(VLOOKUP(Vertailu[[#This Row],[Y-tunnus]],'1.2 Ohjaus-laskentataulu'!A:AU,COLUMN('1.2 Ohjaus-laskentataulu'!AU:AU),FALSE),0)</f>
        <v>36953181</v>
      </c>
      <c r="X104" s="235">
        <f>IFERROR(Vertailu[[#This Row],[Rahoitus ml. hark. kor. + alv 2023, €]]-Vertailu[[#This Row],[Rahoitus ml. hark. kor. + alv 2022, €]],0)</f>
        <v>2073809</v>
      </c>
      <c r="Y104" s="230">
        <f>IFERROR(Vertailu[[#This Row],[Muutos, € 3]]/Vertailu[[#This Row],[Rahoitus ml. hark. kor. + alv 2022, €]],0)</f>
        <v>5.9456603748484924E-2</v>
      </c>
      <c r="Z104" s="228">
        <f>IFERROR(VLOOKUP(Vertailu[[#This Row],[Y-tunnus]],'Suoritepäätös 2022 oikaistu'!$B:$N,COLUMN('Suoritepäätös 2022 oikaistu'!G:G),FALSE),0)</f>
        <v>24238515</v>
      </c>
      <c r="AA104" s="228">
        <f>IFERROR(VLOOKUP(Vertailu[[#This Row],[Y-tunnus]],'1.2 Ohjaus-laskentataulu'!A:AU,COLUMN('1.2 Ohjaus-laskentataulu'!AP:AP),FALSE),0)</f>
        <v>25979948</v>
      </c>
      <c r="AB104" s="228">
        <f>Vertailu[[#This Row],[Perusrahoitus 2023, €]]-Vertailu[[#This Row],[Perusrahoitus 2022, €]]</f>
        <v>1741433</v>
      </c>
      <c r="AC104" s="230">
        <f>IFERROR(Vertailu[[#This Row],[Perusrahoituksen muutos, €]]/Vertailu[[#This Row],[Perusrahoitus 2022, €]],0)</f>
        <v>7.184569681764745E-2</v>
      </c>
      <c r="AD104" s="228">
        <f>IFERROR(VLOOKUP(Vertailu[[#This Row],[Y-tunnus]],'Suoritepäätös 2022 oikaistu'!$B:$N,COLUMN('Suoritepäätös 2022 oikaistu'!M:M),FALSE),0)</f>
        <v>6962018</v>
      </c>
      <c r="AE104" s="228">
        <f>IFERROR(VLOOKUP(Vertailu[[#This Row],[Y-tunnus]],'1.2 Ohjaus-laskentataulu'!A:AU,COLUMN('1.2 Ohjaus-laskentataulu'!O:O),FALSE),0)</f>
        <v>7431590</v>
      </c>
      <c r="AF104" s="228">
        <f>Vertailu[[#This Row],[Suoritusrahoitus 2023, €]]-Vertailu[[#This Row],[Suoritusrahoitus 2022, €]]</f>
        <v>469572</v>
      </c>
      <c r="AG104" s="230">
        <f>IFERROR(Vertailu[[#This Row],[Suoritusrahoituksen muutos, €]]/Vertailu[[#This Row],[Suoritusrahoitus 2022, €]],0)</f>
        <v>6.744768542684032E-2</v>
      </c>
      <c r="AH104" s="228">
        <f>IFERROR(VLOOKUP(Vertailu[[#This Row],[Y-tunnus]],'Suoritepäätös 2022 oikaistu'!$Q:$AC,COLUMN('Suoritepäätös 2022 oikaistu'!K:K),FALSE),0)</f>
        <v>3683839</v>
      </c>
      <c r="AI104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3541643</v>
      </c>
      <c r="AJ104" s="228">
        <f>Vertailu[[#This Row],[Vaikuttavuusrahoitus 2023, €]]-Vertailu[[#This Row],[Vaikuttavuusrahoitus 2022, €]]</f>
        <v>-142196</v>
      </c>
      <c r="AK104" s="230">
        <f>IFERROR(Vertailu[[#This Row],[Vaikuttavuusrahoituksen muutos, €]]/Vertailu[[#This Row],[Vaikuttavuusrahoitus 2022, €]],0)</f>
        <v>-3.8599949672067646E-2</v>
      </c>
    </row>
    <row r="105" spans="1:37" s="5" customFormat="1" ht="12.75" customHeight="1" x14ac:dyDescent="0.35">
      <c r="A105" s="7" t="s">
        <v>231</v>
      </c>
      <c r="B105" s="188" t="s">
        <v>97</v>
      </c>
      <c r="C105" s="188" t="s">
        <v>194</v>
      </c>
      <c r="D105" s="11" t="s">
        <v>336</v>
      </c>
      <c r="E105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0.66913275645874282</v>
      </c>
      <c r="F105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0.66913275645874282</v>
      </c>
      <c r="G105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0.21625638201905847</v>
      </c>
      <c r="H105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0.11461086152219874</v>
      </c>
      <c r="I105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8.4522228181012196E-2</v>
      </c>
      <c r="J105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3.7922542360796811E-3</v>
      </c>
      <c r="K105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1.295618648980427E-2</v>
      </c>
      <c r="L105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1.161042132950593E-2</v>
      </c>
      <c r="M105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1.7297712857966558E-3</v>
      </c>
      <c r="N105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19612164</v>
      </c>
      <c r="O105" s="228">
        <f>IFERROR(VLOOKUP(Vertailu[[#This Row],[Y-tunnus]],'1.2 Ohjaus-laskentataulu'!A:AU,COLUMN('1.2 Ohjaus-laskentataulu'!AF:AF),FALSE),0)</f>
        <v>20645504</v>
      </c>
      <c r="P105" s="228">
        <f>IFERROR(Vertailu[[#This Row],[Rahoitus pl. hark. kor. 2023 ilman alv, €]]-Vertailu[[#This Row],[Rahoitus pl. hark. kor. 2022 ilman alv, €]],0)</f>
        <v>1033340</v>
      </c>
      <c r="Q105" s="230">
        <f>IFERROR(Vertailu[[#This Row],[Muutos, € 1]]/Vertailu[[#This Row],[Rahoitus pl. hark. kor. 2022 ilman alv, €]],0)</f>
        <v>5.2688729300856343E-2</v>
      </c>
      <c r="R105" s="233">
        <f>IFERROR(VLOOKUP(Vertailu[[#This Row],[Y-tunnus]],'Suoritepäätös 2022 oikaistu'!$Q:$AC,COLUMN('Suoritepäätös 2022 oikaistu'!L:L),FALSE),0)</f>
        <v>19612164</v>
      </c>
      <c r="S105" s="234">
        <f>IFERROR(VLOOKUP(Vertailu[[#This Row],[Y-tunnus]],'1.2 Ohjaus-laskentataulu'!A:AU,COLUMN('1.2 Ohjaus-laskentataulu'!AS:AS),FALSE),0)</f>
        <v>20645504</v>
      </c>
      <c r="T105" s="228">
        <f>IFERROR(Vertailu[[#This Row],[Rahoitus ml. hark. kor. 
2023 ilman alv, €]]-Vertailu[[#This Row],[Rahoitus ml. hark. kor. 
2022 ilman alv, €]],0)</f>
        <v>1033340</v>
      </c>
      <c r="U105" s="232">
        <f>IFERROR(Vertailu[[#This Row],[Muutos, € 2]]/Vertailu[[#This Row],[Rahoitus ml. hark. kor. 
2022 ilman alv, €]],0)</f>
        <v>5.2688729300856343E-2</v>
      </c>
      <c r="V105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19612164</v>
      </c>
      <c r="W105" s="233">
        <f>IFERROR(VLOOKUP(Vertailu[[#This Row],[Y-tunnus]],'1.2 Ohjaus-laskentataulu'!A:AU,COLUMN('1.2 Ohjaus-laskentataulu'!AU:AU),FALSE),0)</f>
        <v>20645504</v>
      </c>
      <c r="X105" s="235">
        <f>IFERROR(Vertailu[[#This Row],[Rahoitus ml. hark. kor. + alv 2023, €]]-Vertailu[[#This Row],[Rahoitus ml. hark. kor. + alv 2022, €]],0)</f>
        <v>1033340</v>
      </c>
      <c r="Y105" s="230">
        <f>IFERROR(Vertailu[[#This Row],[Muutos, € 3]]/Vertailu[[#This Row],[Rahoitus ml. hark. kor. + alv 2022, €]],0)</f>
        <v>5.2688729300856343E-2</v>
      </c>
      <c r="Z105" s="228">
        <f>IFERROR(VLOOKUP(Vertailu[[#This Row],[Y-tunnus]],'Suoritepäätös 2022 oikaistu'!$B:$N,COLUMN('Suoritepäätös 2022 oikaistu'!G:G),FALSE),0)</f>
        <v>12691256</v>
      </c>
      <c r="AA105" s="228">
        <f>IFERROR(VLOOKUP(Vertailu[[#This Row],[Y-tunnus]],'1.2 Ohjaus-laskentataulu'!A:AU,COLUMN('1.2 Ohjaus-laskentataulu'!AP:AP),FALSE),0)</f>
        <v>13814583</v>
      </c>
      <c r="AB105" s="228">
        <f>Vertailu[[#This Row],[Perusrahoitus 2023, €]]-Vertailu[[#This Row],[Perusrahoitus 2022, €]]</f>
        <v>1123327</v>
      </c>
      <c r="AC105" s="230">
        <f>IFERROR(Vertailu[[#This Row],[Perusrahoituksen muutos, €]]/Vertailu[[#This Row],[Perusrahoitus 2022, €]],0)</f>
        <v>8.8511885663641168E-2</v>
      </c>
      <c r="AD105" s="228">
        <f>IFERROR(VLOOKUP(Vertailu[[#This Row],[Y-tunnus]],'Suoritepäätös 2022 oikaistu'!$B:$N,COLUMN('Suoritepäätös 2022 oikaistu'!M:M),FALSE),0)</f>
        <v>4651633</v>
      </c>
      <c r="AE105" s="228">
        <f>IFERROR(VLOOKUP(Vertailu[[#This Row],[Y-tunnus]],'1.2 Ohjaus-laskentataulu'!A:AU,COLUMN('1.2 Ohjaus-laskentataulu'!O:O),FALSE),0)</f>
        <v>4464722</v>
      </c>
      <c r="AF105" s="228">
        <f>Vertailu[[#This Row],[Suoritusrahoitus 2023, €]]-Vertailu[[#This Row],[Suoritusrahoitus 2022, €]]</f>
        <v>-186911</v>
      </c>
      <c r="AG105" s="230">
        <f>IFERROR(Vertailu[[#This Row],[Suoritusrahoituksen muutos, €]]/Vertailu[[#This Row],[Suoritusrahoitus 2022, €]],0)</f>
        <v>-4.0181802820643847E-2</v>
      </c>
      <c r="AH105" s="228">
        <f>IFERROR(VLOOKUP(Vertailu[[#This Row],[Y-tunnus]],'Suoritepäätös 2022 oikaistu'!$Q:$AC,COLUMN('Suoritepäätös 2022 oikaistu'!K:K),FALSE),0)</f>
        <v>2269275</v>
      </c>
      <c r="AI105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2366199</v>
      </c>
      <c r="AJ105" s="228">
        <f>Vertailu[[#This Row],[Vaikuttavuusrahoitus 2023, €]]-Vertailu[[#This Row],[Vaikuttavuusrahoitus 2022, €]]</f>
        <v>96924</v>
      </c>
      <c r="AK105" s="230">
        <f>IFERROR(Vertailu[[#This Row],[Vaikuttavuusrahoituksen muutos, €]]/Vertailu[[#This Row],[Vaikuttavuusrahoitus 2022, €]],0)</f>
        <v>4.2711438675347851E-2</v>
      </c>
    </row>
    <row r="106" spans="1:37" s="5" customFormat="1" ht="12.75" customHeight="1" x14ac:dyDescent="0.35">
      <c r="A106" s="7" t="s">
        <v>230</v>
      </c>
      <c r="B106" s="188" t="s">
        <v>98</v>
      </c>
      <c r="C106" s="188" t="s">
        <v>189</v>
      </c>
      <c r="D106" s="11" t="s">
        <v>336</v>
      </c>
      <c r="E106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0.68609657888073949</v>
      </c>
      <c r="F106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0.68839948295922138</v>
      </c>
      <c r="G106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0.20759818619134726</v>
      </c>
      <c r="H106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0.10400233084943135</v>
      </c>
      <c r="I106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7.2210041412166651E-2</v>
      </c>
      <c r="J106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3.12648985279656E-3</v>
      </c>
      <c r="K106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9.4828673639808462E-3</v>
      </c>
      <c r="L106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1.6436395665313516E-2</v>
      </c>
      <c r="M106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2.746536555173765E-3</v>
      </c>
      <c r="N106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35442794</v>
      </c>
      <c r="O106" s="228">
        <f>IFERROR(VLOOKUP(Vertailu[[#This Row],[Y-tunnus]],'1.2 Ohjaus-laskentataulu'!A:AU,COLUMN('1.2 Ohjaus-laskentataulu'!AF:AF),FALSE),0)</f>
        <v>38557855</v>
      </c>
      <c r="P106" s="228">
        <f>IFERROR(Vertailu[[#This Row],[Rahoitus pl. hark. kor. 2023 ilman alv, €]]-Vertailu[[#This Row],[Rahoitus pl. hark. kor. 2022 ilman alv, €]],0)</f>
        <v>3115061</v>
      </c>
      <c r="Q106" s="230">
        <f>IFERROR(Vertailu[[#This Row],[Muutos, € 1]]/Vertailu[[#This Row],[Rahoitus pl. hark. kor. 2022 ilman alv, €]],0)</f>
        <v>8.788982606732415E-2</v>
      </c>
      <c r="R106" s="233">
        <f>IFERROR(VLOOKUP(Vertailu[[#This Row],[Y-tunnus]],'Suoritepäätös 2022 oikaistu'!$Q:$AC,COLUMN('Suoritepäätös 2022 oikaistu'!L:L),FALSE),0)</f>
        <v>35542794</v>
      </c>
      <c r="S106" s="234">
        <f>IFERROR(VLOOKUP(Vertailu[[#This Row],[Y-tunnus]],'1.2 Ohjaus-laskentataulu'!A:AU,COLUMN('1.2 Ohjaus-laskentataulu'!AS:AS),FALSE),0)</f>
        <v>38646855</v>
      </c>
      <c r="T106" s="228">
        <f>IFERROR(Vertailu[[#This Row],[Rahoitus ml. hark. kor. 
2023 ilman alv, €]]-Vertailu[[#This Row],[Rahoitus ml. hark. kor. 
2022 ilman alv, €]],0)</f>
        <v>3104061</v>
      </c>
      <c r="U106" s="232">
        <f>IFERROR(Vertailu[[#This Row],[Muutos, € 2]]/Vertailu[[#This Row],[Rahoitus ml. hark. kor. 
2022 ilman alv, €]],0)</f>
        <v>8.7333061098123013E-2</v>
      </c>
      <c r="V106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35542794</v>
      </c>
      <c r="W106" s="233">
        <f>IFERROR(VLOOKUP(Vertailu[[#This Row],[Y-tunnus]],'1.2 Ohjaus-laskentataulu'!A:AU,COLUMN('1.2 Ohjaus-laskentataulu'!AU:AU),FALSE),0)</f>
        <v>38646855</v>
      </c>
      <c r="X106" s="235">
        <f>IFERROR(Vertailu[[#This Row],[Rahoitus ml. hark. kor. + alv 2023, €]]-Vertailu[[#This Row],[Rahoitus ml. hark. kor. + alv 2022, €]],0)</f>
        <v>3104061</v>
      </c>
      <c r="Y106" s="230">
        <f>IFERROR(Vertailu[[#This Row],[Muutos, € 3]]/Vertailu[[#This Row],[Rahoitus ml. hark. kor. + alv 2022, €]],0)</f>
        <v>8.7333061098123013E-2</v>
      </c>
      <c r="Z106" s="228">
        <f>IFERROR(VLOOKUP(Vertailu[[#This Row],[Y-tunnus]],'Suoritepäätös 2022 oikaistu'!$B:$N,COLUMN('Suoritepäätös 2022 oikaistu'!G:G),FALSE),0)</f>
        <v>24934727</v>
      </c>
      <c r="AA106" s="228">
        <f>IFERROR(VLOOKUP(Vertailu[[#This Row],[Y-tunnus]],'1.2 Ohjaus-laskentataulu'!A:AU,COLUMN('1.2 Ohjaus-laskentataulu'!AP:AP),FALSE),0)</f>
        <v>26604475</v>
      </c>
      <c r="AB106" s="228">
        <f>Vertailu[[#This Row],[Perusrahoitus 2023, €]]-Vertailu[[#This Row],[Perusrahoitus 2022, €]]</f>
        <v>1669748</v>
      </c>
      <c r="AC106" s="230">
        <f>IFERROR(Vertailu[[#This Row],[Perusrahoituksen muutos, €]]/Vertailu[[#This Row],[Perusrahoitus 2022, €]],0)</f>
        <v>6.6964759630213713E-2</v>
      </c>
      <c r="AD106" s="228">
        <f>IFERROR(VLOOKUP(Vertailu[[#This Row],[Y-tunnus]],'Suoritepäätös 2022 oikaistu'!$B:$N,COLUMN('Suoritepäätös 2022 oikaistu'!M:M),FALSE),0)</f>
        <v>7374972</v>
      </c>
      <c r="AE106" s="228">
        <f>IFERROR(VLOOKUP(Vertailu[[#This Row],[Y-tunnus]],'1.2 Ohjaus-laskentataulu'!A:AU,COLUMN('1.2 Ohjaus-laskentataulu'!O:O),FALSE),0)</f>
        <v>8023017</v>
      </c>
      <c r="AF106" s="228">
        <f>Vertailu[[#This Row],[Suoritusrahoitus 2023, €]]-Vertailu[[#This Row],[Suoritusrahoitus 2022, €]]</f>
        <v>648045</v>
      </c>
      <c r="AG106" s="230">
        <f>IFERROR(Vertailu[[#This Row],[Suoritusrahoituksen muutos, €]]/Vertailu[[#This Row],[Suoritusrahoitus 2022, €]],0)</f>
        <v>8.7870842085908937E-2</v>
      </c>
      <c r="AH106" s="228">
        <f>IFERROR(VLOOKUP(Vertailu[[#This Row],[Y-tunnus]],'Suoritepäätös 2022 oikaistu'!$Q:$AC,COLUMN('Suoritepäätös 2022 oikaistu'!K:K),FALSE),0)</f>
        <v>3238095</v>
      </c>
      <c r="AI106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4019363</v>
      </c>
      <c r="AJ106" s="228">
        <f>Vertailu[[#This Row],[Vaikuttavuusrahoitus 2023, €]]-Vertailu[[#This Row],[Vaikuttavuusrahoitus 2022, €]]</f>
        <v>781268</v>
      </c>
      <c r="AK106" s="230">
        <f>IFERROR(Vertailu[[#This Row],[Vaikuttavuusrahoituksen muutos, €]]/Vertailu[[#This Row],[Vaikuttavuusrahoitus 2022, €]],0)</f>
        <v>0.24127395891720285</v>
      </c>
    </row>
    <row r="107" spans="1:37" s="5" customFormat="1" ht="12.75" customHeight="1" x14ac:dyDescent="0.35">
      <c r="A107" s="7" t="s">
        <v>229</v>
      </c>
      <c r="B107" s="188" t="s">
        <v>99</v>
      </c>
      <c r="C107" s="188" t="s">
        <v>224</v>
      </c>
      <c r="D107" s="11" t="s">
        <v>336</v>
      </c>
      <c r="E107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0.64137536790668481</v>
      </c>
      <c r="F107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0.64328087967569714</v>
      </c>
      <c r="G107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0.23962584133108381</v>
      </c>
      <c r="H107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0.11709327899321904</v>
      </c>
      <c r="I107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6.5997323899271598E-2</v>
      </c>
      <c r="J107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4.8457926490691385E-3</v>
      </c>
      <c r="K107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1.4954761245091878E-2</v>
      </c>
      <c r="L107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2.320799003950888E-2</v>
      </c>
      <c r="M107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8.0874111602775491E-3</v>
      </c>
      <c r="N107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23050403</v>
      </c>
      <c r="O107" s="228">
        <f>IFERROR(VLOOKUP(Vertailu[[#This Row],[Y-tunnus]],'1.2 Ohjaus-laskentataulu'!A:AU,COLUMN('1.2 Ohjaus-laskentataulu'!AF:AF),FALSE),0)</f>
        <v>26189670</v>
      </c>
      <c r="P107" s="228">
        <f>IFERROR(Vertailu[[#This Row],[Rahoitus pl. hark. kor. 2023 ilman alv, €]]-Vertailu[[#This Row],[Rahoitus pl. hark. kor. 2022 ilman alv, €]],0)</f>
        <v>3139267</v>
      </c>
      <c r="Q107" s="230">
        <f>IFERROR(Vertailu[[#This Row],[Muutos, € 1]]/Vertailu[[#This Row],[Rahoitus pl. hark. kor. 2022 ilman alv, €]],0)</f>
        <v>0.13619141496137832</v>
      </c>
      <c r="R107" s="233">
        <f>IFERROR(VLOOKUP(Vertailu[[#This Row],[Y-tunnus]],'Suoritepäätös 2022 oikaistu'!$Q:$AC,COLUMN('Suoritepäätös 2022 oikaistu'!L:L),FALSE),0)</f>
        <v>23080403</v>
      </c>
      <c r="S107" s="234">
        <f>IFERROR(VLOOKUP(Vertailu[[#This Row],[Y-tunnus]],'1.2 Ohjaus-laskentataulu'!A:AU,COLUMN('1.2 Ohjaus-laskentataulu'!AS:AS),FALSE),0)</f>
        <v>26239670</v>
      </c>
      <c r="T107" s="228">
        <f>IFERROR(Vertailu[[#This Row],[Rahoitus ml. hark. kor. 
2023 ilman alv, €]]-Vertailu[[#This Row],[Rahoitus ml. hark. kor. 
2022 ilman alv, €]],0)</f>
        <v>3159267</v>
      </c>
      <c r="U107" s="232">
        <f>IFERROR(Vertailu[[#This Row],[Muutos, € 2]]/Vertailu[[#This Row],[Rahoitus ml. hark. kor. 
2022 ilman alv, €]],0)</f>
        <v>0.13688092881220487</v>
      </c>
      <c r="V107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23080403</v>
      </c>
      <c r="W107" s="233">
        <f>IFERROR(VLOOKUP(Vertailu[[#This Row],[Y-tunnus]],'1.2 Ohjaus-laskentataulu'!A:AU,COLUMN('1.2 Ohjaus-laskentataulu'!AU:AU),FALSE),0)</f>
        <v>26239670</v>
      </c>
      <c r="X107" s="235">
        <f>IFERROR(Vertailu[[#This Row],[Rahoitus ml. hark. kor. + alv 2023, €]]-Vertailu[[#This Row],[Rahoitus ml. hark. kor. + alv 2022, €]],0)</f>
        <v>3159267</v>
      </c>
      <c r="Y107" s="230">
        <f>IFERROR(Vertailu[[#This Row],[Muutos, € 3]]/Vertailu[[#This Row],[Rahoitus ml. hark. kor. + alv 2022, €]],0)</f>
        <v>0.13688092881220487</v>
      </c>
      <c r="Z107" s="228">
        <f>IFERROR(VLOOKUP(Vertailu[[#This Row],[Y-tunnus]],'Suoritepäätös 2022 oikaistu'!$B:$N,COLUMN('Suoritepäätös 2022 oikaistu'!G:G),FALSE),0)</f>
        <v>15111477</v>
      </c>
      <c r="AA107" s="228">
        <f>IFERROR(VLOOKUP(Vertailu[[#This Row],[Y-tunnus]],'1.2 Ohjaus-laskentataulu'!A:AU,COLUMN('1.2 Ohjaus-laskentataulu'!AP:AP),FALSE),0)</f>
        <v>16879478</v>
      </c>
      <c r="AB107" s="228">
        <f>Vertailu[[#This Row],[Perusrahoitus 2023, €]]-Vertailu[[#This Row],[Perusrahoitus 2022, €]]</f>
        <v>1768001</v>
      </c>
      <c r="AC107" s="230">
        <f>IFERROR(Vertailu[[#This Row],[Perusrahoituksen muutos, €]]/Vertailu[[#This Row],[Perusrahoitus 2022, €]],0)</f>
        <v>0.11699723329493206</v>
      </c>
      <c r="AD107" s="228">
        <f>IFERROR(VLOOKUP(Vertailu[[#This Row],[Y-tunnus]],'Suoritepäätös 2022 oikaistu'!$B:$N,COLUMN('Suoritepäätös 2022 oikaistu'!M:M),FALSE),0)</f>
        <v>5518121</v>
      </c>
      <c r="AE107" s="228">
        <f>IFERROR(VLOOKUP(Vertailu[[#This Row],[Y-tunnus]],'1.2 Ohjaus-laskentataulu'!A:AU,COLUMN('1.2 Ohjaus-laskentataulu'!O:O),FALSE),0)</f>
        <v>6287703</v>
      </c>
      <c r="AF107" s="228">
        <f>Vertailu[[#This Row],[Suoritusrahoitus 2023, €]]-Vertailu[[#This Row],[Suoritusrahoitus 2022, €]]</f>
        <v>769582</v>
      </c>
      <c r="AG107" s="230">
        <f>IFERROR(Vertailu[[#This Row],[Suoritusrahoituksen muutos, €]]/Vertailu[[#This Row],[Suoritusrahoitus 2022, €]],0)</f>
        <v>0.13946450250003578</v>
      </c>
      <c r="AH107" s="228">
        <f>IFERROR(VLOOKUP(Vertailu[[#This Row],[Y-tunnus]],'Suoritepäätös 2022 oikaistu'!$Q:$AC,COLUMN('Suoritepäätös 2022 oikaistu'!K:K),FALSE),0)</f>
        <v>2450805</v>
      </c>
      <c r="AI107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3072489</v>
      </c>
      <c r="AJ107" s="228">
        <f>Vertailu[[#This Row],[Vaikuttavuusrahoitus 2023, €]]-Vertailu[[#This Row],[Vaikuttavuusrahoitus 2022, €]]</f>
        <v>621684</v>
      </c>
      <c r="AK107" s="230">
        <f>IFERROR(Vertailu[[#This Row],[Vaikuttavuusrahoituksen muutos, €]]/Vertailu[[#This Row],[Vaikuttavuusrahoitus 2022, €]],0)</f>
        <v>0.25366522428344973</v>
      </c>
    </row>
    <row r="108" spans="1:37" s="5" customFormat="1" ht="12.75" customHeight="1" x14ac:dyDescent="0.35">
      <c r="A108" s="7" t="s">
        <v>228</v>
      </c>
      <c r="B108" s="188" t="s">
        <v>100</v>
      </c>
      <c r="C108" s="188" t="s">
        <v>184</v>
      </c>
      <c r="D108" s="11" t="s">
        <v>336</v>
      </c>
      <c r="E108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0.68575782735987922</v>
      </c>
      <c r="F108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0.68765356758342644</v>
      </c>
      <c r="G108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0.19422543853715735</v>
      </c>
      <c r="H108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0.11812099387941623</v>
      </c>
      <c r="I108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7.6870152780656995E-2</v>
      </c>
      <c r="J108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5.2077071660643105E-3</v>
      </c>
      <c r="K108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1.275059335503583E-2</v>
      </c>
      <c r="L108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1.8182355261127416E-2</v>
      </c>
      <c r="M108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5.1101853165316678E-3</v>
      </c>
      <c r="N108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58877454</v>
      </c>
      <c r="O108" s="228">
        <f>IFERROR(VLOOKUP(Vertailu[[#This Row],[Y-tunnus]],'1.2 Ohjaus-laskentataulu'!A:AU,COLUMN('1.2 Ohjaus-laskentataulu'!AF:AF),FALSE),0)</f>
        <v>64232809</v>
      </c>
      <c r="P108" s="228">
        <f>IFERROR(Vertailu[[#This Row],[Rahoitus pl. hark. kor. 2023 ilman alv, €]]-Vertailu[[#This Row],[Rahoitus pl. hark. kor. 2022 ilman alv, €]],0)</f>
        <v>5355355</v>
      </c>
      <c r="Q108" s="230">
        <f>IFERROR(Vertailu[[#This Row],[Muutos, € 1]]/Vertailu[[#This Row],[Rahoitus pl. hark. kor. 2022 ilman alv, €]],0)</f>
        <v>9.0957652482731341E-2</v>
      </c>
      <c r="R108" s="233">
        <f>IFERROR(VLOOKUP(Vertailu[[#This Row],[Y-tunnus]],'Suoritepäätös 2022 oikaistu'!$Q:$AC,COLUMN('Suoritepäätös 2022 oikaistu'!L:L),FALSE),0)</f>
        <v>59002454</v>
      </c>
      <c r="S108" s="234">
        <f>IFERROR(VLOOKUP(Vertailu[[#This Row],[Y-tunnus]],'1.2 Ohjaus-laskentataulu'!A:AU,COLUMN('1.2 Ohjaus-laskentataulu'!AS:AS),FALSE),0)</f>
        <v>64354809</v>
      </c>
      <c r="T108" s="228">
        <f>IFERROR(Vertailu[[#This Row],[Rahoitus ml. hark. kor. 
2023 ilman alv, €]]-Vertailu[[#This Row],[Rahoitus ml. hark. kor. 
2022 ilman alv, €]],0)</f>
        <v>5352355</v>
      </c>
      <c r="U108" s="232">
        <f>IFERROR(Vertailu[[#This Row],[Muutos, € 2]]/Vertailu[[#This Row],[Rahoitus ml. hark. kor. 
2022 ilman alv, €]],0)</f>
        <v>9.071410826403932E-2</v>
      </c>
      <c r="V108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59002454</v>
      </c>
      <c r="W108" s="233">
        <f>IFERROR(VLOOKUP(Vertailu[[#This Row],[Y-tunnus]],'1.2 Ohjaus-laskentataulu'!A:AU,COLUMN('1.2 Ohjaus-laskentataulu'!AU:AU),FALSE),0)</f>
        <v>64354809</v>
      </c>
      <c r="X108" s="235">
        <f>IFERROR(Vertailu[[#This Row],[Rahoitus ml. hark. kor. + alv 2023, €]]-Vertailu[[#This Row],[Rahoitus ml. hark. kor. + alv 2022, €]],0)</f>
        <v>5352355</v>
      </c>
      <c r="Y108" s="230">
        <f>IFERROR(Vertailu[[#This Row],[Muutos, € 3]]/Vertailu[[#This Row],[Rahoitus ml. hark. kor. + alv 2022, €]],0)</f>
        <v>9.071410826403932E-2</v>
      </c>
      <c r="Z108" s="228">
        <f>IFERROR(VLOOKUP(Vertailu[[#This Row],[Y-tunnus]],'Suoritepäätös 2022 oikaistu'!$B:$N,COLUMN('Suoritepäätös 2022 oikaistu'!G:G),FALSE),0)</f>
        <v>40653110</v>
      </c>
      <c r="AA108" s="228">
        <f>IFERROR(VLOOKUP(Vertailu[[#This Row],[Y-tunnus]],'1.2 Ohjaus-laskentataulu'!A:AU,COLUMN('1.2 Ohjaus-laskentataulu'!AP:AP),FALSE),0)</f>
        <v>44253814</v>
      </c>
      <c r="AB108" s="228">
        <f>Vertailu[[#This Row],[Perusrahoitus 2023, €]]-Vertailu[[#This Row],[Perusrahoitus 2022, €]]</f>
        <v>3600704</v>
      </c>
      <c r="AC108" s="230">
        <f>IFERROR(Vertailu[[#This Row],[Perusrahoituksen muutos, €]]/Vertailu[[#This Row],[Perusrahoitus 2022, €]],0)</f>
        <v>8.8571427868618172E-2</v>
      </c>
      <c r="AD108" s="228">
        <f>IFERROR(VLOOKUP(Vertailu[[#This Row],[Y-tunnus]],'Suoritepäätös 2022 oikaistu'!$B:$N,COLUMN('Suoritepäätös 2022 oikaistu'!M:M),FALSE),0)</f>
        <v>11794847</v>
      </c>
      <c r="AE108" s="228">
        <f>IFERROR(VLOOKUP(Vertailu[[#This Row],[Y-tunnus]],'1.2 Ohjaus-laskentataulu'!A:AU,COLUMN('1.2 Ohjaus-laskentataulu'!O:O),FALSE),0)</f>
        <v>12499341</v>
      </c>
      <c r="AF108" s="228">
        <f>Vertailu[[#This Row],[Suoritusrahoitus 2023, €]]-Vertailu[[#This Row],[Suoritusrahoitus 2022, €]]</f>
        <v>704494</v>
      </c>
      <c r="AG108" s="230">
        <f>IFERROR(Vertailu[[#This Row],[Suoritusrahoituksen muutos, €]]/Vertailu[[#This Row],[Suoritusrahoitus 2022, €]],0)</f>
        <v>5.9728964691106209E-2</v>
      </c>
      <c r="AH108" s="228">
        <f>IFERROR(VLOOKUP(Vertailu[[#This Row],[Y-tunnus]],'Suoritepäätös 2022 oikaistu'!$Q:$AC,COLUMN('Suoritepäätös 2022 oikaistu'!K:K),FALSE),0)</f>
        <v>6559497</v>
      </c>
      <c r="AI108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7601654</v>
      </c>
      <c r="AJ108" s="228">
        <f>Vertailu[[#This Row],[Vaikuttavuusrahoitus 2023, €]]-Vertailu[[#This Row],[Vaikuttavuusrahoitus 2022, €]]</f>
        <v>1042157</v>
      </c>
      <c r="AK108" s="230">
        <f>IFERROR(Vertailu[[#This Row],[Vaikuttavuusrahoituksen muutos, €]]/Vertailu[[#This Row],[Vaikuttavuusrahoitus 2022, €]],0)</f>
        <v>0.15887757857043003</v>
      </c>
    </row>
    <row r="109" spans="1:37" s="5" customFormat="1" ht="12.75" customHeight="1" x14ac:dyDescent="0.35">
      <c r="A109" s="7" t="s">
        <v>227</v>
      </c>
      <c r="B109" s="188" t="s">
        <v>101</v>
      </c>
      <c r="C109" s="188" t="s">
        <v>209</v>
      </c>
      <c r="D109" s="11" t="s">
        <v>336</v>
      </c>
      <c r="E109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0.68515878468894931</v>
      </c>
      <c r="F109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0.68587465504722656</v>
      </c>
      <c r="G109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0.20773157013045249</v>
      </c>
      <c r="H109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0.10639377482232097</v>
      </c>
      <c r="I109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7.4469652282032187E-2</v>
      </c>
      <c r="J109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3.9692689624770943E-3</v>
      </c>
      <c r="K109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1.1574249996169126E-2</v>
      </c>
      <c r="L109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1.2383280240260022E-2</v>
      </c>
      <c r="M109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3.9973233413825538E-3</v>
      </c>
      <c r="N109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48705321</v>
      </c>
      <c r="O109" s="228">
        <f>IFERROR(VLOOKUP(Vertailu[[#This Row],[Y-tunnus]],'1.2 Ohjaus-laskentataulu'!A:AU,COLUMN('1.2 Ohjaus-laskentataulu'!AF:AF),FALSE),0)</f>
        <v>51648336</v>
      </c>
      <c r="P109" s="228">
        <f>IFERROR(Vertailu[[#This Row],[Rahoitus pl. hark. kor. 2023 ilman alv, €]]-Vertailu[[#This Row],[Rahoitus pl. hark. kor. 2022 ilman alv, €]],0)</f>
        <v>2943015</v>
      </c>
      <c r="Q109" s="230">
        <f>IFERROR(Vertailu[[#This Row],[Muutos, € 1]]/Vertailu[[#This Row],[Rahoitus pl. hark. kor. 2022 ilman alv, €]],0)</f>
        <v>6.042491743355926E-2</v>
      </c>
      <c r="R109" s="233">
        <f>IFERROR(VLOOKUP(Vertailu[[#This Row],[Y-tunnus]],'Suoritepäätös 2022 oikaistu'!$Q:$AC,COLUMN('Suoritepäätös 2022 oikaistu'!L:L),FALSE),0)</f>
        <v>48760321</v>
      </c>
      <c r="S109" s="234">
        <f>IFERROR(VLOOKUP(Vertailu[[#This Row],[Y-tunnus]],'1.2 Ohjaus-laskentataulu'!A:AU,COLUMN('1.2 Ohjaus-laskentataulu'!AS:AS),FALSE),0)</f>
        <v>51685336</v>
      </c>
      <c r="T109" s="228">
        <f>IFERROR(Vertailu[[#This Row],[Rahoitus ml. hark. kor. 
2023 ilman alv, €]]-Vertailu[[#This Row],[Rahoitus ml. hark. kor. 
2022 ilman alv, €]],0)</f>
        <v>2925015</v>
      </c>
      <c r="U109" s="232">
        <f>IFERROR(Vertailu[[#This Row],[Muutos, € 2]]/Vertailu[[#This Row],[Rahoitus ml. hark. kor. 
2022 ilman alv, €]],0)</f>
        <v>5.9987607546718162E-2</v>
      </c>
      <c r="V109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48760321</v>
      </c>
      <c r="W109" s="233">
        <f>IFERROR(VLOOKUP(Vertailu[[#This Row],[Y-tunnus]],'1.2 Ohjaus-laskentataulu'!A:AU,COLUMN('1.2 Ohjaus-laskentataulu'!AU:AU),FALSE),0)</f>
        <v>51685336</v>
      </c>
      <c r="X109" s="235">
        <f>IFERROR(Vertailu[[#This Row],[Rahoitus ml. hark. kor. + alv 2023, €]]-Vertailu[[#This Row],[Rahoitus ml. hark. kor. + alv 2022, €]],0)</f>
        <v>2925015</v>
      </c>
      <c r="Y109" s="230">
        <f>IFERROR(Vertailu[[#This Row],[Muutos, € 3]]/Vertailu[[#This Row],[Rahoitus ml. hark. kor. + alv 2022, €]],0)</f>
        <v>5.9987607546718162E-2</v>
      </c>
      <c r="Z109" s="228">
        <f>IFERROR(VLOOKUP(Vertailu[[#This Row],[Y-tunnus]],'Suoritepäätös 2022 oikaistu'!$B:$N,COLUMN('Suoritepäätös 2022 oikaistu'!G:G),FALSE),0)</f>
        <v>33252447</v>
      </c>
      <c r="AA109" s="228">
        <f>IFERROR(VLOOKUP(Vertailu[[#This Row],[Y-tunnus]],'1.2 Ohjaus-laskentataulu'!A:AU,COLUMN('1.2 Ohjaus-laskentataulu'!AP:AP),FALSE),0)</f>
        <v>35449662</v>
      </c>
      <c r="AB109" s="228">
        <f>Vertailu[[#This Row],[Perusrahoitus 2023, €]]-Vertailu[[#This Row],[Perusrahoitus 2022, €]]</f>
        <v>2197215</v>
      </c>
      <c r="AC109" s="230">
        <f>IFERROR(Vertailu[[#This Row],[Perusrahoituksen muutos, €]]/Vertailu[[#This Row],[Perusrahoitus 2022, €]],0)</f>
        <v>6.607679128095445E-2</v>
      </c>
      <c r="AD109" s="228">
        <f>IFERROR(VLOOKUP(Vertailu[[#This Row],[Y-tunnus]],'Suoritepäätös 2022 oikaistu'!$B:$N,COLUMN('Suoritepäätös 2022 oikaistu'!M:M),FALSE),0)</f>
        <v>10170087</v>
      </c>
      <c r="AE109" s="228">
        <f>IFERROR(VLOOKUP(Vertailu[[#This Row],[Y-tunnus]],'1.2 Ohjaus-laskentataulu'!A:AU,COLUMN('1.2 Ohjaus-laskentataulu'!O:O),FALSE),0)</f>
        <v>10736676</v>
      </c>
      <c r="AF109" s="228">
        <f>Vertailu[[#This Row],[Suoritusrahoitus 2023, €]]-Vertailu[[#This Row],[Suoritusrahoitus 2022, €]]</f>
        <v>566589</v>
      </c>
      <c r="AG109" s="230">
        <f>IFERROR(Vertailu[[#This Row],[Suoritusrahoituksen muutos, €]]/Vertailu[[#This Row],[Suoritusrahoitus 2022, €]],0)</f>
        <v>5.5711322823492074E-2</v>
      </c>
      <c r="AH109" s="228">
        <f>IFERROR(VLOOKUP(Vertailu[[#This Row],[Y-tunnus]],'Suoritepäätös 2022 oikaistu'!$Q:$AC,COLUMN('Suoritepäätös 2022 oikaistu'!K:K),FALSE),0)</f>
        <v>5337787</v>
      </c>
      <c r="AI109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5498998</v>
      </c>
      <c r="AJ109" s="228">
        <f>Vertailu[[#This Row],[Vaikuttavuusrahoitus 2023, €]]-Vertailu[[#This Row],[Vaikuttavuusrahoitus 2022, €]]</f>
        <v>161211</v>
      </c>
      <c r="AK109" s="230">
        <f>IFERROR(Vertailu[[#This Row],[Vaikuttavuusrahoituksen muutos, €]]/Vertailu[[#This Row],[Vaikuttavuusrahoitus 2022, €]],0)</f>
        <v>3.0201842074252871E-2</v>
      </c>
    </row>
    <row r="110" spans="1:37" s="5" customFormat="1" ht="12.75" customHeight="1" x14ac:dyDescent="0.35">
      <c r="A110" s="7" t="s">
        <v>226</v>
      </c>
      <c r="B110" s="188" t="s">
        <v>102</v>
      </c>
      <c r="C110" s="188" t="s">
        <v>180</v>
      </c>
      <c r="D110" s="11" t="s">
        <v>337</v>
      </c>
      <c r="E110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0.67343672192403559</v>
      </c>
      <c r="F110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0.67615103433829238</v>
      </c>
      <c r="G110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0.20348851186658612</v>
      </c>
      <c r="H110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0.12036045379512146</v>
      </c>
      <c r="I110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8.1766334925988463E-2</v>
      </c>
      <c r="J110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4.6853771545716473E-3</v>
      </c>
      <c r="K110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1.3951048797391572E-2</v>
      </c>
      <c r="L110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1.250630215949834E-2</v>
      </c>
      <c r="M110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7.4513907576714443E-3</v>
      </c>
      <c r="N110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20640903</v>
      </c>
      <c r="O110" s="228">
        <f>IFERROR(VLOOKUP(Vertailu[[#This Row],[Y-tunnus]],'1.2 Ohjaus-laskentataulu'!A:AU,COLUMN('1.2 Ohjaus-laskentataulu'!AF:AF),FALSE),0)</f>
        <v>23147298</v>
      </c>
      <c r="P110" s="228">
        <f>IFERROR(Vertailu[[#This Row],[Rahoitus pl. hark. kor. 2023 ilman alv, €]]-Vertailu[[#This Row],[Rahoitus pl. hark. kor. 2022 ilman alv, €]],0)</f>
        <v>2506395</v>
      </c>
      <c r="Q110" s="230">
        <f>IFERROR(Vertailu[[#This Row],[Muutos, € 1]]/Vertailu[[#This Row],[Rahoitus pl. hark. kor. 2022 ilman alv, €]],0)</f>
        <v>0.12142855377984189</v>
      </c>
      <c r="R110" s="233">
        <f>IFERROR(VLOOKUP(Vertailu[[#This Row],[Y-tunnus]],'Suoritepäätös 2022 oikaistu'!$Q:$AC,COLUMN('Suoritepäätös 2022 oikaistu'!L:L),FALSE),0)</f>
        <v>20704903</v>
      </c>
      <c r="S110" s="234">
        <f>IFERROR(VLOOKUP(Vertailu[[#This Row],[Y-tunnus]],'1.2 Ohjaus-laskentataulu'!A:AU,COLUMN('1.2 Ohjaus-laskentataulu'!AS:AS),FALSE),0)</f>
        <v>23210298</v>
      </c>
      <c r="T110" s="228">
        <f>IFERROR(Vertailu[[#This Row],[Rahoitus ml. hark. kor. 
2023 ilman alv, €]]-Vertailu[[#This Row],[Rahoitus ml. hark. kor. 
2022 ilman alv, €]],0)</f>
        <v>2505395</v>
      </c>
      <c r="U110" s="232">
        <f>IFERROR(Vertailu[[#This Row],[Muutos, € 2]]/Vertailu[[#This Row],[Rahoitus ml. hark. kor. 
2022 ilman alv, €]],0)</f>
        <v>0.12100491366706717</v>
      </c>
      <c r="V110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21455125</v>
      </c>
      <c r="W110" s="233">
        <f>IFERROR(VLOOKUP(Vertailu[[#This Row],[Y-tunnus]],'1.2 Ohjaus-laskentataulu'!A:AU,COLUMN('1.2 Ohjaus-laskentataulu'!AU:AU),FALSE),0)</f>
        <v>23934132</v>
      </c>
      <c r="X110" s="235">
        <f>IFERROR(Vertailu[[#This Row],[Rahoitus ml. hark. kor. + alv 2023, €]]-Vertailu[[#This Row],[Rahoitus ml. hark. kor. + alv 2022, €]],0)</f>
        <v>2479007</v>
      </c>
      <c r="Y110" s="230">
        <f>IFERROR(Vertailu[[#This Row],[Muutos, € 3]]/Vertailu[[#This Row],[Rahoitus ml. hark. kor. + alv 2022, €]],0)</f>
        <v>0.11554381528888785</v>
      </c>
      <c r="Z110" s="228">
        <f>IFERROR(VLOOKUP(Vertailu[[#This Row],[Y-tunnus]],'Suoritepäätös 2022 oikaistu'!$B:$N,COLUMN('Suoritepäätös 2022 oikaistu'!G:G),FALSE),0)</f>
        <v>14257541</v>
      </c>
      <c r="AA110" s="228">
        <f>IFERROR(VLOOKUP(Vertailu[[#This Row],[Y-tunnus]],'1.2 Ohjaus-laskentataulu'!A:AU,COLUMN('1.2 Ohjaus-laskentataulu'!AP:AP),FALSE),0)</f>
        <v>15693667</v>
      </c>
      <c r="AB110" s="228">
        <f>Vertailu[[#This Row],[Perusrahoitus 2023, €]]-Vertailu[[#This Row],[Perusrahoitus 2022, €]]</f>
        <v>1436126</v>
      </c>
      <c r="AC110" s="230">
        <f>IFERROR(Vertailu[[#This Row],[Perusrahoituksen muutos, €]]/Vertailu[[#This Row],[Perusrahoitus 2022, €]],0)</f>
        <v>0.10072746766079789</v>
      </c>
      <c r="AD110" s="228">
        <f>IFERROR(VLOOKUP(Vertailu[[#This Row],[Y-tunnus]],'Suoritepäätös 2022 oikaistu'!$B:$N,COLUMN('Suoritepäätös 2022 oikaistu'!M:M),FALSE),0)</f>
        <v>4054571</v>
      </c>
      <c r="AE110" s="228">
        <f>IFERROR(VLOOKUP(Vertailu[[#This Row],[Y-tunnus]],'1.2 Ohjaus-laskentataulu'!A:AU,COLUMN('1.2 Ohjaus-laskentataulu'!O:O),FALSE),0)</f>
        <v>4723029</v>
      </c>
      <c r="AF110" s="228">
        <f>Vertailu[[#This Row],[Suoritusrahoitus 2023, €]]-Vertailu[[#This Row],[Suoritusrahoitus 2022, €]]</f>
        <v>668458</v>
      </c>
      <c r="AG110" s="230">
        <f>IFERROR(Vertailu[[#This Row],[Suoritusrahoituksen muutos, €]]/Vertailu[[#This Row],[Suoritusrahoitus 2022, €]],0)</f>
        <v>0.16486528414473442</v>
      </c>
      <c r="AH110" s="228">
        <f>IFERROR(VLOOKUP(Vertailu[[#This Row],[Y-tunnus]],'Suoritepäätös 2022 oikaistu'!$Q:$AC,COLUMN('Suoritepäätös 2022 oikaistu'!K:K),FALSE),0)</f>
        <v>2392791</v>
      </c>
      <c r="AI110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2793602</v>
      </c>
      <c r="AJ110" s="228">
        <f>Vertailu[[#This Row],[Vaikuttavuusrahoitus 2023, €]]-Vertailu[[#This Row],[Vaikuttavuusrahoitus 2022, €]]</f>
        <v>400811</v>
      </c>
      <c r="AK110" s="230">
        <f>IFERROR(Vertailu[[#This Row],[Vaikuttavuusrahoituksen muutos, €]]/Vertailu[[#This Row],[Vaikuttavuusrahoitus 2022, €]],0)</f>
        <v>0.16750773469141267</v>
      </c>
    </row>
    <row r="111" spans="1:37" s="5" customFormat="1" ht="12.75" customHeight="1" x14ac:dyDescent="0.35">
      <c r="A111" s="7" t="s">
        <v>225</v>
      </c>
      <c r="B111" s="188" t="s">
        <v>151</v>
      </c>
      <c r="C111" s="188" t="s">
        <v>224</v>
      </c>
      <c r="D111" s="11" t="s">
        <v>337</v>
      </c>
      <c r="E111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5.1882789169367061E-2</v>
      </c>
      <c r="F111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1</v>
      </c>
      <c r="G111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</v>
      </c>
      <c r="H111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0</v>
      </c>
      <c r="I111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0</v>
      </c>
      <c r="J111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0</v>
      </c>
      <c r="K111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0</v>
      </c>
      <c r="L111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0</v>
      </c>
      <c r="M111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0</v>
      </c>
      <c r="N111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378014</v>
      </c>
      <c r="O111" s="228">
        <f>IFERROR(VLOOKUP(Vertailu[[#This Row],[Y-tunnus]],'1.2 Ohjaus-laskentataulu'!A:AU,COLUMN('1.2 Ohjaus-laskentataulu'!AF:AF),FALSE),0)</f>
        <v>365816</v>
      </c>
      <c r="P111" s="228">
        <f>IFERROR(Vertailu[[#This Row],[Rahoitus pl. hark. kor. 2023 ilman alv, €]]-Vertailu[[#This Row],[Rahoitus pl. hark. kor. 2022 ilman alv, €]],0)</f>
        <v>-12198</v>
      </c>
      <c r="Q111" s="230">
        <f>IFERROR(Vertailu[[#This Row],[Muutos, € 1]]/Vertailu[[#This Row],[Rahoitus pl. hark. kor. 2022 ilman alv, €]],0)</f>
        <v>-3.2268646134799239E-2</v>
      </c>
      <c r="R111" s="233">
        <f>IFERROR(VLOOKUP(Vertailu[[#This Row],[Y-tunnus]],'Suoritepäätös 2022 oikaistu'!$Q:$AC,COLUMN('Suoritepäätös 2022 oikaistu'!L:L),FALSE),0)</f>
        <v>6263014</v>
      </c>
      <c r="S111" s="234">
        <f>IFERROR(VLOOKUP(Vertailu[[#This Row],[Y-tunnus]],'1.2 Ohjaus-laskentataulu'!A:AU,COLUMN('1.2 Ohjaus-laskentataulu'!AS:AS),FALSE),0)</f>
        <v>7050816</v>
      </c>
      <c r="T111" s="228">
        <f>IFERROR(Vertailu[[#This Row],[Rahoitus ml. hark. kor. 
2023 ilman alv, €]]-Vertailu[[#This Row],[Rahoitus ml. hark. kor. 
2022 ilman alv, €]],0)</f>
        <v>787802</v>
      </c>
      <c r="U111" s="232">
        <f>IFERROR(Vertailu[[#This Row],[Muutos, € 2]]/Vertailu[[#This Row],[Rahoitus ml. hark. kor. 
2022 ilman alv, €]],0)</f>
        <v>0.12578640252121423</v>
      </c>
      <c r="V111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7147693</v>
      </c>
      <c r="W111" s="233">
        <f>IFERROR(VLOOKUP(Vertailu[[#This Row],[Y-tunnus]],'1.2 Ohjaus-laskentataulu'!A:AU,COLUMN('1.2 Ohjaus-laskentataulu'!AU:AU),FALSE),0)</f>
        <v>7886481</v>
      </c>
      <c r="X111" s="235">
        <f>IFERROR(Vertailu[[#This Row],[Rahoitus ml. hark. kor. + alv 2023, €]]-Vertailu[[#This Row],[Rahoitus ml. hark. kor. + alv 2022, €]],0)</f>
        <v>738788</v>
      </c>
      <c r="Y111" s="230">
        <f>IFERROR(Vertailu[[#This Row],[Muutos, € 3]]/Vertailu[[#This Row],[Rahoitus ml. hark. kor. + alv 2022, €]],0)</f>
        <v>0.10336034298059528</v>
      </c>
      <c r="Z111" s="228">
        <f>IFERROR(VLOOKUP(Vertailu[[#This Row],[Y-tunnus]],'Suoritepäätös 2022 oikaistu'!$B:$N,COLUMN('Suoritepäätös 2022 oikaistu'!G:G),FALSE),0)</f>
        <v>6263014</v>
      </c>
      <c r="AA111" s="228">
        <f>IFERROR(VLOOKUP(Vertailu[[#This Row],[Y-tunnus]],'1.2 Ohjaus-laskentataulu'!A:AU,COLUMN('1.2 Ohjaus-laskentataulu'!AP:AP),FALSE),0)</f>
        <v>7050816</v>
      </c>
      <c r="AB111" s="228">
        <f>Vertailu[[#This Row],[Perusrahoitus 2023, €]]-Vertailu[[#This Row],[Perusrahoitus 2022, €]]</f>
        <v>787802</v>
      </c>
      <c r="AC111" s="230">
        <f>IFERROR(Vertailu[[#This Row],[Perusrahoituksen muutos, €]]/Vertailu[[#This Row],[Perusrahoitus 2022, €]],0)</f>
        <v>0.12578640252121423</v>
      </c>
      <c r="AD111" s="228">
        <f>IFERROR(VLOOKUP(Vertailu[[#This Row],[Y-tunnus]],'Suoritepäätös 2022 oikaistu'!$B:$N,COLUMN('Suoritepäätös 2022 oikaistu'!M:M),FALSE),0)</f>
        <v>0</v>
      </c>
      <c r="AE111" s="228">
        <f>IFERROR(VLOOKUP(Vertailu[[#This Row],[Y-tunnus]],'1.2 Ohjaus-laskentataulu'!A:AU,COLUMN('1.2 Ohjaus-laskentataulu'!O:O),FALSE),0)</f>
        <v>0</v>
      </c>
      <c r="AF111" s="228">
        <f>Vertailu[[#This Row],[Suoritusrahoitus 2023, €]]-Vertailu[[#This Row],[Suoritusrahoitus 2022, €]]</f>
        <v>0</v>
      </c>
      <c r="AG111" s="230">
        <f>IFERROR(Vertailu[[#This Row],[Suoritusrahoituksen muutos, €]]/Vertailu[[#This Row],[Suoritusrahoitus 2022, €]],0)</f>
        <v>0</v>
      </c>
      <c r="AH111" s="228">
        <f>IFERROR(VLOOKUP(Vertailu[[#This Row],[Y-tunnus]],'Suoritepäätös 2022 oikaistu'!$Q:$AC,COLUMN('Suoritepäätös 2022 oikaistu'!K:K),FALSE),0)</f>
        <v>0</v>
      </c>
      <c r="AI111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0</v>
      </c>
      <c r="AJ111" s="228">
        <f>Vertailu[[#This Row],[Vaikuttavuusrahoitus 2023, €]]-Vertailu[[#This Row],[Vaikuttavuusrahoitus 2022, €]]</f>
        <v>0</v>
      </c>
      <c r="AK111" s="230">
        <f>IFERROR(Vertailu[[#This Row],[Vaikuttavuusrahoituksen muutos, €]]/Vertailu[[#This Row],[Vaikuttavuusrahoitus 2022, €]],0)</f>
        <v>0</v>
      </c>
    </row>
    <row r="112" spans="1:37" s="5" customFormat="1" ht="12.75" customHeight="1" x14ac:dyDescent="0.35">
      <c r="A112" s="7" t="s">
        <v>223</v>
      </c>
      <c r="B112" s="188" t="s">
        <v>103</v>
      </c>
      <c r="C112" s="188" t="s">
        <v>180</v>
      </c>
      <c r="D112" s="11" t="s">
        <v>337</v>
      </c>
      <c r="E112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0.36549422221559963</v>
      </c>
      <c r="F112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0.81251816034748658</v>
      </c>
      <c r="G112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0.10833625140626281</v>
      </c>
      <c r="H112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7.9145588246250592E-2</v>
      </c>
      <c r="I112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7.4844845441473393E-2</v>
      </c>
      <c r="J112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1.4528277989286325E-3</v>
      </c>
      <c r="K112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2.8479150058485633E-3</v>
      </c>
      <c r="L112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0</v>
      </c>
      <c r="M112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0</v>
      </c>
      <c r="N112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300649</v>
      </c>
      <c r="O112" s="228">
        <f>IFERROR(VLOOKUP(Vertailu[[#This Row],[Y-tunnus]],'1.2 Ohjaus-laskentataulu'!A:AU,COLUMN('1.2 Ohjaus-laskentataulu'!AF:AF),FALSE),0)</f>
        <v>296884</v>
      </c>
      <c r="P112" s="228">
        <f>IFERROR(Vertailu[[#This Row],[Rahoitus pl. hark. kor. 2023 ilman alv, €]]-Vertailu[[#This Row],[Rahoitus pl. hark. kor. 2022 ilman alv, €]],0)</f>
        <v>-3765</v>
      </c>
      <c r="Q112" s="230">
        <f>IFERROR(Vertailu[[#This Row],[Muutos, € 1]]/Vertailu[[#This Row],[Rahoitus pl. hark. kor. 2022 ilman alv, €]],0)</f>
        <v>-1.2522908774018873E-2</v>
      </c>
      <c r="R112" s="233">
        <f>IFERROR(VLOOKUP(Vertailu[[#This Row],[Y-tunnus]],'Suoritepäätös 2022 oikaistu'!$Q:$AC,COLUMN('Suoritepäätös 2022 oikaistu'!L:L),FALSE),0)</f>
        <v>570649</v>
      </c>
      <c r="S112" s="234">
        <f>IFERROR(VLOOKUP(Vertailu[[#This Row],[Y-tunnus]],'1.2 Ohjaus-laskentataulu'!A:AU,COLUMN('1.2 Ohjaus-laskentataulu'!AS:AS),FALSE),0)</f>
        <v>536884</v>
      </c>
      <c r="T112" s="228">
        <f>IFERROR(Vertailu[[#This Row],[Rahoitus ml. hark. kor. 
2023 ilman alv, €]]-Vertailu[[#This Row],[Rahoitus ml. hark. kor. 
2022 ilman alv, €]],0)</f>
        <v>-33765</v>
      </c>
      <c r="U112" s="232">
        <f>IFERROR(Vertailu[[#This Row],[Muutos, € 2]]/Vertailu[[#This Row],[Rahoitus ml. hark. kor. 
2022 ilman alv, €]],0)</f>
        <v>-5.9169471952110669E-2</v>
      </c>
      <c r="V112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618373</v>
      </c>
      <c r="W112" s="233">
        <f>IFERROR(VLOOKUP(Vertailu[[#This Row],[Y-tunnus]],'1.2 Ohjaus-laskentataulu'!A:AU,COLUMN('1.2 Ohjaus-laskentataulu'!AU:AU),FALSE),0)</f>
        <v>590768</v>
      </c>
      <c r="X112" s="235">
        <f>IFERROR(Vertailu[[#This Row],[Rahoitus ml. hark. kor. + alv 2023, €]]-Vertailu[[#This Row],[Rahoitus ml. hark. kor. + alv 2022, €]],0)</f>
        <v>-27605</v>
      </c>
      <c r="Y112" s="230">
        <f>IFERROR(Vertailu[[#This Row],[Muutos, € 3]]/Vertailu[[#This Row],[Rahoitus ml. hark. kor. + alv 2022, €]],0)</f>
        <v>-4.4641341067608059E-2</v>
      </c>
      <c r="Z112" s="228">
        <f>IFERROR(VLOOKUP(Vertailu[[#This Row],[Y-tunnus]],'Suoritepäätös 2022 oikaistu'!$B:$N,COLUMN('Suoritepäätös 2022 oikaistu'!G:G),FALSE),0)</f>
        <v>451984</v>
      </c>
      <c r="AA112" s="228">
        <f>IFERROR(VLOOKUP(Vertailu[[#This Row],[Y-tunnus]],'1.2 Ohjaus-laskentataulu'!A:AU,COLUMN('1.2 Ohjaus-laskentataulu'!AP:AP),FALSE),0)</f>
        <v>436228</v>
      </c>
      <c r="AB112" s="228">
        <f>Vertailu[[#This Row],[Perusrahoitus 2023, €]]-Vertailu[[#This Row],[Perusrahoitus 2022, €]]</f>
        <v>-15756</v>
      </c>
      <c r="AC112" s="230">
        <f>IFERROR(Vertailu[[#This Row],[Perusrahoituksen muutos, €]]/Vertailu[[#This Row],[Perusrahoitus 2022, €]],0)</f>
        <v>-3.4859641049240678E-2</v>
      </c>
      <c r="AD112" s="228">
        <f>IFERROR(VLOOKUP(Vertailu[[#This Row],[Y-tunnus]],'Suoritepäätös 2022 oikaistu'!$B:$N,COLUMN('Suoritepäätös 2022 oikaistu'!M:M),FALSE),0)</f>
        <v>87408</v>
      </c>
      <c r="AE112" s="228">
        <f>IFERROR(VLOOKUP(Vertailu[[#This Row],[Y-tunnus]],'1.2 Ohjaus-laskentataulu'!A:AU,COLUMN('1.2 Ohjaus-laskentataulu'!O:O),FALSE),0)</f>
        <v>58164</v>
      </c>
      <c r="AF112" s="228">
        <f>Vertailu[[#This Row],[Suoritusrahoitus 2023, €]]-Vertailu[[#This Row],[Suoritusrahoitus 2022, €]]</f>
        <v>-29244</v>
      </c>
      <c r="AG112" s="230">
        <f>IFERROR(Vertailu[[#This Row],[Suoritusrahoituksen muutos, €]]/Vertailu[[#This Row],[Suoritusrahoitus 2022, €]],0)</f>
        <v>-0.33456891817682594</v>
      </c>
      <c r="AH112" s="228">
        <f>IFERROR(VLOOKUP(Vertailu[[#This Row],[Y-tunnus]],'Suoritepäätös 2022 oikaistu'!$Q:$AC,COLUMN('Suoritepäätös 2022 oikaistu'!K:K),FALSE),0)</f>
        <v>31257</v>
      </c>
      <c r="AI112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42492</v>
      </c>
      <c r="AJ112" s="228">
        <f>Vertailu[[#This Row],[Vaikuttavuusrahoitus 2023, €]]-Vertailu[[#This Row],[Vaikuttavuusrahoitus 2022, €]]</f>
        <v>11235</v>
      </c>
      <c r="AK112" s="230">
        <f>IFERROR(Vertailu[[#This Row],[Vaikuttavuusrahoituksen muutos, €]]/Vertailu[[#This Row],[Vaikuttavuusrahoitus 2022, €]],0)</f>
        <v>0.35943948555523564</v>
      </c>
    </row>
    <row r="113" spans="1:37" s="5" customFormat="1" ht="12.75" customHeight="1" x14ac:dyDescent="0.35">
      <c r="A113" s="7" t="s">
        <v>222</v>
      </c>
      <c r="B113" s="188" t="s">
        <v>133</v>
      </c>
      <c r="C113" s="188" t="s">
        <v>180</v>
      </c>
      <c r="D113" s="11" t="s">
        <v>337</v>
      </c>
      <c r="E113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0.59539467915329436</v>
      </c>
      <c r="F113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0.59539467915329436</v>
      </c>
      <c r="G113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0.25045158801143436</v>
      </c>
      <c r="H113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0.15415373283527123</v>
      </c>
      <c r="I113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0.10151084688097367</v>
      </c>
      <c r="J113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1.3087283632345978E-2</v>
      </c>
      <c r="K113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3.6293646200522611E-2</v>
      </c>
      <c r="L113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1.3021518387962329E-3</v>
      </c>
      <c r="M113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1.9598042826327144E-3</v>
      </c>
      <c r="N113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205536</v>
      </c>
      <c r="O113" s="228">
        <f>IFERROR(VLOOKUP(Vertailu[[#This Row],[Y-tunnus]],'1.2 Ohjaus-laskentataulu'!A:AU,COLUMN('1.2 Ohjaus-laskentataulu'!AF:AF),FALSE),0)</f>
        <v>228084</v>
      </c>
      <c r="P113" s="228">
        <f>IFERROR(Vertailu[[#This Row],[Rahoitus pl. hark. kor. 2023 ilman alv, €]]-Vertailu[[#This Row],[Rahoitus pl. hark. kor. 2022 ilman alv, €]],0)</f>
        <v>22548</v>
      </c>
      <c r="Q113" s="230">
        <f>IFERROR(Vertailu[[#This Row],[Muutos, € 1]]/Vertailu[[#This Row],[Rahoitus pl. hark. kor. 2022 ilman alv, €]],0)</f>
        <v>0.10970340962167212</v>
      </c>
      <c r="R113" s="233">
        <f>IFERROR(VLOOKUP(Vertailu[[#This Row],[Y-tunnus]],'Suoritepäätös 2022 oikaistu'!$Q:$AC,COLUMN('Suoritepäätös 2022 oikaistu'!L:L),FALSE),0)</f>
        <v>205536</v>
      </c>
      <c r="S113" s="234">
        <f>IFERROR(VLOOKUP(Vertailu[[#This Row],[Y-tunnus]],'1.2 Ohjaus-laskentataulu'!A:AU,COLUMN('1.2 Ohjaus-laskentataulu'!AS:AS),FALSE),0)</f>
        <v>228084</v>
      </c>
      <c r="T113" s="228">
        <f>IFERROR(Vertailu[[#This Row],[Rahoitus ml. hark. kor. 
2023 ilman alv, €]]-Vertailu[[#This Row],[Rahoitus ml. hark. kor. 
2022 ilman alv, €]],0)</f>
        <v>22548</v>
      </c>
      <c r="U113" s="232">
        <f>IFERROR(Vertailu[[#This Row],[Muutos, € 2]]/Vertailu[[#This Row],[Rahoitus ml. hark. kor. 
2022 ilman alv, €]],0)</f>
        <v>0.10970340962167212</v>
      </c>
      <c r="V113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227412</v>
      </c>
      <c r="W113" s="233">
        <f>IFERROR(VLOOKUP(Vertailu[[#This Row],[Y-tunnus]],'1.2 Ohjaus-laskentataulu'!A:AU,COLUMN('1.2 Ohjaus-laskentataulu'!AU:AU),FALSE),0)</f>
        <v>242222</v>
      </c>
      <c r="X113" s="235">
        <f>IFERROR(Vertailu[[#This Row],[Rahoitus ml. hark. kor. + alv 2023, €]]-Vertailu[[#This Row],[Rahoitus ml. hark. kor. + alv 2022, €]],0)</f>
        <v>14810</v>
      </c>
      <c r="Y113" s="230">
        <f>IFERROR(Vertailu[[#This Row],[Muutos, € 3]]/Vertailu[[#This Row],[Rahoitus ml. hark. kor. + alv 2022, €]],0)</f>
        <v>6.5124091956449082E-2</v>
      </c>
      <c r="Z113" s="228">
        <f>IFERROR(VLOOKUP(Vertailu[[#This Row],[Y-tunnus]],'Suoritepäätös 2022 oikaistu'!$B:$N,COLUMN('Suoritepäätös 2022 oikaistu'!G:G),FALSE),0)</f>
        <v>127633</v>
      </c>
      <c r="AA113" s="228">
        <f>IFERROR(VLOOKUP(Vertailu[[#This Row],[Y-tunnus]],'1.2 Ohjaus-laskentataulu'!A:AU,COLUMN('1.2 Ohjaus-laskentataulu'!AP:AP),FALSE),0)</f>
        <v>135800</v>
      </c>
      <c r="AB113" s="228">
        <f>Vertailu[[#This Row],[Perusrahoitus 2023, €]]-Vertailu[[#This Row],[Perusrahoitus 2022, €]]</f>
        <v>8167</v>
      </c>
      <c r="AC113" s="230">
        <f>IFERROR(Vertailu[[#This Row],[Perusrahoituksen muutos, €]]/Vertailu[[#This Row],[Perusrahoitus 2022, €]],0)</f>
        <v>6.3988153533960659E-2</v>
      </c>
      <c r="AD113" s="228">
        <f>IFERROR(VLOOKUP(Vertailu[[#This Row],[Y-tunnus]],'Suoritepäätös 2022 oikaistu'!$B:$N,COLUMN('Suoritepäätös 2022 oikaistu'!M:M),FALSE),0)</f>
        <v>42467</v>
      </c>
      <c r="AE113" s="228">
        <f>IFERROR(VLOOKUP(Vertailu[[#This Row],[Y-tunnus]],'1.2 Ohjaus-laskentataulu'!A:AU,COLUMN('1.2 Ohjaus-laskentataulu'!O:O),FALSE),0)</f>
        <v>57124</v>
      </c>
      <c r="AF113" s="228">
        <f>Vertailu[[#This Row],[Suoritusrahoitus 2023, €]]-Vertailu[[#This Row],[Suoritusrahoitus 2022, €]]</f>
        <v>14657</v>
      </c>
      <c r="AG113" s="230">
        <f>IFERROR(Vertailu[[#This Row],[Suoritusrahoituksen muutos, €]]/Vertailu[[#This Row],[Suoritusrahoitus 2022, €]],0)</f>
        <v>0.34513857819012411</v>
      </c>
      <c r="AH113" s="228">
        <f>IFERROR(VLOOKUP(Vertailu[[#This Row],[Y-tunnus]],'Suoritepäätös 2022 oikaistu'!$Q:$AC,COLUMN('Suoritepäätös 2022 oikaistu'!K:K),FALSE),0)</f>
        <v>35436</v>
      </c>
      <c r="AI113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35160</v>
      </c>
      <c r="AJ113" s="228">
        <f>Vertailu[[#This Row],[Vaikuttavuusrahoitus 2023, €]]-Vertailu[[#This Row],[Vaikuttavuusrahoitus 2022, €]]</f>
        <v>-276</v>
      </c>
      <c r="AK113" s="230">
        <f>IFERROR(Vertailu[[#This Row],[Vaikuttavuusrahoituksen muutos, €]]/Vertailu[[#This Row],[Vaikuttavuusrahoitus 2022, €]],0)</f>
        <v>-7.7886894683372844E-3</v>
      </c>
    </row>
    <row r="114" spans="1:37" s="5" customFormat="1" ht="12.75" customHeight="1" x14ac:dyDescent="0.35">
      <c r="A114" s="7" t="s">
        <v>221</v>
      </c>
      <c r="B114" s="188" t="s">
        <v>104</v>
      </c>
      <c r="C114" s="188" t="s">
        <v>210</v>
      </c>
      <c r="D114" s="11" t="s">
        <v>337</v>
      </c>
      <c r="E114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0.69034060141614517</v>
      </c>
      <c r="F114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0.69034060141614517</v>
      </c>
      <c r="G114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0.21038803473873974</v>
      </c>
      <c r="H114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9.9271363845115118E-2</v>
      </c>
      <c r="I114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7.0452878558356011E-2</v>
      </c>
      <c r="J114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2.6012927636764938E-3</v>
      </c>
      <c r="K114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5.6769187532987406E-3</v>
      </c>
      <c r="L114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1.6095798860777714E-2</v>
      </c>
      <c r="M114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4.4444749090061623E-3</v>
      </c>
      <c r="N114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1323670</v>
      </c>
      <c r="O114" s="228">
        <f>IFERROR(VLOOKUP(Vertailu[[#This Row],[Y-tunnus]],'1.2 Ohjaus-laskentataulu'!A:AU,COLUMN('1.2 Ohjaus-laskentataulu'!AF:AF),FALSE),0)</f>
        <v>1458890</v>
      </c>
      <c r="P114" s="228">
        <f>IFERROR(Vertailu[[#This Row],[Rahoitus pl. hark. kor. 2023 ilman alv, €]]-Vertailu[[#This Row],[Rahoitus pl. hark. kor. 2022 ilman alv, €]],0)</f>
        <v>135220</v>
      </c>
      <c r="Q114" s="230">
        <f>IFERROR(Vertailu[[#This Row],[Muutos, € 1]]/Vertailu[[#This Row],[Rahoitus pl. hark. kor. 2022 ilman alv, €]],0)</f>
        <v>0.10215537105169717</v>
      </c>
      <c r="R114" s="233">
        <f>IFERROR(VLOOKUP(Vertailu[[#This Row],[Y-tunnus]],'Suoritepäätös 2022 oikaistu'!$Q:$AC,COLUMN('Suoritepäätös 2022 oikaistu'!L:L),FALSE),0)</f>
        <v>1323670</v>
      </c>
      <c r="S114" s="234">
        <f>IFERROR(VLOOKUP(Vertailu[[#This Row],[Y-tunnus]],'1.2 Ohjaus-laskentataulu'!A:AU,COLUMN('1.2 Ohjaus-laskentataulu'!AS:AS),FALSE),0)</f>
        <v>1458890</v>
      </c>
      <c r="T114" s="228">
        <f>IFERROR(Vertailu[[#This Row],[Rahoitus ml. hark. kor. 
2023 ilman alv, €]]-Vertailu[[#This Row],[Rahoitus ml. hark. kor. 
2022 ilman alv, €]],0)</f>
        <v>135220</v>
      </c>
      <c r="U114" s="232">
        <f>IFERROR(Vertailu[[#This Row],[Muutos, € 2]]/Vertailu[[#This Row],[Rahoitus ml. hark. kor. 
2022 ilman alv, €]],0)</f>
        <v>0.10215537105169717</v>
      </c>
      <c r="V114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1402216</v>
      </c>
      <c r="W114" s="233">
        <f>IFERROR(VLOOKUP(Vertailu[[#This Row],[Y-tunnus]],'1.2 Ohjaus-laskentataulu'!A:AU,COLUMN('1.2 Ohjaus-laskentataulu'!AU:AU),FALSE),0)</f>
        <v>1567142</v>
      </c>
      <c r="X114" s="235">
        <f>IFERROR(Vertailu[[#This Row],[Rahoitus ml. hark. kor. + alv 2023, €]]-Vertailu[[#This Row],[Rahoitus ml. hark. kor. + alv 2022, €]],0)</f>
        <v>164926</v>
      </c>
      <c r="Y114" s="230">
        <f>IFERROR(Vertailu[[#This Row],[Muutos, € 3]]/Vertailu[[#This Row],[Rahoitus ml. hark. kor. + alv 2022, €]],0)</f>
        <v>0.11761811304392476</v>
      </c>
      <c r="Z114" s="228">
        <f>IFERROR(VLOOKUP(Vertailu[[#This Row],[Y-tunnus]],'Suoritepäätös 2022 oikaistu'!$B:$N,COLUMN('Suoritepäätös 2022 oikaistu'!G:G),FALSE),0)</f>
        <v>974653</v>
      </c>
      <c r="AA114" s="228">
        <f>IFERROR(VLOOKUP(Vertailu[[#This Row],[Y-tunnus]],'1.2 Ohjaus-laskentataulu'!A:AU,COLUMN('1.2 Ohjaus-laskentataulu'!AP:AP),FALSE),0)</f>
        <v>1007131</v>
      </c>
      <c r="AB114" s="228">
        <f>Vertailu[[#This Row],[Perusrahoitus 2023, €]]-Vertailu[[#This Row],[Perusrahoitus 2022, €]]</f>
        <v>32478</v>
      </c>
      <c r="AC114" s="230">
        <f>IFERROR(Vertailu[[#This Row],[Perusrahoituksen muutos, €]]/Vertailu[[#This Row],[Perusrahoitus 2022, €]],0)</f>
        <v>3.3322628668869841E-2</v>
      </c>
      <c r="AD114" s="228">
        <f>IFERROR(VLOOKUP(Vertailu[[#This Row],[Y-tunnus]],'Suoritepäätös 2022 oikaistu'!$B:$N,COLUMN('Suoritepäätös 2022 oikaistu'!M:M),FALSE),0)</f>
        <v>268761</v>
      </c>
      <c r="AE114" s="228">
        <f>IFERROR(VLOOKUP(Vertailu[[#This Row],[Y-tunnus]],'1.2 Ohjaus-laskentataulu'!A:AU,COLUMN('1.2 Ohjaus-laskentataulu'!O:O),FALSE),0)</f>
        <v>306933</v>
      </c>
      <c r="AF114" s="228">
        <f>Vertailu[[#This Row],[Suoritusrahoitus 2023, €]]-Vertailu[[#This Row],[Suoritusrahoitus 2022, €]]</f>
        <v>38172</v>
      </c>
      <c r="AG114" s="230">
        <f>IFERROR(Vertailu[[#This Row],[Suoritusrahoituksen muutos, €]]/Vertailu[[#This Row],[Suoritusrahoitus 2022, €]],0)</f>
        <v>0.14202953553528971</v>
      </c>
      <c r="AH114" s="228">
        <f>IFERROR(VLOOKUP(Vertailu[[#This Row],[Y-tunnus]],'Suoritepäätös 2022 oikaistu'!$Q:$AC,COLUMN('Suoritepäätös 2022 oikaistu'!K:K),FALSE),0)</f>
        <v>80256</v>
      </c>
      <c r="AI114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144826</v>
      </c>
      <c r="AJ114" s="228">
        <f>Vertailu[[#This Row],[Vaikuttavuusrahoitus 2023, €]]-Vertailu[[#This Row],[Vaikuttavuusrahoitus 2022, €]]</f>
        <v>64570</v>
      </c>
      <c r="AK114" s="230">
        <f>IFERROR(Vertailu[[#This Row],[Vaikuttavuusrahoituksen muutos, €]]/Vertailu[[#This Row],[Vaikuttavuusrahoitus 2022, €]],0)</f>
        <v>0.80455043859649122</v>
      </c>
    </row>
    <row r="115" spans="1:37" s="5" customFormat="1" ht="12.75" customHeight="1" x14ac:dyDescent="0.35">
      <c r="A115" s="7" t="s">
        <v>220</v>
      </c>
      <c r="B115" s="188" t="s">
        <v>105</v>
      </c>
      <c r="C115" s="188" t="s">
        <v>192</v>
      </c>
      <c r="D115" s="11" t="s">
        <v>337</v>
      </c>
      <c r="E115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0.65120804017852152</v>
      </c>
      <c r="F115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0.65288587375980134</v>
      </c>
      <c r="G115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0.25751501661055243</v>
      </c>
      <c r="H115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8.9599109629646206E-2</v>
      </c>
      <c r="I115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6.0804968624512033E-2</v>
      </c>
      <c r="J115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4.2074473439894407E-3</v>
      </c>
      <c r="K115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1.2370946633706558E-2</v>
      </c>
      <c r="L115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7.945380924150737E-3</v>
      </c>
      <c r="M115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4.2703661032874353E-3</v>
      </c>
      <c r="N115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3458014</v>
      </c>
      <c r="O115" s="228">
        <f>IFERROR(VLOOKUP(Vertailu[[#This Row],[Y-tunnus]],'1.2 Ohjaus-laskentataulu'!A:AU,COLUMN('1.2 Ohjaus-laskentataulu'!AF:AF),FALSE),0)</f>
        <v>3570040</v>
      </c>
      <c r="P115" s="228">
        <f>IFERROR(Vertailu[[#This Row],[Rahoitus pl. hark. kor. 2023 ilman alv, €]]-Vertailu[[#This Row],[Rahoitus pl. hark. kor. 2022 ilman alv, €]],0)</f>
        <v>112026</v>
      </c>
      <c r="Q115" s="230">
        <f>IFERROR(Vertailu[[#This Row],[Muutos, € 1]]/Vertailu[[#This Row],[Rahoitus pl. hark. kor. 2022 ilman alv, €]],0)</f>
        <v>3.2396051606500144E-2</v>
      </c>
      <c r="R115" s="233">
        <f>IFERROR(VLOOKUP(Vertailu[[#This Row],[Y-tunnus]],'Suoritepäätös 2022 oikaistu'!$Q:$AC,COLUMN('Suoritepäätös 2022 oikaistu'!L:L),FALSE),0)</f>
        <v>3463014</v>
      </c>
      <c r="S115" s="234">
        <f>IFERROR(VLOOKUP(Vertailu[[#This Row],[Y-tunnus]],'1.2 Ohjaus-laskentataulu'!A:AU,COLUMN('1.2 Ohjaus-laskentataulu'!AS:AS),FALSE),0)</f>
        <v>3576040</v>
      </c>
      <c r="T115" s="228">
        <f>IFERROR(Vertailu[[#This Row],[Rahoitus ml. hark. kor. 
2023 ilman alv, €]]-Vertailu[[#This Row],[Rahoitus ml. hark. kor. 
2022 ilman alv, €]],0)</f>
        <v>113026</v>
      </c>
      <c r="U115" s="232">
        <f>IFERROR(Vertailu[[#This Row],[Muutos, € 2]]/Vertailu[[#This Row],[Rahoitus ml. hark. kor. 
2022 ilman alv, €]],0)</f>
        <v>3.2638043045739924E-2</v>
      </c>
      <c r="V115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3889057</v>
      </c>
      <c r="W115" s="233">
        <f>IFERROR(VLOOKUP(Vertailu[[#This Row],[Y-tunnus]],'1.2 Ohjaus-laskentataulu'!A:AU,COLUMN('1.2 Ohjaus-laskentataulu'!AU:AU),FALSE),0)</f>
        <v>4026743</v>
      </c>
      <c r="X115" s="235">
        <f>IFERROR(Vertailu[[#This Row],[Rahoitus ml. hark. kor. + alv 2023, €]]-Vertailu[[#This Row],[Rahoitus ml. hark. kor. + alv 2022, €]],0)</f>
        <v>137686</v>
      </c>
      <c r="Y115" s="230">
        <f>IFERROR(Vertailu[[#This Row],[Muutos, € 3]]/Vertailu[[#This Row],[Rahoitus ml. hark. kor. + alv 2022, €]],0)</f>
        <v>3.5403440988393847E-2</v>
      </c>
      <c r="Z115" s="228">
        <f>IFERROR(VLOOKUP(Vertailu[[#This Row],[Y-tunnus]],'Suoritepäätös 2022 oikaistu'!$B:$N,COLUMN('Suoritepäätös 2022 oikaistu'!G:G),FALSE),0)</f>
        <v>2363465</v>
      </c>
      <c r="AA115" s="228">
        <f>IFERROR(VLOOKUP(Vertailu[[#This Row],[Y-tunnus]],'1.2 Ohjaus-laskentataulu'!A:AU,COLUMN('1.2 Ohjaus-laskentataulu'!AP:AP),FALSE),0)</f>
        <v>2334746</v>
      </c>
      <c r="AB115" s="228">
        <f>Vertailu[[#This Row],[Perusrahoitus 2023, €]]-Vertailu[[#This Row],[Perusrahoitus 2022, €]]</f>
        <v>-28719</v>
      </c>
      <c r="AC115" s="230">
        <f>IFERROR(Vertailu[[#This Row],[Perusrahoituksen muutos, €]]/Vertailu[[#This Row],[Perusrahoitus 2022, €]],0)</f>
        <v>-1.2151227117812195E-2</v>
      </c>
      <c r="AD115" s="228">
        <f>IFERROR(VLOOKUP(Vertailu[[#This Row],[Y-tunnus]],'Suoritepäätös 2022 oikaistu'!$B:$N,COLUMN('Suoritepäätös 2022 oikaistu'!M:M),FALSE),0)</f>
        <v>778553</v>
      </c>
      <c r="AE115" s="228">
        <f>IFERROR(VLOOKUP(Vertailu[[#This Row],[Y-tunnus]],'1.2 Ohjaus-laskentataulu'!A:AU,COLUMN('1.2 Ohjaus-laskentataulu'!O:O),FALSE),0)</f>
        <v>920884</v>
      </c>
      <c r="AF115" s="228">
        <f>Vertailu[[#This Row],[Suoritusrahoitus 2023, €]]-Vertailu[[#This Row],[Suoritusrahoitus 2022, €]]</f>
        <v>142331</v>
      </c>
      <c r="AG115" s="230">
        <f>IFERROR(Vertailu[[#This Row],[Suoritusrahoituksen muutos, €]]/Vertailu[[#This Row],[Suoritusrahoitus 2022, €]],0)</f>
        <v>0.18281478589126238</v>
      </c>
      <c r="AH115" s="228">
        <f>IFERROR(VLOOKUP(Vertailu[[#This Row],[Y-tunnus]],'Suoritepäätös 2022 oikaistu'!$Q:$AC,COLUMN('Suoritepäätös 2022 oikaistu'!K:K),FALSE),0)</f>
        <v>320996</v>
      </c>
      <c r="AI115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320410</v>
      </c>
      <c r="AJ115" s="228">
        <f>Vertailu[[#This Row],[Vaikuttavuusrahoitus 2023, €]]-Vertailu[[#This Row],[Vaikuttavuusrahoitus 2022, €]]</f>
        <v>-586</v>
      </c>
      <c r="AK115" s="230">
        <f>IFERROR(Vertailu[[#This Row],[Vaikuttavuusrahoituksen muutos, €]]/Vertailu[[#This Row],[Vaikuttavuusrahoitus 2022, €]],0)</f>
        <v>-1.8255679198494685E-3</v>
      </c>
    </row>
    <row r="116" spans="1:37" s="5" customFormat="1" ht="12.75" customHeight="1" x14ac:dyDescent="0.35">
      <c r="A116" s="7" t="s">
        <v>219</v>
      </c>
      <c r="B116" s="188" t="s">
        <v>106</v>
      </c>
      <c r="C116" s="188" t="s">
        <v>180</v>
      </c>
      <c r="D116" s="11" t="s">
        <v>337</v>
      </c>
      <c r="E116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0.61477903406926393</v>
      </c>
      <c r="F116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0.61926084910475743</v>
      </c>
      <c r="G116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0.21463910184426688</v>
      </c>
      <c r="H116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0.16610004905097567</v>
      </c>
      <c r="I116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9.0769203954952776E-2</v>
      </c>
      <c r="J116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8.6638464430572951E-3</v>
      </c>
      <c r="K116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3.3347193761313468E-2</v>
      </c>
      <c r="L116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2.5091690465934471E-2</v>
      </c>
      <c r="M116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8.2281144257176503E-3</v>
      </c>
      <c r="N116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1743928</v>
      </c>
      <c r="O116" s="228">
        <f>IFERROR(VLOOKUP(Vertailu[[#This Row],[Y-tunnus]],'1.2 Ohjaus-laskentataulu'!A:AU,COLUMN('1.2 Ohjaus-laskentataulu'!AF:AF),FALSE),0)</f>
        <v>1999115</v>
      </c>
      <c r="P116" s="228">
        <f>IFERROR(Vertailu[[#This Row],[Rahoitus pl. hark. kor. 2023 ilman alv, €]]-Vertailu[[#This Row],[Rahoitus pl. hark. kor. 2022 ilman alv, €]],0)</f>
        <v>255187</v>
      </c>
      <c r="Q116" s="230">
        <f>IFERROR(Vertailu[[#This Row],[Muutos, € 1]]/Vertailu[[#This Row],[Rahoitus pl. hark. kor. 2022 ilman alv, €]],0)</f>
        <v>0.14632886220073305</v>
      </c>
      <c r="R116" s="233">
        <f>IFERROR(VLOOKUP(Vertailu[[#This Row],[Y-tunnus]],'Suoritepäätös 2022 oikaistu'!$Q:$AC,COLUMN('Suoritepäätös 2022 oikaistu'!L:L),FALSE),0)</f>
        <v>1762928</v>
      </c>
      <c r="S116" s="234">
        <f>IFERROR(VLOOKUP(Vertailu[[#This Row],[Y-tunnus]],'1.2 Ohjaus-laskentataulu'!A:AU,COLUMN('1.2 Ohjaus-laskentataulu'!AS:AS),FALSE),0)</f>
        <v>2008115</v>
      </c>
      <c r="T116" s="228">
        <f>IFERROR(Vertailu[[#This Row],[Rahoitus ml. hark. kor. 
2023 ilman alv, €]]-Vertailu[[#This Row],[Rahoitus ml. hark. kor. 
2022 ilman alv, €]],0)</f>
        <v>245187</v>
      </c>
      <c r="U116" s="232">
        <f>IFERROR(Vertailu[[#This Row],[Muutos, € 2]]/Vertailu[[#This Row],[Rahoitus ml. hark. kor. 
2022 ilman alv, €]],0)</f>
        <v>0.139079417877531</v>
      </c>
      <c r="V116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1852228</v>
      </c>
      <c r="W116" s="233">
        <f>IFERROR(VLOOKUP(Vertailu[[#This Row],[Y-tunnus]],'1.2 Ohjaus-laskentataulu'!A:AU,COLUMN('1.2 Ohjaus-laskentataulu'!AU:AU),FALSE),0)</f>
        <v>2091161</v>
      </c>
      <c r="X116" s="235">
        <f>IFERROR(Vertailu[[#This Row],[Rahoitus ml. hark. kor. + alv 2023, €]]-Vertailu[[#This Row],[Rahoitus ml. hark. kor. + alv 2022, €]],0)</f>
        <v>238933</v>
      </c>
      <c r="Y116" s="230">
        <f>IFERROR(Vertailu[[#This Row],[Muutos, € 3]]/Vertailu[[#This Row],[Rahoitus ml. hark. kor. + alv 2022, €]],0)</f>
        <v>0.12899761800383105</v>
      </c>
      <c r="Z116" s="228">
        <f>IFERROR(VLOOKUP(Vertailu[[#This Row],[Y-tunnus]],'Suoritepäätös 2022 oikaistu'!$B:$N,COLUMN('Suoritepäätös 2022 oikaistu'!G:G),FALSE),0)</f>
        <v>1127393</v>
      </c>
      <c r="AA116" s="228">
        <f>IFERROR(VLOOKUP(Vertailu[[#This Row],[Y-tunnus]],'1.2 Ohjaus-laskentataulu'!A:AU,COLUMN('1.2 Ohjaus-laskentataulu'!AP:AP),FALSE),0)</f>
        <v>1243547</v>
      </c>
      <c r="AB116" s="228">
        <f>Vertailu[[#This Row],[Perusrahoitus 2023, €]]-Vertailu[[#This Row],[Perusrahoitus 2022, €]]</f>
        <v>116154</v>
      </c>
      <c r="AC116" s="230">
        <f>IFERROR(Vertailu[[#This Row],[Perusrahoituksen muutos, €]]/Vertailu[[#This Row],[Perusrahoitus 2022, €]],0)</f>
        <v>0.10302884619649048</v>
      </c>
      <c r="AD116" s="228">
        <f>IFERROR(VLOOKUP(Vertailu[[#This Row],[Y-tunnus]],'Suoritepäätös 2022 oikaistu'!$B:$N,COLUMN('Suoritepäätös 2022 oikaistu'!M:M),FALSE),0)</f>
        <v>432377</v>
      </c>
      <c r="AE116" s="228">
        <f>IFERROR(VLOOKUP(Vertailu[[#This Row],[Y-tunnus]],'1.2 Ohjaus-laskentataulu'!A:AU,COLUMN('1.2 Ohjaus-laskentataulu'!O:O),FALSE),0)</f>
        <v>431020</v>
      </c>
      <c r="AF116" s="228">
        <f>Vertailu[[#This Row],[Suoritusrahoitus 2023, €]]-Vertailu[[#This Row],[Suoritusrahoitus 2022, €]]</f>
        <v>-1357</v>
      </c>
      <c r="AG116" s="230">
        <f>IFERROR(Vertailu[[#This Row],[Suoritusrahoituksen muutos, €]]/Vertailu[[#This Row],[Suoritusrahoitus 2022, €]],0)</f>
        <v>-3.1384648119580829E-3</v>
      </c>
      <c r="AH116" s="228">
        <f>IFERROR(VLOOKUP(Vertailu[[#This Row],[Y-tunnus]],'Suoritepäätös 2022 oikaistu'!$Q:$AC,COLUMN('Suoritepäätös 2022 oikaistu'!K:K),FALSE),0)</f>
        <v>203158</v>
      </c>
      <c r="AI116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333548</v>
      </c>
      <c r="AJ116" s="228">
        <f>Vertailu[[#This Row],[Vaikuttavuusrahoitus 2023, €]]-Vertailu[[#This Row],[Vaikuttavuusrahoitus 2022, €]]</f>
        <v>130390</v>
      </c>
      <c r="AK116" s="230">
        <f>IFERROR(Vertailu[[#This Row],[Vaikuttavuusrahoituksen muutos, €]]/Vertailu[[#This Row],[Vaikuttavuusrahoitus 2022, €]],0)</f>
        <v>0.64181572962915567</v>
      </c>
    </row>
    <row r="117" spans="1:37" s="5" customFormat="1" ht="12.75" customHeight="1" x14ac:dyDescent="0.35">
      <c r="A117" s="7" t="s">
        <v>218</v>
      </c>
      <c r="B117" s="188" t="s">
        <v>453</v>
      </c>
      <c r="C117" s="188" t="s">
        <v>209</v>
      </c>
      <c r="D117" s="11" t="s">
        <v>337</v>
      </c>
      <c r="E117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0.59070874475167212</v>
      </c>
      <c r="F117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0.59070874475167212</v>
      </c>
      <c r="G117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0.25795762016234458</v>
      </c>
      <c r="H117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0.1513336350859833</v>
      </c>
      <c r="I117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0.10065415920965703</v>
      </c>
      <c r="J117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1.2035486235094532E-2</v>
      </c>
      <c r="K117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3.4263072034365849E-2</v>
      </c>
      <c r="L117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4.2292182265802319E-3</v>
      </c>
      <c r="M117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1.516993802856547E-4</v>
      </c>
      <c r="N117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6275916</v>
      </c>
      <c r="O117" s="228">
        <f>IFERROR(VLOOKUP(Vertailu[[#This Row],[Y-tunnus]],'1.2 Ohjaus-laskentataulu'!A:AU,COLUMN('1.2 Ohjaus-laskentataulu'!AF:AF),FALSE),0)</f>
        <v>6479921</v>
      </c>
      <c r="P117" s="228">
        <f>IFERROR(Vertailu[[#This Row],[Rahoitus pl. hark. kor. 2023 ilman alv, €]]-Vertailu[[#This Row],[Rahoitus pl. hark. kor. 2022 ilman alv, €]],0)</f>
        <v>204005</v>
      </c>
      <c r="Q117" s="230">
        <f>IFERROR(Vertailu[[#This Row],[Muutos, € 1]]/Vertailu[[#This Row],[Rahoitus pl. hark. kor. 2022 ilman alv, €]],0)</f>
        <v>3.250601187141447E-2</v>
      </c>
      <c r="R117" s="233">
        <f>IFERROR(VLOOKUP(Vertailu[[#This Row],[Y-tunnus]],'Suoritepäätös 2022 oikaistu'!$Q:$AC,COLUMN('Suoritepäätös 2022 oikaistu'!L:L),FALSE),0)</f>
        <v>6275916</v>
      </c>
      <c r="S117" s="234">
        <f>IFERROR(VLOOKUP(Vertailu[[#This Row],[Y-tunnus]],'1.2 Ohjaus-laskentataulu'!A:AU,COLUMN('1.2 Ohjaus-laskentataulu'!AS:AS),FALSE),0)</f>
        <v>6479921</v>
      </c>
      <c r="T117" s="228">
        <f>IFERROR(Vertailu[[#This Row],[Rahoitus ml. hark. kor. 
2023 ilman alv, €]]-Vertailu[[#This Row],[Rahoitus ml. hark. kor. 
2022 ilman alv, €]],0)</f>
        <v>204005</v>
      </c>
      <c r="U117" s="232">
        <f>IFERROR(Vertailu[[#This Row],[Muutos, € 2]]/Vertailu[[#This Row],[Rahoitus ml. hark. kor. 
2022 ilman alv, €]],0)</f>
        <v>3.250601187141447E-2</v>
      </c>
      <c r="V117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6520482</v>
      </c>
      <c r="W117" s="233">
        <f>IFERROR(VLOOKUP(Vertailu[[#This Row],[Y-tunnus]],'1.2 Ohjaus-laskentataulu'!A:AU,COLUMN('1.2 Ohjaus-laskentataulu'!AU:AU),FALSE),0)</f>
        <v>6715228</v>
      </c>
      <c r="X117" s="235">
        <f>IFERROR(Vertailu[[#This Row],[Rahoitus ml. hark. kor. + alv 2023, €]]-Vertailu[[#This Row],[Rahoitus ml. hark. kor. + alv 2022, €]],0)</f>
        <v>194746</v>
      </c>
      <c r="Y117" s="230">
        <f>IFERROR(Vertailu[[#This Row],[Muutos, € 3]]/Vertailu[[#This Row],[Rahoitus ml. hark. kor. + alv 2022, €]],0)</f>
        <v>2.9866810459717549E-2</v>
      </c>
      <c r="Z117" s="228">
        <f>IFERROR(VLOOKUP(Vertailu[[#This Row],[Y-tunnus]],'Suoritepäätös 2022 oikaistu'!$B:$N,COLUMN('Suoritepäätös 2022 oikaistu'!G:G),FALSE),0)</f>
        <v>3524874</v>
      </c>
      <c r="AA117" s="228">
        <f>IFERROR(VLOOKUP(Vertailu[[#This Row],[Y-tunnus]],'1.2 Ohjaus-laskentataulu'!A:AU,COLUMN('1.2 Ohjaus-laskentataulu'!AP:AP),FALSE),0)</f>
        <v>3827746</v>
      </c>
      <c r="AB117" s="228">
        <f>Vertailu[[#This Row],[Perusrahoitus 2023, €]]-Vertailu[[#This Row],[Perusrahoitus 2022, €]]</f>
        <v>302872</v>
      </c>
      <c r="AC117" s="230">
        <f>IFERROR(Vertailu[[#This Row],[Perusrahoituksen muutos, €]]/Vertailu[[#This Row],[Perusrahoitus 2022, €]],0)</f>
        <v>8.5924206085096946E-2</v>
      </c>
      <c r="AD117" s="228">
        <f>IFERROR(VLOOKUP(Vertailu[[#This Row],[Y-tunnus]],'Suoritepäätös 2022 oikaistu'!$B:$N,COLUMN('Suoritepäätös 2022 oikaistu'!M:M),FALSE),0)</f>
        <v>1608705</v>
      </c>
      <c r="AE117" s="228">
        <f>IFERROR(VLOOKUP(Vertailu[[#This Row],[Y-tunnus]],'1.2 Ohjaus-laskentataulu'!A:AU,COLUMN('1.2 Ohjaus-laskentataulu'!O:O),FALSE),0)</f>
        <v>1671545</v>
      </c>
      <c r="AF117" s="228">
        <f>Vertailu[[#This Row],[Suoritusrahoitus 2023, €]]-Vertailu[[#This Row],[Suoritusrahoitus 2022, €]]</f>
        <v>62840</v>
      </c>
      <c r="AG117" s="230">
        <f>IFERROR(Vertailu[[#This Row],[Suoritusrahoituksen muutos, €]]/Vertailu[[#This Row],[Suoritusrahoitus 2022, €]],0)</f>
        <v>3.9062475718046503E-2</v>
      </c>
      <c r="AH117" s="228">
        <f>IFERROR(VLOOKUP(Vertailu[[#This Row],[Y-tunnus]],'Suoritepäätös 2022 oikaistu'!$Q:$AC,COLUMN('Suoritepäätös 2022 oikaistu'!K:K),FALSE),0)</f>
        <v>1142337</v>
      </c>
      <c r="AI117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980630</v>
      </c>
      <c r="AJ117" s="228">
        <f>Vertailu[[#This Row],[Vaikuttavuusrahoitus 2023, €]]-Vertailu[[#This Row],[Vaikuttavuusrahoitus 2022, €]]</f>
        <v>-161707</v>
      </c>
      <c r="AK117" s="230">
        <f>IFERROR(Vertailu[[#This Row],[Vaikuttavuusrahoituksen muutos, €]]/Vertailu[[#This Row],[Vaikuttavuusrahoitus 2022, €]],0)</f>
        <v>-0.1415580516082382</v>
      </c>
    </row>
    <row r="118" spans="1:37" s="5" customFormat="1" ht="12.75" customHeight="1" x14ac:dyDescent="0.35">
      <c r="A118" s="7" t="s">
        <v>217</v>
      </c>
      <c r="B118" s="188" t="s">
        <v>107</v>
      </c>
      <c r="C118" s="188" t="s">
        <v>209</v>
      </c>
      <c r="D118" s="11" t="s">
        <v>336</v>
      </c>
      <c r="E118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0.7385460530704524</v>
      </c>
      <c r="F118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0.73941015625405049</v>
      </c>
      <c r="G118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0.16576454294299028</v>
      </c>
      <c r="H118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9.4825300802959242E-2</v>
      </c>
      <c r="I118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7.4552057550654596E-2</v>
      </c>
      <c r="J118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3.2369305257583976E-3</v>
      </c>
      <c r="K118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9.3774205690430549E-3</v>
      </c>
      <c r="L118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5.379906421081629E-3</v>
      </c>
      <c r="M118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2.278985736421569E-3</v>
      </c>
      <c r="N118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5468721</v>
      </c>
      <c r="O118" s="228">
        <f>IFERROR(VLOOKUP(Vertailu[[#This Row],[Y-tunnus]],'1.2 Ohjaus-laskentataulu'!A:AU,COLUMN('1.2 Ohjaus-laskentataulu'!AF:AF),FALSE),0)</f>
        <v>5781346</v>
      </c>
      <c r="P118" s="228">
        <f>IFERROR(Vertailu[[#This Row],[Rahoitus pl. hark. kor. 2023 ilman alv, €]]-Vertailu[[#This Row],[Rahoitus pl. hark. kor. 2022 ilman alv, €]],0)</f>
        <v>312625</v>
      </c>
      <c r="Q118" s="230">
        <f>IFERROR(Vertailu[[#This Row],[Muutos, € 1]]/Vertailu[[#This Row],[Rahoitus pl. hark. kor. 2022 ilman alv, €]],0)</f>
        <v>5.7166017428938135E-2</v>
      </c>
      <c r="R118" s="233">
        <f>IFERROR(VLOOKUP(Vertailu[[#This Row],[Y-tunnus]],'Suoritepäätös 2022 oikaistu'!$Q:$AC,COLUMN('Suoritepäätös 2022 oikaistu'!L:L),FALSE),0)</f>
        <v>5473721</v>
      </c>
      <c r="S118" s="234">
        <f>IFERROR(VLOOKUP(Vertailu[[#This Row],[Y-tunnus]],'1.2 Ohjaus-laskentataulu'!A:AU,COLUMN('1.2 Ohjaus-laskentataulu'!AS:AS),FALSE),0)</f>
        <v>5786346</v>
      </c>
      <c r="T118" s="228">
        <f>IFERROR(Vertailu[[#This Row],[Rahoitus ml. hark. kor. 
2023 ilman alv, €]]-Vertailu[[#This Row],[Rahoitus ml. hark. kor. 
2022 ilman alv, €]],0)</f>
        <v>312625</v>
      </c>
      <c r="U118" s="232">
        <f>IFERROR(Vertailu[[#This Row],[Muutos, € 2]]/Vertailu[[#This Row],[Rahoitus ml. hark. kor. 
2022 ilman alv, €]],0)</f>
        <v>5.7113798821679072E-2</v>
      </c>
      <c r="V118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5473721</v>
      </c>
      <c r="W118" s="233">
        <f>IFERROR(VLOOKUP(Vertailu[[#This Row],[Y-tunnus]],'1.2 Ohjaus-laskentataulu'!A:AU,COLUMN('1.2 Ohjaus-laskentataulu'!AU:AU),FALSE),0)</f>
        <v>5786346</v>
      </c>
      <c r="X118" s="235">
        <f>IFERROR(Vertailu[[#This Row],[Rahoitus ml. hark. kor. + alv 2023, €]]-Vertailu[[#This Row],[Rahoitus ml. hark. kor. + alv 2022, €]],0)</f>
        <v>312625</v>
      </c>
      <c r="Y118" s="230">
        <f>IFERROR(Vertailu[[#This Row],[Muutos, € 3]]/Vertailu[[#This Row],[Rahoitus ml. hark. kor. + alv 2022, €]],0)</f>
        <v>5.7113798821679072E-2</v>
      </c>
      <c r="Z118" s="228">
        <f>IFERROR(VLOOKUP(Vertailu[[#This Row],[Y-tunnus]],'Suoritepäätös 2022 oikaistu'!$B:$N,COLUMN('Suoritepäätös 2022 oikaistu'!G:G),FALSE),0)</f>
        <v>3923766</v>
      </c>
      <c r="AA118" s="228">
        <f>IFERROR(VLOOKUP(Vertailu[[#This Row],[Y-tunnus]],'1.2 Ohjaus-laskentataulu'!A:AU,COLUMN('1.2 Ohjaus-laskentataulu'!AP:AP),FALSE),0)</f>
        <v>4278483</v>
      </c>
      <c r="AB118" s="228">
        <f>Vertailu[[#This Row],[Perusrahoitus 2023, €]]-Vertailu[[#This Row],[Perusrahoitus 2022, €]]</f>
        <v>354717</v>
      </c>
      <c r="AC118" s="230">
        <f>IFERROR(Vertailu[[#This Row],[Perusrahoituksen muutos, €]]/Vertailu[[#This Row],[Perusrahoitus 2022, €]],0)</f>
        <v>9.0402179946510577E-2</v>
      </c>
      <c r="AD118" s="228">
        <f>IFERROR(VLOOKUP(Vertailu[[#This Row],[Y-tunnus]],'Suoritepäätös 2022 oikaistu'!$B:$N,COLUMN('Suoritepäätös 2022 oikaistu'!M:M),FALSE),0)</f>
        <v>1052421</v>
      </c>
      <c r="AE118" s="228">
        <f>IFERROR(VLOOKUP(Vertailu[[#This Row],[Y-tunnus]],'1.2 Ohjaus-laskentataulu'!A:AU,COLUMN('1.2 Ohjaus-laskentataulu'!O:O),FALSE),0)</f>
        <v>959171</v>
      </c>
      <c r="AF118" s="228">
        <f>Vertailu[[#This Row],[Suoritusrahoitus 2023, €]]-Vertailu[[#This Row],[Suoritusrahoitus 2022, €]]</f>
        <v>-93250</v>
      </c>
      <c r="AG118" s="230">
        <f>IFERROR(Vertailu[[#This Row],[Suoritusrahoituksen muutos, €]]/Vertailu[[#This Row],[Suoritusrahoitus 2022, €]],0)</f>
        <v>-8.8605225475356347E-2</v>
      </c>
      <c r="AH118" s="228">
        <f>IFERROR(VLOOKUP(Vertailu[[#This Row],[Y-tunnus]],'Suoritepäätös 2022 oikaistu'!$Q:$AC,COLUMN('Suoritepäätös 2022 oikaistu'!K:K),FALSE),0)</f>
        <v>497534</v>
      </c>
      <c r="AI118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548692</v>
      </c>
      <c r="AJ118" s="228">
        <f>Vertailu[[#This Row],[Vaikuttavuusrahoitus 2023, €]]-Vertailu[[#This Row],[Vaikuttavuusrahoitus 2022, €]]</f>
        <v>51158</v>
      </c>
      <c r="AK118" s="230">
        <f>IFERROR(Vertailu[[#This Row],[Vaikuttavuusrahoituksen muutos, €]]/Vertailu[[#This Row],[Vaikuttavuusrahoitus 2022, €]],0)</f>
        <v>0.10282312364582119</v>
      </c>
    </row>
    <row r="119" spans="1:37" s="5" customFormat="1" ht="12.75" customHeight="1" x14ac:dyDescent="0.35">
      <c r="A119" s="7" t="s">
        <v>216</v>
      </c>
      <c r="B119" s="188" t="s">
        <v>108</v>
      </c>
      <c r="C119" s="188" t="s">
        <v>180</v>
      </c>
      <c r="D119" s="11" t="s">
        <v>337</v>
      </c>
      <c r="E119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0.71350839506499175</v>
      </c>
      <c r="F119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0.71566430463339648</v>
      </c>
      <c r="G119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0.18541844001945568</v>
      </c>
      <c r="H119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9.8917255347147834E-2</v>
      </c>
      <c r="I119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7.9931097130193779E-2</v>
      </c>
      <c r="J119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2.6700471328699252E-3</v>
      </c>
      <c r="K119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9.4486954919274779E-3</v>
      </c>
      <c r="L119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5.608739345002803E-3</v>
      </c>
      <c r="M119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1.2586762471538478E-3</v>
      </c>
      <c r="N119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10198829</v>
      </c>
      <c r="O119" s="228">
        <f>IFERROR(VLOOKUP(Vertailu[[#This Row],[Y-tunnus]],'1.2 Ohjaus-laskentataulu'!A:AU,COLUMN('1.2 Ohjaus-laskentataulu'!AF:AF),FALSE),0)</f>
        <v>10645351</v>
      </c>
      <c r="P119" s="228">
        <f>IFERROR(Vertailu[[#This Row],[Rahoitus pl. hark. kor. 2023 ilman alv, €]]-Vertailu[[#This Row],[Rahoitus pl. hark. kor. 2022 ilman alv, €]],0)</f>
        <v>446522</v>
      </c>
      <c r="Q119" s="230">
        <f>IFERROR(Vertailu[[#This Row],[Muutos, € 1]]/Vertailu[[#This Row],[Rahoitus pl. hark. kor. 2022 ilman alv, €]],0)</f>
        <v>4.3781692976713305E-2</v>
      </c>
      <c r="R119" s="233">
        <f>IFERROR(VLOOKUP(Vertailu[[#This Row],[Y-tunnus]],'Suoritepäätös 2022 oikaistu'!$Q:$AC,COLUMN('Suoritepäätös 2022 oikaistu'!L:L),FALSE),0)</f>
        <v>10229829</v>
      </c>
      <c r="S119" s="234">
        <f>IFERROR(VLOOKUP(Vertailu[[#This Row],[Y-tunnus]],'1.2 Ohjaus-laskentataulu'!A:AU,COLUMN('1.2 Ohjaus-laskentataulu'!AS:AS),FALSE),0)</f>
        <v>10668351</v>
      </c>
      <c r="T119" s="228">
        <f>IFERROR(Vertailu[[#This Row],[Rahoitus ml. hark. kor. 
2023 ilman alv, €]]-Vertailu[[#This Row],[Rahoitus ml. hark. kor. 
2022 ilman alv, €]],0)</f>
        <v>438522</v>
      </c>
      <c r="U119" s="232">
        <f>IFERROR(Vertailu[[#This Row],[Muutos, € 2]]/Vertailu[[#This Row],[Rahoitus ml. hark. kor. 
2022 ilman alv, €]],0)</f>
        <v>4.2866992204855035E-2</v>
      </c>
      <c r="V119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11090889</v>
      </c>
      <c r="W119" s="233">
        <f>IFERROR(VLOOKUP(Vertailu[[#This Row],[Y-tunnus]],'1.2 Ohjaus-laskentataulu'!A:AU,COLUMN('1.2 Ohjaus-laskentataulu'!AU:AU),FALSE),0)</f>
        <v>11458390</v>
      </c>
      <c r="X119" s="235">
        <f>IFERROR(Vertailu[[#This Row],[Rahoitus ml. hark. kor. + alv 2023, €]]-Vertailu[[#This Row],[Rahoitus ml. hark. kor. + alv 2022, €]],0)</f>
        <v>367501</v>
      </c>
      <c r="Y119" s="230">
        <f>IFERROR(Vertailu[[#This Row],[Muutos, € 3]]/Vertailu[[#This Row],[Rahoitus ml. hark. kor. + alv 2022, €]],0)</f>
        <v>3.3135396089528979E-2</v>
      </c>
      <c r="Z119" s="228">
        <f>IFERROR(VLOOKUP(Vertailu[[#This Row],[Y-tunnus]],'Suoritepäätös 2022 oikaistu'!$B:$N,COLUMN('Suoritepäätös 2022 oikaistu'!G:G),FALSE),0)</f>
        <v>7128381</v>
      </c>
      <c r="AA119" s="228">
        <f>IFERROR(VLOOKUP(Vertailu[[#This Row],[Y-tunnus]],'1.2 Ohjaus-laskentataulu'!A:AU,COLUMN('1.2 Ohjaus-laskentataulu'!AP:AP),FALSE),0)</f>
        <v>7634958</v>
      </c>
      <c r="AB119" s="228">
        <f>Vertailu[[#This Row],[Perusrahoitus 2023, €]]-Vertailu[[#This Row],[Perusrahoitus 2022, €]]</f>
        <v>506577</v>
      </c>
      <c r="AC119" s="230">
        <f>IFERROR(Vertailu[[#This Row],[Perusrahoituksen muutos, €]]/Vertailu[[#This Row],[Perusrahoitus 2022, €]],0)</f>
        <v>7.1064804196072015E-2</v>
      </c>
      <c r="AD119" s="228">
        <f>IFERROR(VLOOKUP(Vertailu[[#This Row],[Y-tunnus]],'Suoritepäätös 2022 oikaistu'!$B:$N,COLUMN('Suoritepäätös 2022 oikaistu'!M:M),FALSE),0)</f>
        <v>1919586</v>
      </c>
      <c r="AE119" s="228">
        <f>IFERROR(VLOOKUP(Vertailu[[#This Row],[Y-tunnus]],'1.2 Ohjaus-laskentataulu'!A:AU,COLUMN('1.2 Ohjaus-laskentataulu'!O:O),FALSE),0)</f>
        <v>1978109</v>
      </c>
      <c r="AF119" s="228">
        <f>Vertailu[[#This Row],[Suoritusrahoitus 2023, €]]-Vertailu[[#This Row],[Suoritusrahoitus 2022, €]]</f>
        <v>58523</v>
      </c>
      <c r="AG119" s="230">
        <f>IFERROR(Vertailu[[#This Row],[Suoritusrahoituksen muutos, €]]/Vertailu[[#This Row],[Suoritusrahoitus 2022, €]],0)</f>
        <v>3.0487302991374182E-2</v>
      </c>
      <c r="AH119" s="228">
        <f>IFERROR(VLOOKUP(Vertailu[[#This Row],[Y-tunnus]],'Suoritepäätös 2022 oikaistu'!$Q:$AC,COLUMN('Suoritepäätös 2022 oikaistu'!K:K),FALSE),0)</f>
        <v>1181862</v>
      </c>
      <c r="AI119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1055284</v>
      </c>
      <c r="AJ119" s="228">
        <f>Vertailu[[#This Row],[Vaikuttavuusrahoitus 2023, €]]-Vertailu[[#This Row],[Vaikuttavuusrahoitus 2022, €]]</f>
        <v>-126578</v>
      </c>
      <c r="AK119" s="230">
        <f>IFERROR(Vertailu[[#This Row],[Vaikuttavuusrahoituksen muutos, €]]/Vertailu[[#This Row],[Vaikuttavuusrahoitus 2022, €]],0)</f>
        <v>-0.10710049058181073</v>
      </c>
    </row>
    <row r="120" spans="1:37" s="5" customFormat="1" ht="12.75" customHeight="1" x14ac:dyDescent="0.35">
      <c r="A120" s="7" t="s">
        <v>215</v>
      </c>
      <c r="B120" s="188" t="s">
        <v>109</v>
      </c>
      <c r="C120" s="188" t="s">
        <v>186</v>
      </c>
      <c r="D120" s="11" t="s">
        <v>336</v>
      </c>
      <c r="E120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0.67589285917432418</v>
      </c>
      <c r="F120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0.67767615777125556</v>
      </c>
      <c r="G120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0.19995881195171639</v>
      </c>
      <c r="H120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0.12236503027702805</v>
      </c>
      <c r="I120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8.6493241083091935E-2</v>
      </c>
      <c r="J120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3.8574593443278407E-3</v>
      </c>
      <c r="K120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1.0713320053703115E-2</v>
      </c>
      <c r="L120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1.6897000178145379E-2</v>
      </c>
      <c r="M120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4.4040096177597847E-3</v>
      </c>
      <c r="N120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15006560</v>
      </c>
      <c r="O120" s="228">
        <f>IFERROR(VLOOKUP(Vertailu[[#This Row],[Y-tunnus]],'1.2 Ohjaus-laskentataulu'!A:AU,COLUMN('1.2 Ohjaus-laskentataulu'!AF:AF),FALSE),0)</f>
        <v>16232999</v>
      </c>
      <c r="P120" s="228">
        <f>IFERROR(Vertailu[[#This Row],[Rahoitus pl. hark. kor. 2023 ilman alv, €]]-Vertailu[[#This Row],[Rahoitus pl. hark. kor. 2022 ilman alv, €]],0)</f>
        <v>1226439</v>
      </c>
      <c r="Q120" s="230">
        <f>IFERROR(Vertailu[[#This Row],[Muutos, € 1]]/Vertailu[[#This Row],[Rahoitus pl. hark. kor. 2022 ilman alv, €]],0)</f>
        <v>8.1726858120715201E-2</v>
      </c>
      <c r="R120" s="233">
        <f>IFERROR(VLOOKUP(Vertailu[[#This Row],[Y-tunnus]],'Suoritepäätös 2022 oikaistu'!$Q:$AC,COLUMN('Suoritepäätös 2022 oikaistu'!L:L),FALSE),0)</f>
        <v>15034560</v>
      </c>
      <c r="S120" s="234">
        <f>IFERROR(VLOOKUP(Vertailu[[#This Row],[Y-tunnus]],'1.2 Ohjaus-laskentataulu'!A:AU,COLUMN('1.2 Ohjaus-laskentataulu'!AS:AS),FALSE),0)</f>
        <v>16261999</v>
      </c>
      <c r="T120" s="228">
        <f>IFERROR(Vertailu[[#This Row],[Rahoitus ml. hark. kor. 
2023 ilman alv, €]]-Vertailu[[#This Row],[Rahoitus ml. hark. kor. 
2022 ilman alv, €]],0)</f>
        <v>1227439</v>
      </c>
      <c r="U120" s="232">
        <f>IFERROR(Vertailu[[#This Row],[Muutos, € 2]]/Vertailu[[#This Row],[Rahoitus ml. hark. kor. 
2022 ilman alv, €]],0)</f>
        <v>8.1641165421535447E-2</v>
      </c>
      <c r="V120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15034560</v>
      </c>
      <c r="W120" s="233">
        <f>IFERROR(VLOOKUP(Vertailu[[#This Row],[Y-tunnus]],'1.2 Ohjaus-laskentataulu'!A:AU,COLUMN('1.2 Ohjaus-laskentataulu'!AU:AU),FALSE),0)</f>
        <v>16261999</v>
      </c>
      <c r="X120" s="235">
        <f>IFERROR(Vertailu[[#This Row],[Rahoitus ml. hark. kor. + alv 2023, €]]-Vertailu[[#This Row],[Rahoitus ml. hark. kor. + alv 2022, €]],0)</f>
        <v>1227439</v>
      </c>
      <c r="Y120" s="230">
        <f>IFERROR(Vertailu[[#This Row],[Muutos, € 3]]/Vertailu[[#This Row],[Rahoitus ml. hark. kor. + alv 2022, €]],0)</f>
        <v>8.1641165421535447E-2</v>
      </c>
      <c r="Z120" s="228">
        <f>IFERROR(VLOOKUP(Vertailu[[#This Row],[Y-tunnus]],'Suoritepäätös 2022 oikaistu'!$B:$N,COLUMN('Suoritepäätös 2022 oikaistu'!G:G),FALSE),0)</f>
        <v>10366286</v>
      </c>
      <c r="AA120" s="228">
        <f>IFERROR(VLOOKUP(Vertailu[[#This Row],[Y-tunnus]],'1.2 Ohjaus-laskentataulu'!A:AU,COLUMN('1.2 Ohjaus-laskentataulu'!AP:AP),FALSE),0)</f>
        <v>11020369</v>
      </c>
      <c r="AB120" s="228">
        <f>Vertailu[[#This Row],[Perusrahoitus 2023, €]]-Vertailu[[#This Row],[Perusrahoitus 2022, €]]</f>
        <v>654083</v>
      </c>
      <c r="AC120" s="230">
        <f>IFERROR(Vertailu[[#This Row],[Perusrahoituksen muutos, €]]/Vertailu[[#This Row],[Perusrahoitus 2022, €]],0)</f>
        <v>6.3097140094340448E-2</v>
      </c>
      <c r="AD120" s="228">
        <f>IFERROR(VLOOKUP(Vertailu[[#This Row],[Y-tunnus]],'Suoritepäätös 2022 oikaistu'!$B:$N,COLUMN('Suoritepäätös 2022 oikaistu'!M:M),FALSE),0)</f>
        <v>2864143</v>
      </c>
      <c r="AE120" s="228">
        <f>IFERROR(VLOOKUP(Vertailu[[#This Row],[Y-tunnus]],'1.2 Ohjaus-laskentataulu'!A:AU,COLUMN('1.2 Ohjaus-laskentataulu'!O:O),FALSE),0)</f>
        <v>3251730</v>
      </c>
      <c r="AF120" s="228">
        <f>Vertailu[[#This Row],[Suoritusrahoitus 2023, €]]-Vertailu[[#This Row],[Suoritusrahoitus 2022, €]]</f>
        <v>387587</v>
      </c>
      <c r="AG120" s="230">
        <f>IFERROR(Vertailu[[#This Row],[Suoritusrahoituksen muutos, €]]/Vertailu[[#This Row],[Suoritusrahoitus 2022, €]],0)</f>
        <v>0.13532389967959002</v>
      </c>
      <c r="AH120" s="228">
        <f>IFERROR(VLOOKUP(Vertailu[[#This Row],[Y-tunnus]],'Suoritepäätös 2022 oikaistu'!$Q:$AC,COLUMN('Suoritepäätös 2022 oikaistu'!K:K),FALSE),0)</f>
        <v>1804131</v>
      </c>
      <c r="AI120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1989900</v>
      </c>
      <c r="AJ120" s="228">
        <f>Vertailu[[#This Row],[Vaikuttavuusrahoitus 2023, €]]-Vertailu[[#This Row],[Vaikuttavuusrahoitus 2022, €]]</f>
        <v>185769</v>
      </c>
      <c r="AK120" s="230">
        <f>IFERROR(Vertailu[[#This Row],[Vaikuttavuusrahoituksen muutos, €]]/Vertailu[[#This Row],[Vaikuttavuusrahoitus 2022, €]],0)</f>
        <v>0.10296868686364793</v>
      </c>
    </row>
    <row r="121" spans="1:37" s="5" customFormat="1" ht="12.75" customHeight="1" x14ac:dyDescent="0.35">
      <c r="A121" s="7" t="s">
        <v>214</v>
      </c>
      <c r="B121" s="188" t="s">
        <v>110</v>
      </c>
      <c r="C121" s="188" t="s">
        <v>189</v>
      </c>
      <c r="D121" s="11" t="s">
        <v>337</v>
      </c>
      <c r="E121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0.61779963486074863</v>
      </c>
      <c r="F121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0.62953854593908842</v>
      </c>
      <c r="G121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0.25634365687517618</v>
      </c>
      <c r="H121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0.11411779718573542</v>
      </c>
      <c r="I121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7.7309977010313863E-2</v>
      </c>
      <c r="J121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6.1223066166414515E-3</v>
      </c>
      <c r="K121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2.0647351118937802E-2</v>
      </c>
      <c r="L121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6.8157046699415134E-3</v>
      </c>
      <c r="M121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3.22245776990079E-3</v>
      </c>
      <c r="N121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21374530</v>
      </c>
      <c r="O121" s="228">
        <f>IFERROR(VLOOKUP(Vertailu[[#This Row],[Y-tunnus]],'1.2 Ohjaus-laskentataulu'!A:AU,COLUMN('1.2 Ohjaus-laskentataulu'!AF:AF),FALSE),0)</f>
        <v>23403924</v>
      </c>
      <c r="P121" s="228">
        <f>IFERROR(Vertailu[[#This Row],[Rahoitus pl. hark. kor. 2023 ilman alv, €]]-Vertailu[[#This Row],[Rahoitus pl. hark. kor. 2022 ilman alv, €]],0)</f>
        <v>2029394</v>
      </c>
      <c r="Q121" s="230">
        <f>IFERROR(Vertailu[[#This Row],[Muutos, € 1]]/Vertailu[[#This Row],[Rahoitus pl. hark. kor. 2022 ilman alv, €]],0)</f>
        <v>9.4944497025197749E-2</v>
      </c>
      <c r="R121" s="233">
        <f>IFERROR(VLOOKUP(Vertailu[[#This Row],[Y-tunnus]],'Suoritepäätös 2022 oikaistu'!$Q:$AC,COLUMN('Suoritepäätös 2022 oikaistu'!L:L),FALSE),0)</f>
        <v>21594530</v>
      </c>
      <c r="S121" s="234">
        <f>IFERROR(VLOOKUP(Vertailu[[#This Row],[Y-tunnus]],'1.2 Ohjaus-laskentataulu'!A:AU,COLUMN('1.2 Ohjaus-laskentataulu'!AS:AS),FALSE),0)</f>
        <v>23681924</v>
      </c>
      <c r="T121" s="228">
        <f>IFERROR(Vertailu[[#This Row],[Rahoitus ml. hark. kor. 
2023 ilman alv, €]]-Vertailu[[#This Row],[Rahoitus ml. hark. kor. 
2022 ilman alv, €]],0)</f>
        <v>2087394</v>
      </c>
      <c r="U121" s="232">
        <f>IFERROR(Vertailu[[#This Row],[Muutos, € 2]]/Vertailu[[#This Row],[Rahoitus ml. hark. kor. 
2022 ilman alv, €]],0)</f>
        <v>9.6663090143661382E-2</v>
      </c>
      <c r="V121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23519372</v>
      </c>
      <c r="W121" s="233">
        <f>IFERROR(VLOOKUP(Vertailu[[#This Row],[Y-tunnus]],'1.2 Ohjaus-laskentataulu'!A:AU,COLUMN('1.2 Ohjaus-laskentataulu'!AU:AU),FALSE),0)</f>
        <v>24781587</v>
      </c>
      <c r="X121" s="235">
        <f>IFERROR(Vertailu[[#This Row],[Rahoitus ml. hark. kor. + alv 2023, €]]-Vertailu[[#This Row],[Rahoitus ml. hark. kor. + alv 2022, €]],0)</f>
        <v>1262215</v>
      </c>
      <c r="Y121" s="230">
        <f>IFERROR(Vertailu[[#This Row],[Muutos, € 3]]/Vertailu[[#This Row],[Rahoitus ml. hark. kor. + alv 2022, €]],0)</f>
        <v>5.3667036687884355E-2</v>
      </c>
      <c r="Z121" s="228">
        <f>IFERROR(VLOOKUP(Vertailu[[#This Row],[Y-tunnus]],'Suoritepäätös 2022 oikaistu'!$B:$N,COLUMN('Suoritepäätös 2022 oikaistu'!G:G),FALSE),0)</f>
        <v>13827283</v>
      </c>
      <c r="AA121" s="228">
        <f>IFERROR(VLOOKUP(Vertailu[[#This Row],[Y-tunnus]],'1.2 Ohjaus-laskentataulu'!A:AU,COLUMN('1.2 Ohjaus-laskentataulu'!AP:AP),FALSE),0)</f>
        <v>14908684</v>
      </c>
      <c r="AB121" s="228">
        <f>Vertailu[[#This Row],[Perusrahoitus 2023, €]]-Vertailu[[#This Row],[Perusrahoitus 2022, €]]</f>
        <v>1081401</v>
      </c>
      <c r="AC121" s="230">
        <f>IFERROR(Vertailu[[#This Row],[Perusrahoituksen muutos, €]]/Vertailu[[#This Row],[Perusrahoitus 2022, €]],0)</f>
        <v>7.8207772271674775E-2</v>
      </c>
      <c r="AD121" s="228">
        <f>IFERROR(VLOOKUP(Vertailu[[#This Row],[Y-tunnus]],'Suoritepäätös 2022 oikaistu'!$B:$N,COLUMN('Suoritepäätös 2022 oikaistu'!M:M),FALSE),0)</f>
        <v>5229739</v>
      </c>
      <c r="AE121" s="228">
        <f>IFERROR(VLOOKUP(Vertailu[[#This Row],[Y-tunnus]],'1.2 Ohjaus-laskentataulu'!A:AU,COLUMN('1.2 Ohjaus-laskentataulu'!O:O),FALSE),0)</f>
        <v>6070711</v>
      </c>
      <c r="AF121" s="228">
        <f>Vertailu[[#This Row],[Suoritusrahoitus 2023, €]]-Vertailu[[#This Row],[Suoritusrahoitus 2022, €]]</f>
        <v>840972</v>
      </c>
      <c r="AG121" s="230">
        <f>IFERROR(Vertailu[[#This Row],[Suoritusrahoituksen muutos, €]]/Vertailu[[#This Row],[Suoritusrahoitus 2022, €]],0)</f>
        <v>0.16080573045805918</v>
      </c>
      <c r="AH121" s="228">
        <f>IFERROR(VLOOKUP(Vertailu[[#This Row],[Y-tunnus]],'Suoritepäätös 2022 oikaistu'!$Q:$AC,COLUMN('Suoritepäätös 2022 oikaistu'!K:K),FALSE),0)</f>
        <v>2537508</v>
      </c>
      <c r="AI121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2702529</v>
      </c>
      <c r="AJ121" s="228">
        <f>Vertailu[[#This Row],[Vaikuttavuusrahoitus 2023, €]]-Vertailu[[#This Row],[Vaikuttavuusrahoitus 2022, €]]</f>
        <v>165021</v>
      </c>
      <c r="AK121" s="230">
        <f>IFERROR(Vertailu[[#This Row],[Vaikuttavuusrahoituksen muutos, €]]/Vertailu[[#This Row],[Vaikuttavuusrahoitus 2022, €]],0)</f>
        <v>6.5032701374734589E-2</v>
      </c>
    </row>
    <row r="122" spans="1:37" s="5" customFormat="1" ht="12.75" customHeight="1" x14ac:dyDescent="0.35">
      <c r="A122" s="7" t="s">
        <v>213</v>
      </c>
      <c r="B122" s="188" t="s">
        <v>111</v>
      </c>
      <c r="C122" s="188" t="s">
        <v>189</v>
      </c>
      <c r="D122" s="11" t="s">
        <v>338</v>
      </c>
      <c r="E122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0.67852675143719388</v>
      </c>
      <c r="F122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0.68134856053388204</v>
      </c>
      <c r="G122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0.20930299730025792</v>
      </c>
      <c r="H122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0.10934844216586002</v>
      </c>
      <c r="I122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8.1046278197614355E-2</v>
      </c>
      <c r="J122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2.9369008609688315E-3</v>
      </c>
      <c r="K122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9.8392572829360345E-3</v>
      </c>
      <c r="L122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1.2445837382418015E-2</v>
      </c>
      <c r="M122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3.080168441922783E-3</v>
      </c>
      <c r="N122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87703368</v>
      </c>
      <c r="O122" s="228">
        <f>IFERROR(VLOOKUP(Vertailu[[#This Row],[Y-tunnus]],'1.2 Ohjaus-laskentataulu'!A:AU,COLUMN('1.2 Ohjaus-laskentataulu'!AF:AF),FALSE),0)</f>
        <v>94353150</v>
      </c>
      <c r="P122" s="228">
        <f>IFERROR(Vertailu[[#This Row],[Rahoitus pl. hark. kor. 2023 ilman alv, €]]-Vertailu[[#This Row],[Rahoitus pl. hark. kor. 2022 ilman alv, €]],0)</f>
        <v>6649782</v>
      </c>
      <c r="Q122" s="230">
        <f>IFERROR(Vertailu[[#This Row],[Muutos, € 1]]/Vertailu[[#This Row],[Rahoitus pl. hark. kor. 2022 ilman alv, €]],0)</f>
        <v>7.5821284309172704E-2</v>
      </c>
      <c r="R122" s="233">
        <f>IFERROR(VLOOKUP(Vertailu[[#This Row],[Y-tunnus]],'Suoritepäätös 2022 oikaistu'!$Q:$AC,COLUMN('Suoritepäätös 2022 oikaistu'!L:L),FALSE),0)</f>
        <v>87969368</v>
      </c>
      <c r="S122" s="234">
        <f>IFERROR(VLOOKUP(Vertailu[[#This Row],[Y-tunnus]],'1.2 Ohjaus-laskentataulu'!A:AU,COLUMN('1.2 Ohjaus-laskentataulu'!AS:AS),FALSE),0)</f>
        <v>94620150</v>
      </c>
      <c r="T122" s="228">
        <f>IFERROR(Vertailu[[#This Row],[Rahoitus ml. hark. kor. 
2023 ilman alv, €]]-Vertailu[[#This Row],[Rahoitus ml. hark. kor. 
2022 ilman alv, €]],0)</f>
        <v>6650782</v>
      </c>
      <c r="U122" s="232">
        <f>IFERROR(Vertailu[[#This Row],[Muutos, € 2]]/Vertailu[[#This Row],[Rahoitus ml. hark. kor. 
2022 ilman alv, €]],0)</f>
        <v>7.5603385032844611E-2</v>
      </c>
      <c r="V122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87969368</v>
      </c>
      <c r="W122" s="233">
        <f>IFERROR(VLOOKUP(Vertailu[[#This Row],[Y-tunnus]],'1.2 Ohjaus-laskentataulu'!A:AU,COLUMN('1.2 Ohjaus-laskentataulu'!AU:AU),FALSE),0)</f>
        <v>94620150</v>
      </c>
      <c r="X122" s="235">
        <f>IFERROR(Vertailu[[#This Row],[Rahoitus ml. hark. kor. + alv 2023, €]]-Vertailu[[#This Row],[Rahoitus ml. hark. kor. + alv 2022, €]],0)</f>
        <v>6650782</v>
      </c>
      <c r="Y122" s="230">
        <f>IFERROR(Vertailu[[#This Row],[Muutos, € 3]]/Vertailu[[#This Row],[Rahoitus ml. hark. kor. + alv 2022, €]],0)</f>
        <v>7.5603385032844611E-2</v>
      </c>
      <c r="Z122" s="228">
        <f>IFERROR(VLOOKUP(Vertailu[[#This Row],[Y-tunnus]],'Suoritepäätös 2022 oikaistu'!$B:$N,COLUMN('Suoritepäätös 2022 oikaistu'!G:G),FALSE),0)</f>
        <v>59821833</v>
      </c>
      <c r="AA122" s="228">
        <f>IFERROR(VLOOKUP(Vertailu[[#This Row],[Y-tunnus]],'1.2 Ohjaus-laskentataulu'!A:AU,COLUMN('1.2 Ohjaus-laskentataulu'!AP:AP),FALSE),0)</f>
        <v>64469303</v>
      </c>
      <c r="AB122" s="228">
        <f>Vertailu[[#This Row],[Perusrahoitus 2023, €]]-Vertailu[[#This Row],[Perusrahoitus 2022, €]]</f>
        <v>4647470</v>
      </c>
      <c r="AC122" s="230">
        <f>IFERROR(Vertailu[[#This Row],[Perusrahoituksen muutos, €]]/Vertailu[[#This Row],[Perusrahoitus 2022, €]],0)</f>
        <v>7.7688525525454896E-2</v>
      </c>
      <c r="AD122" s="228">
        <f>IFERROR(VLOOKUP(Vertailu[[#This Row],[Y-tunnus]],'Suoritepäätös 2022 oikaistu'!$B:$N,COLUMN('Suoritepäätös 2022 oikaistu'!M:M),FALSE),0)</f>
        <v>18088322</v>
      </c>
      <c r="AE122" s="228">
        <f>IFERROR(VLOOKUP(Vertailu[[#This Row],[Y-tunnus]],'1.2 Ohjaus-laskentataulu'!A:AU,COLUMN('1.2 Ohjaus-laskentataulu'!O:O),FALSE),0)</f>
        <v>19804281</v>
      </c>
      <c r="AF122" s="228">
        <f>Vertailu[[#This Row],[Suoritusrahoitus 2023, €]]-Vertailu[[#This Row],[Suoritusrahoitus 2022, €]]</f>
        <v>1715959</v>
      </c>
      <c r="AG122" s="230">
        <f>IFERROR(Vertailu[[#This Row],[Suoritusrahoituksen muutos, €]]/Vertailu[[#This Row],[Suoritusrahoitus 2022, €]],0)</f>
        <v>9.4865571278529875E-2</v>
      </c>
      <c r="AH122" s="228">
        <f>IFERROR(VLOOKUP(Vertailu[[#This Row],[Y-tunnus]],'Suoritepäätös 2022 oikaistu'!$Q:$AC,COLUMN('Suoritepäätös 2022 oikaistu'!K:K),FALSE),0)</f>
        <v>10059213</v>
      </c>
      <c r="AI122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10346566</v>
      </c>
      <c r="AJ122" s="228">
        <f>Vertailu[[#This Row],[Vaikuttavuusrahoitus 2023, €]]-Vertailu[[#This Row],[Vaikuttavuusrahoitus 2022, €]]</f>
        <v>287353</v>
      </c>
      <c r="AK122" s="230">
        <f>IFERROR(Vertailu[[#This Row],[Vaikuttavuusrahoituksen muutos, €]]/Vertailu[[#This Row],[Vaikuttavuusrahoitus 2022, €]],0)</f>
        <v>2.8566151248611595E-2</v>
      </c>
    </row>
    <row r="123" spans="1:37" s="5" customFormat="1" ht="12.75" customHeight="1" x14ac:dyDescent="0.35">
      <c r="A123" s="7" t="s">
        <v>212</v>
      </c>
      <c r="B123" s="188" t="s">
        <v>112</v>
      </c>
      <c r="C123" s="188" t="s">
        <v>189</v>
      </c>
      <c r="D123" s="11" t="s">
        <v>337</v>
      </c>
      <c r="E123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0.64178815643907916</v>
      </c>
      <c r="F123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0.64178815643907916</v>
      </c>
      <c r="G123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0.28440631743087863</v>
      </c>
      <c r="H123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7.3805526130042251E-2</v>
      </c>
      <c r="I123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6.333091341889166E-2</v>
      </c>
      <c r="J123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2.5381136524562876E-3</v>
      </c>
      <c r="K123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7.9364990586942973E-3</v>
      </c>
      <c r="L123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0</v>
      </c>
      <c r="M123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0</v>
      </c>
      <c r="N123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773019</v>
      </c>
      <c r="O123" s="228">
        <f>IFERROR(VLOOKUP(Vertailu[[#This Row],[Y-tunnus]],'1.2 Ohjaus-laskentataulu'!A:AU,COLUMN('1.2 Ohjaus-laskentataulu'!AF:AF),FALSE),0)</f>
        <v>893971</v>
      </c>
      <c r="P123" s="228">
        <f>IFERROR(Vertailu[[#This Row],[Rahoitus pl. hark. kor. 2023 ilman alv, €]]-Vertailu[[#This Row],[Rahoitus pl. hark. kor. 2022 ilman alv, €]],0)</f>
        <v>120952</v>
      </c>
      <c r="Q123" s="230">
        <f>IFERROR(Vertailu[[#This Row],[Muutos, € 1]]/Vertailu[[#This Row],[Rahoitus pl. hark. kor. 2022 ilman alv, €]],0)</f>
        <v>0.15646704673494441</v>
      </c>
      <c r="R123" s="233">
        <f>IFERROR(VLOOKUP(Vertailu[[#This Row],[Y-tunnus]],'Suoritepäätös 2022 oikaistu'!$Q:$AC,COLUMN('Suoritepäätös 2022 oikaistu'!L:L),FALSE),0)</f>
        <v>813019</v>
      </c>
      <c r="S123" s="234">
        <f>IFERROR(VLOOKUP(Vertailu[[#This Row],[Y-tunnus]],'1.2 Ohjaus-laskentataulu'!A:AU,COLUMN('1.2 Ohjaus-laskentataulu'!AS:AS),FALSE),0)</f>
        <v>893971</v>
      </c>
      <c r="T123" s="228">
        <f>IFERROR(Vertailu[[#This Row],[Rahoitus ml. hark. kor. 
2023 ilman alv, €]]-Vertailu[[#This Row],[Rahoitus ml. hark. kor. 
2022 ilman alv, €]],0)</f>
        <v>80952</v>
      </c>
      <c r="U123" s="232">
        <f>IFERROR(Vertailu[[#This Row],[Muutos, € 2]]/Vertailu[[#This Row],[Rahoitus ml. hark. kor. 
2022 ilman alv, €]],0)</f>
        <v>9.9569628754063555E-2</v>
      </c>
      <c r="V123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835769</v>
      </c>
      <c r="W123" s="233">
        <f>IFERROR(VLOOKUP(Vertailu[[#This Row],[Y-tunnus]],'1.2 Ohjaus-laskentataulu'!A:AU,COLUMN('1.2 Ohjaus-laskentataulu'!AU:AU),FALSE),0)</f>
        <v>920193</v>
      </c>
      <c r="X123" s="235">
        <f>IFERROR(Vertailu[[#This Row],[Rahoitus ml. hark. kor. + alv 2023, €]]-Vertailu[[#This Row],[Rahoitus ml. hark. kor. + alv 2022, €]],0)</f>
        <v>84424</v>
      </c>
      <c r="Y123" s="230">
        <f>IFERROR(Vertailu[[#This Row],[Muutos, € 3]]/Vertailu[[#This Row],[Rahoitus ml. hark. kor. + alv 2022, €]],0)</f>
        <v>0.10101355757392294</v>
      </c>
      <c r="Z123" s="228">
        <f>IFERROR(VLOOKUP(Vertailu[[#This Row],[Y-tunnus]],'Suoritepäätös 2022 oikaistu'!$B:$N,COLUMN('Suoritepäätös 2022 oikaistu'!G:G),FALSE),0)</f>
        <v>571907</v>
      </c>
      <c r="AA123" s="228">
        <f>IFERROR(VLOOKUP(Vertailu[[#This Row],[Y-tunnus]],'1.2 Ohjaus-laskentataulu'!A:AU,COLUMN('1.2 Ohjaus-laskentataulu'!AP:AP),FALSE),0)</f>
        <v>573740</v>
      </c>
      <c r="AB123" s="228">
        <f>Vertailu[[#This Row],[Perusrahoitus 2023, €]]-Vertailu[[#This Row],[Perusrahoitus 2022, €]]</f>
        <v>1833</v>
      </c>
      <c r="AC123" s="230">
        <f>IFERROR(Vertailu[[#This Row],[Perusrahoituksen muutos, €]]/Vertailu[[#This Row],[Perusrahoitus 2022, €]],0)</f>
        <v>3.2050665580242942E-3</v>
      </c>
      <c r="AD123" s="228">
        <f>IFERROR(VLOOKUP(Vertailu[[#This Row],[Y-tunnus]],'Suoritepäätös 2022 oikaistu'!$B:$N,COLUMN('Suoritepäätös 2022 oikaistu'!M:M),FALSE),0)</f>
        <v>164213</v>
      </c>
      <c r="AE123" s="228">
        <f>IFERROR(VLOOKUP(Vertailu[[#This Row],[Y-tunnus]],'1.2 Ohjaus-laskentataulu'!A:AU,COLUMN('1.2 Ohjaus-laskentataulu'!O:O),FALSE),0)</f>
        <v>254251</v>
      </c>
      <c r="AF123" s="228">
        <f>Vertailu[[#This Row],[Suoritusrahoitus 2023, €]]-Vertailu[[#This Row],[Suoritusrahoitus 2022, €]]</f>
        <v>90038</v>
      </c>
      <c r="AG123" s="230">
        <f>IFERROR(Vertailu[[#This Row],[Suoritusrahoituksen muutos, €]]/Vertailu[[#This Row],[Suoritusrahoitus 2022, €]],0)</f>
        <v>0.54830007368478739</v>
      </c>
      <c r="AH123" s="228">
        <f>IFERROR(VLOOKUP(Vertailu[[#This Row],[Y-tunnus]],'Suoritepäätös 2022 oikaistu'!$Q:$AC,COLUMN('Suoritepäätös 2022 oikaistu'!K:K),FALSE),0)</f>
        <v>76899</v>
      </c>
      <c r="AI123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65980</v>
      </c>
      <c r="AJ123" s="228">
        <f>Vertailu[[#This Row],[Vaikuttavuusrahoitus 2023, €]]-Vertailu[[#This Row],[Vaikuttavuusrahoitus 2022, €]]</f>
        <v>-10919</v>
      </c>
      <c r="AK123" s="230">
        <f>IFERROR(Vertailu[[#This Row],[Vaikuttavuusrahoituksen muutos, €]]/Vertailu[[#This Row],[Vaikuttavuusrahoitus 2022, €]],0)</f>
        <v>-0.1419914433217597</v>
      </c>
    </row>
    <row r="124" spans="1:37" s="5" customFormat="1" ht="12.75" customHeight="1" x14ac:dyDescent="0.35">
      <c r="A124" s="7" t="s">
        <v>211</v>
      </c>
      <c r="B124" s="188" t="s">
        <v>113</v>
      </c>
      <c r="C124" s="188" t="s">
        <v>210</v>
      </c>
      <c r="D124" s="11" t="s">
        <v>337</v>
      </c>
      <c r="E124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0.63850310985376402</v>
      </c>
      <c r="F124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0.63850310985376402</v>
      </c>
      <c r="G124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0.26627004763588707</v>
      </c>
      <c r="H124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9.5226842510348839E-2</v>
      </c>
      <c r="I124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6.8326087408732555E-2</v>
      </c>
      <c r="J124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4.8343144800615731E-3</v>
      </c>
      <c r="K124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1.3964595510993697E-2</v>
      </c>
      <c r="L124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6.3253801510203232E-3</v>
      </c>
      <c r="M124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1.7764649595406986E-3</v>
      </c>
      <c r="N124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1112735</v>
      </c>
      <c r="O124" s="228">
        <f>IFERROR(VLOOKUP(Vertailu[[#This Row],[Y-tunnus]],'1.2 Ohjaus-laskentataulu'!A:AU,COLUMN('1.2 Ohjaus-laskentataulu'!AF:AF),FALSE),0)</f>
        <v>1201825</v>
      </c>
      <c r="P124" s="228">
        <f>IFERROR(Vertailu[[#This Row],[Rahoitus pl. hark. kor. 2023 ilman alv, €]]-Vertailu[[#This Row],[Rahoitus pl. hark. kor. 2022 ilman alv, €]],0)</f>
        <v>89090</v>
      </c>
      <c r="Q124" s="230">
        <f>IFERROR(Vertailu[[#This Row],[Muutos, € 1]]/Vertailu[[#This Row],[Rahoitus pl. hark. kor. 2022 ilman alv, €]],0)</f>
        <v>8.0063986483753999E-2</v>
      </c>
      <c r="R124" s="233">
        <f>IFERROR(VLOOKUP(Vertailu[[#This Row],[Y-tunnus]],'Suoritepäätös 2022 oikaistu'!$Q:$AC,COLUMN('Suoritepäätös 2022 oikaistu'!L:L),FALSE),0)</f>
        <v>1112735</v>
      </c>
      <c r="S124" s="234">
        <f>IFERROR(VLOOKUP(Vertailu[[#This Row],[Y-tunnus]],'1.2 Ohjaus-laskentataulu'!A:AU,COLUMN('1.2 Ohjaus-laskentataulu'!AS:AS),FALSE),0)</f>
        <v>1201825</v>
      </c>
      <c r="T124" s="228">
        <f>IFERROR(Vertailu[[#This Row],[Rahoitus ml. hark. kor. 
2023 ilman alv, €]]-Vertailu[[#This Row],[Rahoitus ml. hark. kor. 
2022 ilman alv, €]],0)</f>
        <v>89090</v>
      </c>
      <c r="U124" s="232">
        <f>IFERROR(Vertailu[[#This Row],[Muutos, € 2]]/Vertailu[[#This Row],[Rahoitus ml. hark. kor. 
2022 ilman alv, €]],0)</f>
        <v>8.0063986483753999E-2</v>
      </c>
      <c r="V124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1152081</v>
      </c>
      <c r="W124" s="233">
        <f>IFERROR(VLOOKUP(Vertailu[[#This Row],[Y-tunnus]],'1.2 Ohjaus-laskentataulu'!A:AU,COLUMN('1.2 Ohjaus-laskentataulu'!AU:AU),FALSE),0)</f>
        <v>1258378</v>
      </c>
      <c r="X124" s="235">
        <f>IFERROR(Vertailu[[#This Row],[Rahoitus ml. hark. kor. + alv 2023, €]]-Vertailu[[#This Row],[Rahoitus ml. hark. kor. + alv 2022, €]],0)</f>
        <v>106297</v>
      </c>
      <c r="Y124" s="230">
        <f>IFERROR(Vertailu[[#This Row],[Muutos, € 3]]/Vertailu[[#This Row],[Rahoitus ml. hark. kor. + alv 2022, €]],0)</f>
        <v>9.2265213991030146E-2</v>
      </c>
      <c r="Z124" s="228">
        <f>IFERROR(VLOOKUP(Vertailu[[#This Row],[Y-tunnus]],'Suoritepäätös 2022 oikaistu'!$B:$N,COLUMN('Suoritepäätös 2022 oikaistu'!G:G),FALSE),0)</f>
        <v>719387</v>
      </c>
      <c r="AA124" s="228">
        <f>IFERROR(VLOOKUP(Vertailu[[#This Row],[Y-tunnus]],'1.2 Ohjaus-laskentataulu'!A:AU,COLUMN('1.2 Ohjaus-laskentataulu'!AP:AP),FALSE),0)</f>
        <v>767369</v>
      </c>
      <c r="AB124" s="228">
        <f>Vertailu[[#This Row],[Perusrahoitus 2023, €]]-Vertailu[[#This Row],[Perusrahoitus 2022, €]]</f>
        <v>47982</v>
      </c>
      <c r="AC124" s="230">
        <f>IFERROR(Vertailu[[#This Row],[Perusrahoituksen muutos, €]]/Vertailu[[#This Row],[Perusrahoitus 2022, €]],0)</f>
        <v>6.6698452988447107E-2</v>
      </c>
      <c r="AD124" s="228">
        <f>IFERROR(VLOOKUP(Vertailu[[#This Row],[Y-tunnus]],'Suoritepäätös 2022 oikaistu'!$B:$N,COLUMN('Suoritepäätös 2022 oikaistu'!M:M),FALSE),0)</f>
        <v>274783</v>
      </c>
      <c r="AE124" s="228">
        <f>IFERROR(VLOOKUP(Vertailu[[#This Row],[Y-tunnus]],'1.2 Ohjaus-laskentataulu'!A:AU,COLUMN('1.2 Ohjaus-laskentataulu'!O:O),FALSE),0)</f>
        <v>320010</v>
      </c>
      <c r="AF124" s="228">
        <f>Vertailu[[#This Row],[Suoritusrahoitus 2023, €]]-Vertailu[[#This Row],[Suoritusrahoitus 2022, €]]</f>
        <v>45227</v>
      </c>
      <c r="AG124" s="230">
        <f>IFERROR(Vertailu[[#This Row],[Suoritusrahoituksen muutos, €]]/Vertailu[[#This Row],[Suoritusrahoitus 2022, €]],0)</f>
        <v>0.16459169599283799</v>
      </c>
      <c r="AH124" s="228">
        <f>IFERROR(VLOOKUP(Vertailu[[#This Row],[Y-tunnus]],'Suoritepäätös 2022 oikaistu'!$Q:$AC,COLUMN('Suoritepäätös 2022 oikaistu'!K:K),FALSE),0)</f>
        <v>118565</v>
      </c>
      <c r="AI124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114446</v>
      </c>
      <c r="AJ124" s="228">
        <f>Vertailu[[#This Row],[Vaikuttavuusrahoitus 2023, €]]-Vertailu[[#This Row],[Vaikuttavuusrahoitus 2022, €]]</f>
        <v>-4119</v>
      </c>
      <c r="AK124" s="230">
        <f>IFERROR(Vertailu[[#This Row],[Vaikuttavuusrahoituksen muutos, €]]/Vertailu[[#This Row],[Vaikuttavuusrahoitus 2022, €]],0)</f>
        <v>-3.4740437734575969E-2</v>
      </c>
    </row>
    <row r="125" spans="1:37" s="5" customFormat="1" ht="12.75" customHeight="1" x14ac:dyDescent="0.35">
      <c r="A125" s="7" t="s">
        <v>206</v>
      </c>
      <c r="B125" s="188" t="s">
        <v>114</v>
      </c>
      <c r="C125" s="188" t="s">
        <v>184</v>
      </c>
      <c r="D125" s="11" t="s">
        <v>337</v>
      </c>
      <c r="E125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0.72344607757055679</v>
      </c>
      <c r="F125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0.72344607757055679</v>
      </c>
      <c r="G125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0.17907311735789694</v>
      </c>
      <c r="H125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9.7480805071546314E-2</v>
      </c>
      <c r="I125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7.5215220205954822E-2</v>
      </c>
      <c r="J125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3.6644026127288869E-3</v>
      </c>
      <c r="K125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8.6305032045102606E-3</v>
      </c>
      <c r="L125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8.1704061829835327E-3</v>
      </c>
      <c r="M125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1.8002728653688164E-3</v>
      </c>
      <c r="N125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2268579</v>
      </c>
      <c r="O125" s="228">
        <f>IFERROR(VLOOKUP(Vertailu[[#This Row],[Y-tunnus]],'1.2 Ohjaus-laskentataulu'!A:AU,COLUMN('1.2 Ohjaus-laskentataulu'!AF:AF),FALSE),0)</f>
        <v>2442963</v>
      </c>
      <c r="P125" s="228">
        <f>IFERROR(Vertailu[[#This Row],[Rahoitus pl. hark. kor. 2023 ilman alv, €]]-Vertailu[[#This Row],[Rahoitus pl. hark. kor. 2022 ilman alv, €]],0)</f>
        <v>174384</v>
      </c>
      <c r="Q125" s="230">
        <f>IFERROR(Vertailu[[#This Row],[Muutos, € 1]]/Vertailu[[#This Row],[Rahoitus pl. hark. kor. 2022 ilman alv, €]],0)</f>
        <v>7.6869264856987571E-2</v>
      </c>
      <c r="R125" s="233">
        <f>IFERROR(VLOOKUP(Vertailu[[#This Row],[Y-tunnus]],'Suoritepäätös 2022 oikaistu'!$Q:$AC,COLUMN('Suoritepäätös 2022 oikaistu'!L:L),FALSE),0)</f>
        <v>2268579</v>
      </c>
      <c r="S125" s="234">
        <f>IFERROR(VLOOKUP(Vertailu[[#This Row],[Y-tunnus]],'1.2 Ohjaus-laskentataulu'!A:AU,COLUMN('1.2 Ohjaus-laskentataulu'!AS:AS),FALSE),0)</f>
        <v>2442963</v>
      </c>
      <c r="T125" s="228">
        <f>IFERROR(Vertailu[[#This Row],[Rahoitus ml. hark. kor. 
2023 ilman alv, €]]-Vertailu[[#This Row],[Rahoitus ml. hark. kor. 
2022 ilman alv, €]],0)</f>
        <v>174384</v>
      </c>
      <c r="U125" s="232">
        <f>IFERROR(Vertailu[[#This Row],[Muutos, € 2]]/Vertailu[[#This Row],[Rahoitus ml. hark. kor. 
2022 ilman alv, €]],0)</f>
        <v>7.6869264856987571E-2</v>
      </c>
      <c r="V125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2435893</v>
      </c>
      <c r="W125" s="233">
        <f>IFERROR(VLOOKUP(Vertailu[[#This Row],[Y-tunnus]],'1.2 Ohjaus-laskentataulu'!A:AU,COLUMN('1.2 Ohjaus-laskentataulu'!AU:AU),FALSE),0)</f>
        <v>2580873</v>
      </c>
      <c r="X125" s="235">
        <f>IFERROR(Vertailu[[#This Row],[Rahoitus ml. hark. kor. + alv 2023, €]]-Vertailu[[#This Row],[Rahoitus ml. hark. kor. + alv 2022, €]],0)</f>
        <v>144980</v>
      </c>
      <c r="Y125" s="230">
        <f>IFERROR(Vertailu[[#This Row],[Muutos, € 3]]/Vertailu[[#This Row],[Rahoitus ml. hark. kor. + alv 2022, €]],0)</f>
        <v>5.9518213648957485E-2</v>
      </c>
      <c r="Z125" s="228">
        <f>IFERROR(VLOOKUP(Vertailu[[#This Row],[Y-tunnus]],'Suoritepäätös 2022 oikaistu'!$B:$N,COLUMN('Suoritepäätös 2022 oikaistu'!G:G),FALSE),0)</f>
        <v>1621979</v>
      </c>
      <c r="AA125" s="228">
        <f>IFERROR(VLOOKUP(Vertailu[[#This Row],[Y-tunnus]],'1.2 Ohjaus-laskentataulu'!A:AU,COLUMN('1.2 Ohjaus-laskentataulu'!AP:AP),FALSE),0)</f>
        <v>1767352</v>
      </c>
      <c r="AB125" s="228">
        <f>Vertailu[[#This Row],[Perusrahoitus 2023, €]]-Vertailu[[#This Row],[Perusrahoitus 2022, €]]</f>
        <v>145373</v>
      </c>
      <c r="AC125" s="230">
        <f>IFERROR(Vertailu[[#This Row],[Perusrahoituksen muutos, €]]/Vertailu[[#This Row],[Perusrahoitus 2022, €]],0)</f>
        <v>8.962693105151176E-2</v>
      </c>
      <c r="AD125" s="228">
        <f>IFERROR(VLOOKUP(Vertailu[[#This Row],[Y-tunnus]],'Suoritepäätös 2022 oikaistu'!$B:$N,COLUMN('Suoritepäätös 2022 oikaistu'!M:M),FALSE),0)</f>
        <v>453390</v>
      </c>
      <c r="AE125" s="228">
        <f>IFERROR(VLOOKUP(Vertailu[[#This Row],[Y-tunnus]],'1.2 Ohjaus-laskentataulu'!A:AU,COLUMN('1.2 Ohjaus-laskentataulu'!O:O),FALSE),0)</f>
        <v>437469</v>
      </c>
      <c r="AF125" s="228">
        <f>Vertailu[[#This Row],[Suoritusrahoitus 2023, €]]-Vertailu[[#This Row],[Suoritusrahoitus 2022, €]]</f>
        <v>-15921</v>
      </c>
      <c r="AG125" s="230">
        <f>IFERROR(Vertailu[[#This Row],[Suoritusrahoituksen muutos, €]]/Vertailu[[#This Row],[Suoritusrahoitus 2022, €]],0)</f>
        <v>-3.5115463508237937E-2</v>
      </c>
      <c r="AH125" s="228">
        <f>IFERROR(VLOOKUP(Vertailu[[#This Row],[Y-tunnus]],'Suoritepäätös 2022 oikaistu'!$Q:$AC,COLUMN('Suoritepäätös 2022 oikaistu'!K:K),FALSE),0)</f>
        <v>193210</v>
      </c>
      <c r="AI125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238142</v>
      </c>
      <c r="AJ125" s="228">
        <f>Vertailu[[#This Row],[Vaikuttavuusrahoitus 2023, €]]-Vertailu[[#This Row],[Vaikuttavuusrahoitus 2022, €]]</f>
        <v>44932</v>
      </c>
      <c r="AK125" s="230">
        <f>IFERROR(Vertailu[[#This Row],[Vaikuttavuusrahoituksen muutos, €]]/Vertailu[[#This Row],[Vaikuttavuusrahoitus 2022, €]],0)</f>
        <v>0.23255525076341804</v>
      </c>
    </row>
    <row r="126" spans="1:37" s="5" customFormat="1" ht="12.75" customHeight="1" x14ac:dyDescent="0.35">
      <c r="A126" s="7" t="s">
        <v>207</v>
      </c>
      <c r="B126" s="188" t="s">
        <v>115</v>
      </c>
      <c r="C126" s="188" t="s">
        <v>184</v>
      </c>
      <c r="D126" s="11" t="s">
        <v>337</v>
      </c>
      <c r="E126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0.67058113823052157</v>
      </c>
      <c r="F126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0.68109072717947861</v>
      </c>
      <c r="G126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0.22110913997931714</v>
      </c>
      <c r="H126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9.7800132841204312E-2</v>
      </c>
      <c r="I126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6.085472385004078E-2</v>
      </c>
      <c r="J126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1.2218448112057441E-2</v>
      </c>
      <c r="K126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1.0772328672680954E-2</v>
      </c>
      <c r="L126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9.7844273114789937E-3</v>
      </c>
      <c r="M126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4.1702048949461487E-3</v>
      </c>
      <c r="N126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480826</v>
      </c>
      <c r="O126" s="228">
        <f>IFERROR(VLOOKUP(Vertailu[[#This Row],[Y-tunnus]],'1.2 Ohjaus-laskentataulu'!A:AU,COLUMN('1.2 Ohjaus-laskentataulu'!AF:AF),FALSE),0)</f>
        <v>470756</v>
      </c>
      <c r="P126" s="228">
        <f>IFERROR(Vertailu[[#This Row],[Rahoitus pl. hark. kor. 2023 ilman alv, €]]-Vertailu[[#This Row],[Rahoitus pl. hark. kor. 2022 ilman alv, €]],0)</f>
        <v>-10070</v>
      </c>
      <c r="Q126" s="230">
        <f>IFERROR(Vertailu[[#This Row],[Muutos, € 1]]/Vertailu[[#This Row],[Rahoitus pl. hark. kor. 2022 ilman alv, €]],0)</f>
        <v>-2.0943127035559641E-2</v>
      </c>
      <c r="R126" s="233">
        <f>IFERROR(VLOOKUP(Vertailu[[#This Row],[Y-tunnus]],'Suoritepäätös 2022 oikaistu'!$Q:$AC,COLUMN('Suoritepäätös 2022 oikaistu'!L:L),FALSE),0)</f>
        <v>485826</v>
      </c>
      <c r="S126" s="234">
        <f>IFERROR(VLOOKUP(Vertailu[[#This Row],[Y-tunnus]],'1.2 Ohjaus-laskentataulu'!A:AU,COLUMN('1.2 Ohjaus-laskentataulu'!AS:AS),FALSE),0)</f>
        <v>475756</v>
      </c>
      <c r="T126" s="228">
        <f>IFERROR(Vertailu[[#This Row],[Rahoitus ml. hark. kor. 
2023 ilman alv, €]]-Vertailu[[#This Row],[Rahoitus ml. hark. kor. 
2022 ilman alv, €]],0)</f>
        <v>-10070</v>
      </c>
      <c r="U126" s="232">
        <f>IFERROR(Vertailu[[#This Row],[Muutos, € 2]]/Vertailu[[#This Row],[Rahoitus ml. hark. kor. 
2022 ilman alv, €]],0)</f>
        <v>-2.0727585596489278E-2</v>
      </c>
      <c r="V126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593341</v>
      </c>
      <c r="W126" s="233">
        <f>IFERROR(VLOOKUP(Vertailu[[#This Row],[Y-tunnus]],'1.2 Ohjaus-laskentataulu'!A:AU,COLUMN('1.2 Ohjaus-laskentataulu'!AU:AU),FALSE),0)</f>
        <v>618558</v>
      </c>
      <c r="X126" s="235">
        <f>IFERROR(Vertailu[[#This Row],[Rahoitus ml. hark. kor. + alv 2023, €]]-Vertailu[[#This Row],[Rahoitus ml. hark. kor. + alv 2022, €]],0)</f>
        <v>25217</v>
      </c>
      <c r="Y126" s="230">
        <f>IFERROR(Vertailu[[#This Row],[Muutos, € 3]]/Vertailu[[#This Row],[Rahoitus ml. hark. kor. + alv 2022, €]],0)</f>
        <v>4.2500012640286106E-2</v>
      </c>
      <c r="Z126" s="228">
        <f>IFERROR(VLOOKUP(Vertailu[[#This Row],[Y-tunnus]],'Suoritepäätös 2022 oikaistu'!$B:$N,COLUMN('Suoritepäätös 2022 oikaistu'!G:G),FALSE),0)</f>
        <v>378129</v>
      </c>
      <c r="AA126" s="228">
        <f>IFERROR(VLOOKUP(Vertailu[[#This Row],[Y-tunnus]],'1.2 Ohjaus-laskentataulu'!A:AU,COLUMN('1.2 Ohjaus-laskentataulu'!AP:AP),FALSE),0)</f>
        <v>324033</v>
      </c>
      <c r="AB126" s="228">
        <f>Vertailu[[#This Row],[Perusrahoitus 2023, €]]-Vertailu[[#This Row],[Perusrahoitus 2022, €]]</f>
        <v>-54096</v>
      </c>
      <c r="AC126" s="230">
        <f>IFERROR(Vertailu[[#This Row],[Perusrahoituksen muutos, €]]/Vertailu[[#This Row],[Perusrahoitus 2022, €]],0)</f>
        <v>-0.14306228826670264</v>
      </c>
      <c r="AD126" s="228">
        <f>IFERROR(VLOOKUP(Vertailu[[#This Row],[Y-tunnus]],'Suoritepäätös 2022 oikaistu'!$B:$N,COLUMN('Suoritepäätös 2022 oikaistu'!M:M),FALSE),0)</f>
        <v>86908</v>
      </c>
      <c r="AE126" s="228">
        <f>IFERROR(VLOOKUP(Vertailu[[#This Row],[Y-tunnus]],'1.2 Ohjaus-laskentataulu'!A:AU,COLUMN('1.2 Ohjaus-laskentataulu'!O:O),FALSE),0)</f>
        <v>105194</v>
      </c>
      <c r="AF126" s="228">
        <f>Vertailu[[#This Row],[Suoritusrahoitus 2023, €]]-Vertailu[[#This Row],[Suoritusrahoitus 2022, €]]</f>
        <v>18286</v>
      </c>
      <c r="AG126" s="230">
        <f>IFERROR(Vertailu[[#This Row],[Suoritusrahoituksen muutos, €]]/Vertailu[[#This Row],[Suoritusrahoitus 2022, €]],0)</f>
        <v>0.21040640677498043</v>
      </c>
      <c r="AH126" s="228">
        <f>IFERROR(VLOOKUP(Vertailu[[#This Row],[Y-tunnus]],'Suoritepäätös 2022 oikaistu'!$Q:$AC,COLUMN('Suoritepäätös 2022 oikaistu'!K:K),FALSE),0)</f>
        <v>20789</v>
      </c>
      <c r="AI126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46529</v>
      </c>
      <c r="AJ126" s="228">
        <f>Vertailu[[#This Row],[Vaikuttavuusrahoitus 2023, €]]-Vertailu[[#This Row],[Vaikuttavuusrahoitus 2022, €]]</f>
        <v>25740</v>
      </c>
      <c r="AK126" s="230">
        <f>IFERROR(Vertailu[[#This Row],[Vaikuttavuusrahoituksen muutos, €]]/Vertailu[[#This Row],[Vaikuttavuusrahoitus 2022, €]],0)</f>
        <v>1.2381547934003561</v>
      </c>
    </row>
    <row r="127" spans="1:37" s="5" customFormat="1" ht="12.75" customHeight="1" x14ac:dyDescent="0.35">
      <c r="A127" s="7" t="s">
        <v>204</v>
      </c>
      <c r="B127" s="188" t="s">
        <v>116</v>
      </c>
      <c r="C127" s="188" t="s">
        <v>194</v>
      </c>
      <c r="D127" s="11" t="s">
        <v>337</v>
      </c>
      <c r="E127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0.6255581435483607</v>
      </c>
      <c r="F127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0.64823282361492351</v>
      </c>
      <c r="G127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0.24629422244952889</v>
      </c>
      <c r="H127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0.10547295393554765</v>
      </c>
      <c r="I127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7.0688902969585271E-2</v>
      </c>
      <c r="J127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5.4824017189087099E-3</v>
      </c>
      <c r="K127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1.7637541879924133E-2</v>
      </c>
      <c r="L127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1.0065038540657592E-2</v>
      </c>
      <c r="M127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1.5990688264719331E-3</v>
      </c>
      <c r="N127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11782583</v>
      </c>
      <c r="O127" s="228">
        <f>IFERROR(VLOOKUP(Vertailu[[#This Row],[Y-tunnus]],'1.2 Ohjaus-laskentataulu'!A:AU,COLUMN('1.2 Ohjaus-laskentataulu'!AF:AF),FALSE),0)</f>
        <v>11637555</v>
      </c>
      <c r="P127" s="228">
        <f>IFERROR(Vertailu[[#This Row],[Rahoitus pl. hark. kor. 2023 ilman alv, €]]-Vertailu[[#This Row],[Rahoitus pl. hark. kor. 2022 ilman alv, €]],0)</f>
        <v>-145028</v>
      </c>
      <c r="Q127" s="230">
        <f>IFERROR(Vertailu[[#This Row],[Muutos, € 1]]/Vertailu[[#This Row],[Rahoitus pl. hark. kor. 2022 ilman alv, €]],0)</f>
        <v>-1.230867628940106E-2</v>
      </c>
      <c r="R127" s="233">
        <f>IFERROR(VLOOKUP(Vertailu[[#This Row],[Y-tunnus]],'Suoritepäätös 2022 oikaistu'!$Q:$AC,COLUMN('Suoritepäätös 2022 oikaistu'!L:L),FALSE),0)</f>
        <v>12037583</v>
      </c>
      <c r="S127" s="234">
        <f>IFERROR(VLOOKUP(Vertailu[[#This Row],[Y-tunnus]],'1.2 Ohjaus-laskentataulu'!A:AU,COLUMN('1.2 Ohjaus-laskentataulu'!AS:AS),FALSE),0)</f>
        <v>11907555</v>
      </c>
      <c r="T127" s="228">
        <f>IFERROR(Vertailu[[#This Row],[Rahoitus ml. hark. kor. 
2023 ilman alv, €]]-Vertailu[[#This Row],[Rahoitus ml. hark. kor. 
2022 ilman alv, €]],0)</f>
        <v>-130028</v>
      </c>
      <c r="U127" s="232">
        <f>IFERROR(Vertailu[[#This Row],[Muutos, € 2]]/Vertailu[[#This Row],[Rahoitus ml. hark. kor. 
2022 ilman alv, €]],0)</f>
        <v>-1.0801836215791824E-2</v>
      </c>
      <c r="V127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12825103</v>
      </c>
      <c r="W127" s="233">
        <f>IFERROR(VLOOKUP(Vertailu[[#This Row],[Y-tunnus]],'1.2 Ohjaus-laskentataulu'!A:AU,COLUMN('1.2 Ohjaus-laskentataulu'!AU:AU),FALSE),0)</f>
        <v>12597307</v>
      </c>
      <c r="X127" s="235">
        <f>IFERROR(Vertailu[[#This Row],[Rahoitus ml. hark. kor. + alv 2023, €]]-Vertailu[[#This Row],[Rahoitus ml. hark. kor. + alv 2022, €]],0)</f>
        <v>-227796</v>
      </c>
      <c r="Y127" s="230">
        <f>IFERROR(Vertailu[[#This Row],[Muutos, € 3]]/Vertailu[[#This Row],[Rahoitus ml. hark. kor. + alv 2022, €]],0)</f>
        <v>-1.7761728697227617E-2</v>
      </c>
      <c r="Z127" s="228">
        <f>IFERROR(VLOOKUP(Vertailu[[#This Row],[Y-tunnus]],'Suoritepäätös 2022 oikaistu'!$B:$N,COLUMN('Suoritepäätös 2022 oikaistu'!G:G),FALSE),0)</f>
        <v>8063218</v>
      </c>
      <c r="AA127" s="228">
        <f>IFERROR(VLOOKUP(Vertailu[[#This Row],[Y-tunnus]],'1.2 Ohjaus-laskentataulu'!A:AU,COLUMN('1.2 Ohjaus-laskentataulu'!AP:AP),FALSE),0)</f>
        <v>7718868</v>
      </c>
      <c r="AB127" s="228">
        <f>Vertailu[[#This Row],[Perusrahoitus 2023, €]]-Vertailu[[#This Row],[Perusrahoitus 2022, €]]</f>
        <v>-344350</v>
      </c>
      <c r="AC127" s="230">
        <f>IFERROR(Vertailu[[#This Row],[Perusrahoituksen muutos, €]]/Vertailu[[#This Row],[Perusrahoitus 2022, €]],0)</f>
        <v>-4.2706274343568537E-2</v>
      </c>
      <c r="AD127" s="228">
        <f>IFERROR(VLOOKUP(Vertailu[[#This Row],[Y-tunnus]],'Suoritepäätös 2022 oikaistu'!$B:$N,COLUMN('Suoritepäätös 2022 oikaistu'!M:M),FALSE),0)</f>
        <v>2475057</v>
      </c>
      <c r="AE127" s="228">
        <f>IFERROR(VLOOKUP(Vertailu[[#This Row],[Y-tunnus]],'1.2 Ohjaus-laskentataulu'!A:AU,COLUMN('1.2 Ohjaus-laskentataulu'!O:O),FALSE),0)</f>
        <v>2932762</v>
      </c>
      <c r="AF127" s="228">
        <f>Vertailu[[#This Row],[Suoritusrahoitus 2023, €]]-Vertailu[[#This Row],[Suoritusrahoitus 2022, €]]</f>
        <v>457705</v>
      </c>
      <c r="AG127" s="230">
        <f>IFERROR(Vertailu[[#This Row],[Suoritusrahoituksen muutos, €]]/Vertailu[[#This Row],[Suoritusrahoitus 2022, €]],0)</f>
        <v>0.1849270542052163</v>
      </c>
      <c r="AH127" s="228">
        <f>IFERROR(VLOOKUP(Vertailu[[#This Row],[Y-tunnus]],'Suoritepäätös 2022 oikaistu'!$Q:$AC,COLUMN('Suoritepäätös 2022 oikaistu'!K:K),FALSE),0)</f>
        <v>1499308</v>
      </c>
      <c r="AI127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1255925</v>
      </c>
      <c r="AJ127" s="228">
        <f>Vertailu[[#This Row],[Vaikuttavuusrahoitus 2023, €]]-Vertailu[[#This Row],[Vaikuttavuusrahoitus 2022, €]]</f>
        <v>-243383</v>
      </c>
      <c r="AK127" s="230">
        <f>IFERROR(Vertailu[[#This Row],[Vaikuttavuusrahoituksen muutos, €]]/Vertailu[[#This Row],[Vaikuttavuusrahoitus 2022, €]],0)</f>
        <v>-0.16233022167559968</v>
      </c>
    </row>
    <row r="128" spans="1:37" s="5" customFormat="1" ht="12.75" customHeight="1" x14ac:dyDescent="0.35">
      <c r="A128" s="7" t="s">
        <v>203</v>
      </c>
      <c r="B128" s="188" t="s">
        <v>117</v>
      </c>
      <c r="C128" s="188" t="s">
        <v>194</v>
      </c>
      <c r="D128" s="11" t="s">
        <v>337</v>
      </c>
      <c r="E128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0.7310198684567506</v>
      </c>
      <c r="F128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0.7310198684567506</v>
      </c>
      <c r="G128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0.17662921081952446</v>
      </c>
      <c r="H128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9.235092072372493E-2</v>
      </c>
      <c r="I128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6.1954262775683729E-2</v>
      </c>
      <c r="J128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4.2430863407323122E-3</v>
      </c>
      <c r="K128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7.0532626360803588E-3</v>
      </c>
      <c r="L128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1.5537459798180941E-2</v>
      </c>
      <c r="M128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3.5628491730475944E-3</v>
      </c>
      <c r="N128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2856293</v>
      </c>
      <c r="O128" s="228">
        <f>IFERROR(VLOOKUP(Vertailu[[#This Row],[Y-tunnus]],'1.2 Ohjaus-laskentataulu'!A:AU,COLUMN('1.2 Ohjaus-laskentataulu'!AF:AF),FALSE),0)</f>
        <v>3037176</v>
      </c>
      <c r="P128" s="228">
        <f>IFERROR(Vertailu[[#This Row],[Rahoitus pl. hark. kor. 2023 ilman alv, €]]-Vertailu[[#This Row],[Rahoitus pl. hark. kor. 2022 ilman alv, €]],0)</f>
        <v>180883</v>
      </c>
      <c r="Q128" s="230">
        <f>IFERROR(Vertailu[[#This Row],[Muutos, € 1]]/Vertailu[[#This Row],[Rahoitus pl. hark. kor. 2022 ilman alv, €]],0)</f>
        <v>6.3327886879952444E-2</v>
      </c>
      <c r="R128" s="233">
        <f>IFERROR(VLOOKUP(Vertailu[[#This Row],[Y-tunnus]],'Suoritepäätös 2022 oikaistu'!$Q:$AC,COLUMN('Suoritepäätös 2022 oikaistu'!L:L),FALSE),0)</f>
        <v>2861293</v>
      </c>
      <c r="S128" s="234">
        <f>IFERROR(VLOOKUP(Vertailu[[#This Row],[Y-tunnus]],'1.2 Ohjaus-laskentataulu'!A:AU,COLUMN('1.2 Ohjaus-laskentataulu'!AS:AS),FALSE),0)</f>
        <v>3037176</v>
      </c>
      <c r="T128" s="228">
        <f>IFERROR(Vertailu[[#This Row],[Rahoitus ml. hark. kor. 
2023 ilman alv, €]]-Vertailu[[#This Row],[Rahoitus ml. hark. kor. 
2022 ilman alv, €]],0)</f>
        <v>175883</v>
      </c>
      <c r="U128" s="232">
        <f>IFERROR(Vertailu[[#This Row],[Muutos, € 2]]/Vertailu[[#This Row],[Rahoitus ml. hark. kor. 
2022 ilman alv, €]],0)</f>
        <v>6.1469762097065908E-2</v>
      </c>
      <c r="V128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2993618</v>
      </c>
      <c r="W128" s="233">
        <f>IFERROR(VLOOKUP(Vertailu[[#This Row],[Y-tunnus]],'1.2 Ohjaus-laskentataulu'!A:AU,COLUMN('1.2 Ohjaus-laskentataulu'!AU:AU),FALSE),0)</f>
        <v>3187769</v>
      </c>
      <c r="X128" s="235">
        <f>IFERROR(Vertailu[[#This Row],[Rahoitus ml. hark. kor. + alv 2023, €]]-Vertailu[[#This Row],[Rahoitus ml. hark. kor. + alv 2022, €]],0)</f>
        <v>194151</v>
      </c>
      <c r="Y128" s="230">
        <f>IFERROR(Vertailu[[#This Row],[Muutos, € 3]]/Vertailu[[#This Row],[Rahoitus ml. hark. kor. + alv 2022, €]],0)</f>
        <v>6.4854968135547017E-2</v>
      </c>
      <c r="Z128" s="228">
        <f>IFERROR(VLOOKUP(Vertailu[[#This Row],[Y-tunnus]],'Suoritepäätös 2022 oikaistu'!$B:$N,COLUMN('Suoritepäätös 2022 oikaistu'!G:G),FALSE),0)</f>
        <v>2077054</v>
      </c>
      <c r="AA128" s="228">
        <f>IFERROR(VLOOKUP(Vertailu[[#This Row],[Y-tunnus]],'1.2 Ohjaus-laskentataulu'!A:AU,COLUMN('1.2 Ohjaus-laskentataulu'!AP:AP),FALSE),0)</f>
        <v>2220236</v>
      </c>
      <c r="AB128" s="228">
        <f>Vertailu[[#This Row],[Perusrahoitus 2023, €]]-Vertailu[[#This Row],[Perusrahoitus 2022, €]]</f>
        <v>143182</v>
      </c>
      <c r="AC128" s="230">
        <f>IFERROR(Vertailu[[#This Row],[Perusrahoituksen muutos, €]]/Vertailu[[#This Row],[Perusrahoitus 2022, €]],0)</f>
        <v>6.8935136014759368E-2</v>
      </c>
      <c r="AD128" s="228">
        <f>IFERROR(VLOOKUP(Vertailu[[#This Row],[Y-tunnus]],'Suoritepäätös 2022 oikaistu'!$B:$N,COLUMN('Suoritepäätös 2022 oikaistu'!M:M),FALSE),0)</f>
        <v>518547</v>
      </c>
      <c r="AE128" s="228">
        <f>IFERROR(VLOOKUP(Vertailu[[#This Row],[Y-tunnus]],'1.2 Ohjaus-laskentataulu'!A:AU,COLUMN('1.2 Ohjaus-laskentataulu'!O:O),FALSE),0)</f>
        <v>536454</v>
      </c>
      <c r="AF128" s="228">
        <f>Vertailu[[#This Row],[Suoritusrahoitus 2023, €]]-Vertailu[[#This Row],[Suoritusrahoitus 2022, €]]</f>
        <v>17907</v>
      </c>
      <c r="AG128" s="230">
        <f>IFERROR(Vertailu[[#This Row],[Suoritusrahoituksen muutos, €]]/Vertailu[[#This Row],[Suoritusrahoitus 2022, €]],0)</f>
        <v>3.4533031721329023E-2</v>
      </c>
      <c r="AH128" s="228">
        <f>IFERROR(VLOOKUP(Vertailu[[#This Row],[Y-tunnus]],'Suoritepäätös 2022 oikaistu'!$Q:$AC,COLUMN('Suoritepäätös 2022 oikaistu'!K:K),FALSE),0)</f>
        <v>265692</v>
      </c>
      <c r="AI128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280486</v>
      </c>
      <c r="AJ128" s="228">
        <f>Vertailu[[#This Row],[Vaikuttavuusrahoitus 2023, €]]-Vertailu[[#This Row],[Vaikuttavuusrahoitus 2022, €]]</f>
        <v>14794</v>
      </c>
      <c r="AK128" s="230">
        <f>IFERROR(Vertailu[[#This Row],[Vaikuttavuusrahoituksen muutos, €]]/Vertailu[[#This Row],[Vaikuttavuusrahoitus 2022, €]],0)</f>
        <v>5.5681014106559477E-2</v>
      </c>
    </row>
    <row r="129" spans="1:37" s="5" customFormat="1" ht="12.75" customHeight="1" x14ac:dyDescent="0.35">
      <c r="A129" s="7" t="s">
        <v>202</v>
      </c>
      <c r="B129" s="188" t="s">
        <v>118</v>
      </c>
      <c r="C129" s="188" t="s">
        <v>194</v>
      </c>
      <c r="D129" s="11" t="s">
        <v>338</v>
      </c>
      <c r="E129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0.68045340685658484</v>
      </c>
      <c r="F129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0.68284871072133557</v>
      </c>
      <c r="G129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0.21566029317289856</v>
      </c>
      <c r="H129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0.10149099610576585</v>
      </c>
      <c r="I129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8.5259039288558297E-2</v>
      </c>
      <c r="J129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2.5232512464112042E-3</v>
      </c>
      <c r="K129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3.7881412660342542E-3</v>
      </c>
      <c r="L129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8.1293009615152467E-3</v>
      </c>
      <c r="M129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1.791263343246853E-3</v>
      </c>
      <c r="N129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45472489</v>
      </c>
      <c r="O129" s="228">
        <f>IFERROR(VLOOKUP(Vertailu[[#This Row],[Y-tunnus]],'1.2 Ohjaus-laskentataulu'!A:AU,COLUMN('1.2 Ohjaus-laskentataulu'!AF:AF),FALSE),0)</f>
        <v>47062643</v>
      </c>
      <c r="P129" s="228">
        <f>IFERROR(Vertailu[[#This Row],[Rahoitus pl. hark. kor. 2023 ilman alv, €]]-Vertailu[[#This Row],[Rahoitus pl. hark. kor. 2022 ilman alv, €]],0)</f>
        <v>1590154</v>
      </c>
      <c r="Q129" s="230">
        <f>IFERROR(Vertailu[[#This Row],[Muutos, € 1]]/Vertailu[[#This Row],[Rahoitus pl. hark. kor. 2022 ilman alv, €]],0)</f>
        <v>3.4969583477165722E-2</v>
      </c>
      <c r="R129" s="233">
        <f>IFERROR(VLOOKUP(Vertailu[[#This Row],[Y-tunnus]],'Suoritepäätös 2022 oikaistu'!$Q:$AC,COLUMN('Suoritepäätös 2022 oikaistu'!L:L),FALSE),0)</f>
        <v>45569489</v>
      </c>
      <c r="S129" s="234">
        <f>IFERROR(VLOOKUP(Vertailu[[#This Row],[Y-tunnus]],'1.2 Ohjaus-laskentataulu'!A:AU,COLUMN('1.2 Ohjaus-laskentataulu'!AS:AS),FALSE),0)</f>
        <v>47175643</v>
      </c>
      <c r="T129" s="228">
        <f>IFERROR(Vertailu[[#This Row],[Rahoitus ml. hark. kor. 
2023 ilman alv, €]]-Vertailu[[#This Row],[Rahoitus ml. hark. kor. 
2022 ilman alv, €]],0)</f>
        <v>1606154</v>
      </c>
      <c r="U129" s="232">
        <f>IFERROR(Vertailu[[#This Row],[Muutos, € 2]]/Vertailu[[#This Row],[Rahoitus ml. hark. kor. 
2022 ilman alv, €]],0)</f>
        <v>3.5246258741238025E-2</v>
      </c>
      <c r="V129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45569489</v>
      </c>
      <c r="W129" s="233">
        <f>IFERROR(VLOOKUP(Vertailu[[#This Row],[Y-tunnus]],'1.2 Ohjaus-laskentataulu'!A:AU,COLUMN('1.2 Ohjaus-laskentataulu'!AU:AU),FALSE),0)</f>
        <v>47175643</v>
      </c>
      <c r="X129" s="235">
        <f>IFERROR(Vertailu[[#This Row],[Rahoitus ml. hark. kor. + alv 2023, €]]-Vertailu[[#This Row],[Rahoitus ml. hark. kor. + alv 2022, €]],0)</f>
        <v>1606154</v>
      </c>
      <c r="Y129" s="230">
        <f>IFERROR(Vertailu[[#This Row],[Muutos, € 3]]/Vertailu[[#This Row],[Rahoitus ml. hark. kor. + alv 2022, €]],0)</f>
        <v>3.5246258741238025E-2</v>
      </c>
      <c r="Z129" s="228">
        <f>IFERROR(VLOOKUP(Vertailu[[#This Row],[Y-tunnus]],'Suoritepäätös 2022 oikaistu'!$B:$N,COLUMN('Suoritepäätös 2022 oikaistu'!G:G),FALSE),0)</f>
        <v>29192476</v>
      </c>
      <c r="AA129" s="228">
        <f>IFERROR(VLOOKUP(Vertailu[[#This Row],[Y-tunnus]],'1.2 Ohjaus-laskentataulu'!A:AU,COLUMN('1.2 Ohjaus-laskentataulu'!AP:AP),FALSE),0)</f>
        <v>32213827</v>
      </c>
      <c r="AB129" s="228">
        <f>Vertailu[[#This Row],[Perusrahoitus 2023, €]]-Vertailu[[#This Row],[Perusrahoitus 2022, €]]</f>
        <v>3021351</v>
      </c>
      <c r="AC129" s="230">
        <f>IFERROR(Vertailu[[#This Row],[Perusrahoituksen muutos, €]]/Vertailu[[#This Row],[Perusrahoitus 2022, €]],0)</f>
        <v>0.10349759300992488</v>
      </c>
      <c r="AD129" s="228">
        <f>IFERROR(VLOOKUP(Vertailu[[#This Row],[Y-tunnus]],'Suoritepäätös 2022 oikaistu'!$B:$N,COLUMN('Suoritepäätös 2022 oikaistu'!M:M),FALSE),0)</f>
        <v>11261865</v>
      </c>
      <c r="AE129" s="228">
        <f>IFERROR(VLOOKUP(Vertailu[[#This Row],[Y-tunnus]],'1.2 Ohjaus-laskentataulu'!A:AU,COLUMN('1.2 Ohjaus-laskentataulu'!O:O),FALSE),0)</f>
        <v>10173913</v>
      </c>
      <c r="AF129" s="228">
        <f>Vertailu[[#This Row],[Suoritusrahoitus 2023, €]]-Vertailu[[#This Row],[Suoritusrahoitus 2022, €]]</f>
        <v>-1087952</v>
      </c>
      <c r="AG129" s="230">
        <f>IFERROR(Vertailu[[#This Row],[Suoritusrahoituksen muutos, €]]/Vertailu[[#This Row],[Suoritusrahoitus 2022, €]],0)</f>
        <v>-9.6604958414969452E-2</v>
      </c>
      <c r="AH129" s="228">
        <f>IFERROR(VLOOKUP(Vertailu[[#This Row],[Y-tunnus]],'Suoritepäätös 2022 oikaistu'!$Q:$AC,COLUMN('Suoritepäätös 2022 oikaistu'!K:K),FALSE),0)</f>
        <v>5115148</v>
      </c>
      <c r="AI129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4787903</v>
      </c>
      <c r="AJ129" s="228">
        <f>Vertailu[[#This Row],[Vaikuttavuusrahoitus 2023, €]]-Vertailu[[#This Row],[Vaikuttavuusrahoitus 2022, €]]</f>
        <v>-327245</v>
      </c>
      <c r="AK129" s="230">
        <f>IFERROR(Vertailu[[#This Row],[Vaikuttavuusrahoituksen muutos, €]]/Vertailu[[#This Row],[Vaikuttavuusrahoitus 2022, €]],0)</f>
        <v>-6.3975666002234935E-2</v>
      </c>
    </row>
    <row r="130" spans="1:37" s="5" customFormat="1" ht="12.75" customHeight="1" x14ac:dyDescent="0.35">
      <c r="A130" s="7" t="s">
        <v>201</v>
      </c>
      <c r="B130" s="188" t="s">
        <v>119</v>
      </c>
      <c r="C130" s="188" t="s">
        <v>194</v>
      </c>
      <c r="D130" s="11" t="s">
        <v>337</v>
      </c>
      <c r="E130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0.66245190818012811</v>
      </c>
      <c r="F130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0.66245190818012811</v>
      </c>
      <c r="G130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0.20789948486882875</v>
      </c>
      <c r="H130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0.12964860695104316</v>
      </c>
      <c r="I130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9.9259983087172071E-2</v>
      </c>
      <c r="J130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4.0861908696550302E-3</v>
      </c>
      <c r="K130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1.4743047665771536E-2</v>
      </c>
      <c r="L130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9.421478000413137E-3</v>
      </c>
      <c r="M130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2.1379073280313986E-3</v>
      </c>
      <c r="N130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2231071</v>
      </c>
      <c r="O130" s="228">
        <f>IFERROR(VLOOKUP(Vertailu[[#This Row],[Y-tunnus]],'1.2 Ohjaus-laskentataulu'!A:AU,COLUMN('1.2 Ohjaus-laskentataulu'!AF:AF),FALSE),0)</f>
        <v>2478592</v>
      </c>
      <c r="P130" s="228">
        <f>IFERROR(Vertailu[[#This Row],[Rahoitus pl. hark. kor. 2023 ilman alv, €]]-Vertailu[[#This Row],[Rahoitus pl. hark. kor. 2022 ilman alv, €]],0)</f>
        <v>247521</v>
      </c>
      <c r="Q130" s="230">
        <f>IFERROR(Vertailu[[#This Row],[Muutos, € 1]]/Vertailu[[#This Row],[Rahoitus pl. hark. kor. 2022 ilman alv, €]],0)</f>
        <v>0.11094268178825327</v>
      </c>
      <c r="R130" s="233">
        <f>IFERROR(VLOOKUP(Vertailu[[#This Row],[Y-tunnus]],'Suoritepäätös 2022 oikaistu'!$Q:$AC,COLUMN('Suoritepäätös 2022 oikaistu'!L:L),FALSE),0)</f>
        <v>2231071</v>
      </c>
      <c r="S130" s="234">
        <f>IFERROR(VLOOKUP(Vertailu[[#This Row],[Y-tunnus]],'1.2 Ohjaus-laskentataulu'!A:AU,COLUMN('1.2 Ohjaus-laskentataulu'!AS:AS),FALSE),0)</f>
        <v>2478592</v>
      </c>
      <c r="T130" s="228">
        <f>IFERROR(Vertailu[[#This Row],[Rahoitus ml. hark. kor. 
2023 ilman alv, €]]-Vertailu[[#This Row],[Rahoitus ml. hark. kor. 
2022 ilman alv, €]],0)</f>
        <v>247521</v>
      </c>
      <c r="U130" s="232">
        <f>IFERROR(Vertailu[[#This Row],[Muutos, € 2]]/Vertailu[[#This Row],[Rahoitus ml. hark. kor. 
2022 ilman alv, €]],0)</f>
        <v>0.11094268178825327</v>
      </c>
      <c r="V130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2424397</v>
      </c>
      <c r="W130" s="233">
        <f>IFERROR(VLOOKUP(Vertailu[[#This Row],[Y-tunnus]],'1.2 Ohjaus-laskentataulu'!A:AU,COLUMN('1.2 Ohjaus-laskentataulu'!AU:AU),FALSE),0)</f>
        <v>2768127</v>
      </c>
      <c r="X130" s="235">
        <f>IFERROR(Vertailu[[#This Row],[Rahoitus ml. hark. kor. + alv 2023, €]]-Vertailu[[#This Row],[Rahoitus ml. hark. kor. + alv 2022, €]],0)</f>
        <v>343730</v>
      </c>
      <c r="Y130" s="230">
        <f>IFERROR(Vertailu[[#This Row],[Muutos, € 3]]/Vertailu[[#This Row],[Rahoitus ml. hark. kor. + alv 2022, €]],0)</f>
        <v>0.1417795847792255</v>
      </c>
      <c r="Z130" s="228">
        <f>IFERROR(VLOOKUP(Vertailu[[#This Row],[Y-tunnus]],'Suoritepäätös 2022 oikaistu'!$B:$N,COLUMN('Suoritepäätös 2022 oikaistu'!G:G),FALSE),0)</f>
        <v>1523048</v>
      </c>
      <c r="AA130" s="228">
        <f>IFERROR(VLOOKUP(Vertailu[[#This Row],[Y-tunnus]],'1.2 Ohjaus-laskentataulu'!A:AU,COLUMN('1.2 Ohjaus-laskentataulu'!AP:AP),FALSE),0)</f>
        <v>1641948</v>
      </c>
      <c r="AB130" s="228">
        <f>Vertailu[[#This Row],[Perusrahoitus 2023, €]]-Vertailu[[#This Row],[Perusrahoitus 2022, €]]</f>
        <v>118900</v>
      </c>
      <c r="AC130" s="230">
        <f>IFERROR(Vertailu[[#This Row],[Perusrahoituksen muutos, €]]/Vertailu[[#This Row],[Perusrahoitus 2022, €]],0)</f>
        <v>7.806713905274161E-2</v>
      </c>
      <c r="AD130" s="228">
        <f>IFERROR(VLOOKUP(Vertailu[[#This Row],[Y-tunnus]],'Suoritepäätös 2022 oikaistu'!$B:$N,COLUMN('Suoritepäätös 2022 oikaistu'!M:M),FALSE),0)</f>
        <v>397478</v>
      </c>
      <c r="AE130" s="228">
        <f>IFERROR(VLOOKUP(Vertailu[[#This Row],[Y-tunnus]],'1.2 Ohjaus-laskentataulu'!A:AU,COLUMN('1.2 Ohjaus-laskentataulu'!O:O),FALSE),0)</f>
        <v>515298</v>
      </c>
      <c r="AF130" s="228">
        <f>Vertailu[[#This Row],[Suoritusrahoitus 2023, €]]-Vertailu[[#This Row],[Suoritusrahoitus 2022, €]]</f>
        <v>117820</v>
      </c>
      <c r="AG130" s="230">
        <f>IFERROR(Vertailu[[#This Row],[Suoritusrahoituksen muutos, €]]/Vertailu[[#This Row],[Suoritusrahoitus 2022, €]],0)</f>
        <v>0.29641892129878888</v>
      </c>
      <c r="AH130" s="228">
        <f>IFERROR(VLOOKUP(Vertailu[[#This Row],[Y-tunnus]],'Suoritepäätös 2022 oikaistu'!$Q:$AC,COLUMN('Suoritepäätös 2022 oikaistu'!K:K),FALSE),0)</f>
        <v>310545</v>
      </c>
      <c r="AI130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321346</v>
      </c>
      <c r="AJ130" s="228">
        <f>Vertailu[[#This Row],[Vaikuttavuusrahoitus 2023, €]]-Vertailu[[#This Row],[Vaikuttavuusrahoitus 2022, €]]</f>
        <v>10801</v>
      </c>
      <c r="AK130" s="230">
        <f>IFERROR(Vertailu[[#This Row],[Vaikuttavuusrahoituksen muutos, €]]/Vertailu[[#This Row],[Vaikuttavuusrahoitus 2022, €]],0)</f>
        <v>3.4780788613566468E-2</v>
      </c>
    </row>
    <row r="131" spans="1:37" s="5" customFormat="1" ht="12.75" customHeight="1" x14ac:dyDescent="0.35">
      <c r="A131" s="7" t="s">
        <v>394</v>
      </c>
      <c r="B131" s="188" t="s">
        <v>395</v>
      </c>
      <c r="C131" s="188" t="s">
        <v>194</v>
      </c>
      <c r="D131" s="11" t="s">
        <v>337</v>
      </c>
      <c r="E131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0.60393222995251195</v>
      </c>
      <c r="F131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0.60393222995251195</v>
      </c>
      <c r="G131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0.3054112732569324</v>
      </c>
      <c r="H131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9.0656496790555652E-2</v>
      </c>
      <c r="I131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6.613590511685985E-2</v>
      </c>
      <c r="J131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2.3973058848151601E-3</v>
      </c>
      <c r="K131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1.2699660980640451E-2</v>
      </c>
      <c r="L131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7.1094706266608323E-3</v>
      </c>
      <c r="M131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2.314154181579361E-3</v>
      </c>
      <c r="N131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1266089</v>
      </c>
      <c r="O131" s="228">
        <f>IFERROR(VLOOKUP(Vertailu[[#This Row],[Y-tunnus]],'1.2 Ohjaus-laskentataulu'!A:AU,COLUMN('1.2 Ohjaus-laskentataulu'!AF:AF),FALSE),0)</f>
        <v>1419093</v>
      </c>
      <c r="P131" s="228">
        <f>IFERROR(Vertailu[[#This Row],[Rahoitus pl. hark. kor. 2023 ilman alv, €]]-Vertailu[[#This Row],[Rahoitus pl. hark. kor. 2022 ilman alv, €]],0)</f>
        <v>153004</v>
      </c>
      <c r="Q131" s="230">
        <f>IFERROR(Vertailu[[#This Row],[Muutos, € 1]]/Vertailu[[#This Row],[Rahoitus pl. hark. kor. 2022 ilman alv, €]],0)</f>
        <v>0.12084774451085192</v>
      </c>
      <c r="R131" s="233">
        <f>IFERROR(VLOOKUP(Vertailu[[#This Row],[Y-tunnus]],'Suoritepäätös 2022 oikaistu'!$Q:$AC,COLUMN('Suoritepäätös 2022 oikaistu'!L:L),FALSE),0)</f>
        <v>1341089</v>
      </c>
      <c r="S131" s="234">
        <f>IFERROR(VLOOKUP(Vertailu[[#This Row],[Y-tunnus]],'1.2 Ohjaus-laskentataulu'!A:AU,COLUMN('1.2 Ohjaus-laskentataulu'!AS:AS),FALSE),0)</f>
        <v>1419093</v>
      </c>
      <c r="T131" s="228">
        <f>IFERROR(Vertailu[[#This Row],[Rahoitus ml. hark. kor. 
2023 ilman alv, €]]-Vertailu[[#This Row],[Rahoitus ml. hark. kor. 
2022 ilman alv, €]],0)</f>
        <v>78004</v>
      </c>
      <c r="U131" s="232">
        <f>IFERROR(Vertailu[[#This Row],[Muutos, € 2]]/Vertailu[[#This Row],[Rahoitus ml. hark. kor. 
2022 ilman alv, €]],0)</f>
        <v>5.8164670651985065E-2</v>
      </c>
      <c r="V131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1428065</v>
      </c>
      <c r="W131" s="233">
        <f>IFERROR(VLOOKUP(Vertailu[[#This Row],[Y-tunnus]],'1.2 Ohjaus-laskentataulu'!A:AU,COLUMN('1.2 Ohjaus-laskentataulu'!AU:AU),FALSE),0)</f>
        <v>1719444</v>
      </c>
      <c r="X131" s="235">
        <f>IFERROR(Vertailu[[#This Row],[Rahoitus ml. hark. kor. + alv 2023, €]]-Vertailu[[#This Row],[Rahoitus ml. hark. kor. + alv 2022, €]],0)</f>
        <v>291379</v>
      </c>
      <c r="Y131" s="230">
        <f>IFERROR(Vertailu[[#This Row],[Muutos, € 3]]/Vertailu[[#This Row],[Rahoitus ml. hark. kor. + alv 2022, €]],0)</f>
        <v>0.20403763134031014</v>
      </c>
      <c r="Z131" s="228">
        <f>IFERROR(VLOOKUP(Vertailu[[#This Row],[Y-tunnus]],'Suoritepäätös 2022 oikaistu'!$B:$N,COLUMN('Suoritepäätös 2022 oikaistu'!G:G),FALSE),0)</f>
        <v>867058</v>
      </c>
      <c r="AA131" s="228">
        <f>IFERROR(VLOOKUP(Vertailu[[#This Row],[Y-tunnus]],'1.2 Ohjaus-laskentataulu'!A:AU,COLUMN('1.2 Ohjaus-laskentataulu'!AP:AP),FALSE),0)</f>
        <v>857036</v>
      </c>
      <c r="AB131" s="228">
        <f>Vertailu[[#This Row],[Perusrahoitus 2023, €]]-Vertailu[[#This Row],[Perusrahoitus 2022, €]]</f>
        <v>-10022</v>
      </c>
      <c r="AC131" s="230">
        <f>IFERROR(Vertailu[[#This Row],[Perusrahoituksen muutos, €]]/Vertailu[[#This Row],[Perusrahoitus 2022, €]],0)</f>
        <v>-1.1558626989197955E-2</v>
      </c>
      <c r="AD131" s="228">
        <f>IFERROR(VLOOKUP(Vertailu[[#This Row],[Y-tunnus]],'Suoritepäätös 2022 oikaistu'!$B:$N,COLUMN('Suoritepäätös 2022 oikaistu'!M:M),FALSE),0)</f>
        <v>374950</v>
      </c>
      <c r="AE131" s="228">
        <f>IFERROR(VLOOKUP(Vertailu[[#This Row],[Y-tunnus]],'1.2 Ohjaus-laskentataulu'!A:AU,COLUMN('1.2 Ohjaus-laskentataulu'!O:O),FALSE),0)</f>
        <v>433407</v>
      </c>
      <c r="AF131" s="228">
        <f>Vertailu[[#This Row],[Suoritusrahoitus 2023, €]]-Vertailu[[#This Row],[Suoritusrahoitus 2022, €]]</f>
        <v>58457</v>
      </c>
      <c r="AG131" s="230">
        <f>IFERROR(Vertailu[[#This Row],[Suoritusrahoituksen muutos, €]]/Vertailu[[#This Row],[Suoritusrahoitus 2022, €]],0)</f>
        <v>0.1559061208161088</v>
      </c>
      <c r="AH131" s="228">
        <f>IFERROR(VLOOKUP(Vertailu[[#This Row],[Y-tunnus]],'Suoritepäätös 2022 oikaistu'!$Q:$AC,COLUMN('Suoritepäätös 2022 oikaistu'!K:K),FALSE),0)</f>
        <v>99081</v>
      </c>
      <c r="AI131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128650</v>
      </c>
      <c r="AJ131" s="228">
        <f>Vertailu[[#This Row],[Vaikuttavuusrahoitus 2023, €]]-Vertailu[[#This Row],[Vaikuttavuusrahoitus 2022, €]]</f>
        <v>29569</v>
      </c>
      <c r="AK131" s="230">
        <f>IFERROR(Vertailu[[#This Row],[Vaikuttavuusrahoituksen muutos, €]]/Vertailu[[#This Row],[Vaikuttavuusrahoitus 2022, €]],0)</f>
        <v>0.29843259555313328</v>
      </c>
    </row>
    <row r="132" spans="1:37" s="5" customFormat="1" ht="12.75" customHeight="1" x14ac:dyDescent="0.35">
      <c r="A132" s="7" t="s">
        <v>261</v>
      </c>
      <c r="B132" s="188" t="s">
        <v>134</v>
      </c>
      <c r="C132" s="188" t="s">
        <v>194</v>
      </c>
      <c r="D132" s="11" t="s">
        <v>337</v>
      </c>
      <c r="E132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0.49457067866516685</v>
      </c>
      <c r="F132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0.49457067866516685</v>
      </c>
      <c r="G132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0.23255343082114735</v>
      </c>
      <c r="H132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0.27287589051368577</v>
      </c>
      <c r="I132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0.22505436820397451</v>
      </c>
      <c r="J132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5.0356205474315708E-3</v>
      </c>
      <c r="K132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4.2785901762279713E-2</v>
      </c>
      <c r="L132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0</v>
      </c>
      <c r="M132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0</v>
      </c>
      <c r="N132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279434</v>
      </c>
      <c r="O132" s="228">
        <f>IFERROR(VLOOKUP(Vertailu[[#This Row],[Y-tunnus]],'1.2 Ohjaus-laskentataulu'!A:AU,COLUMN('1.2 Ohjaus-laskentataulu'!AF:AF),FALSE),0)</f>
        <v>266700</v>
      </c>
      <c r="P132" s="228">
        <f>IFERROR(Vertailu[[#This Row],[Rahoitus pl. hark. kor. 2023 ilman alv, €]]-Vertailu[[#This Row],[Rahoitus pl. hark. kor. 2022 ilman alv, €]],0)</f>
        <v>-12734</v>
      </c>
      <c r="Q132" s="230">
        <f>IFERROR(Vertailu[[#This Row],[Muutos, € 1]]/Vertailu[[#This Row],[Rahoitus pl. hark. kor. 2022 ilman alv, €]],0)</f>
        <v>-4.5570689321986588E-2</v>
      </c>
      <c r="R132" s="233">
        <f>IFERROR(VLOOKUP(Vertailu[[#This Row],[Y-tunnus]],'Suoritepäätös 2022 oikaistu'!$Q:$AC,COLUMN('Suoritepäätös 2022 oikaistu'!L:L),FALSE),0)</f>
        <v>279434</v>
      </c>
      <c r="S132" s="234">
        <f>IFERROR(VLOOKUP(Vertailu[[#This Row],[Y-tunnus]],'1.2 Ohjaus-laskentataulu'!A:AU,COLUMN('1.2 Ohjaus-laskentataulu'!AS:AS),FALSE),0)</f>
        <v>266700</v>
      </c>
      <c r="T132" s="228">
        <f>IFERROR(Vertailu[[#This Row],[Rahoitus ml. hark. kor. 
2023 ilman alv, €]]-Vertailu[[#This Row],[Rahoitus ml. hark. kor. 
2022 ilman alv, €]],0)</f>
        <v>-12734</v>
      </c>
      <c r="U132" s="232">
        <f>IFERROR(Vertailu[[#This Row],[Muutos, € 2]]/Vertailu[[#This Row],[Rahoitus ml. hark. kor. 
2022 ilman alv, €]],0)</f>
        <v>-4.5570689321986588E-2</v>
      </c>
      <c r="V132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288291</v>
      </c>
      <c r="W132" s="233">
        <f>IFERROR(VLOOKUP(Vertailu[[#This Row],[Y-tunnus]],'1.2 Ohjaus-laskentataulu'!A:AU,COLUMN('1.2 Ohjaus-laskentataulu'!AU:AU),FALSE),0)</f>
        <v>278162</v>
      </c>
      <c r="X132" s="235">
        <f>IFERROR(Vertailu[[#This Row],[Rahoitus ml. hark. kor. + alv 2023, €]]-Vertailu[[#This Row],[Rahoitus ml. hark. kor. + alv 2022, €]],0)</f>
        <v>-10129</v>
      </c>
      <c r="Y132" s="230">
        <f>IFERROR(Vertailu[[#This Row],[Muutos, € 3]]/Vertailu[[#This Row],[Rahoitus ml. hark. kor. + alv 2022, €]],0)</f>
        <v>-3.5134638264808823E-2</v>
      </c>
      <c r="Z132" s="228">
        <f>IFERROR(VLOOKUP(Vertailu[[#This Row],[Y-tunnus]],'Suoritepäätös 2022 oikaistu'!$B:$N,COLUMN('Suoritepäätös 2022 oikaistu'!G:G),FALSE),0)</f>
        <v>123969</v>
      </c>
      <c r="AA132" s="228">
        <f>IFERROR(VLOOKUP(Vertailu[[#This Row],[Y-tunnus]],'1.2 Ohjaus-laskentataulu'!A:AU,COLUMN('1.2 Ohjaus-laskentataulu'!AP:AP),FALSE),0)</f>
        <v>131902</v>
      </c>
      <c r="AB132" s="228">
        <f>Vertailu[[#This Row],[Perusrahoitus 2023, €]]-Vertailu[[#This Row],[Perusrahoitus 2022, €]]</f>
        <v>7933</v>
      </c>
      <c r="AC132" s="230">
        <f>IFERROR(Vertailu[[#This Row],[Perusrahoituksen muutos, €]]/Vertailu[[#This Row],[Perusrahoitus 2022, €]],0)</f>
        <v>6.3991804402713584E-2</v>
      </c>
      <c r="AD132" s="228">
        <f>IFERROR(VLOOKUP(Vertailu[[#This Row],[Y-tunnus]],'Suoritepäätös 2022 oikaistu'!$B:$N,COLUMN('Suoritepäätös 2022 oikaistu'!M:M),FALSE),0)</f>
        <v>62448</v>
      </c>
      <c r="AE132" s="228">
        <f>IFERROR(VLOOKUP(Vertailu[[#This Row],[Y-tunnus]],'1.2 Ohjaus-laskentataulu'!A:AU,COLUMN('1.2 Ohjaus-laskentataulu'!O:O),FALSE),0)</f>
        <v>62022</v>
      </c>
      <c r="AF132" s="228">
        <f>Vertailu[[#This Row],[Suoritusrahoitus 2023, €]]-Vertailu[[#This Row],[Suoritusrahoitus 2022, €]]</f>
        <v>-426</v>
      </c>
      <c r="AG132" s="230">
        <f>IFERROR(Vertailu[[#This Row],[Suoritusrahoituksen muutos, €]]/Vertailu[[#This Row],[Suoritusrahoitus 2022, €]],0)</f>
        <v>-6.8216756341275943E-3</v>
      </c>
      <c r="AH132" s="228">
        <f>IFERROR(VLOOKUP(Vertailu[[#This Row],[Y-tunnus]],'Suoritepäätös 2022 oikaistu'!$Q:$AC,COLUMN('Suoritepäätös 2022 oikaistu'!K:K),FALSE),0)</f>
        <v>93017</v>
      </c>
      <c r="AI132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72776</v>
      </c>
      <c r="AJ132" s="228">
        <f>Vertailu[[#This Row],[Vaikuttavuusrahoitus 2023, €]]-Vertailu[[#This Row],[Vaikuttavuusrahoitus 2022, €]]</f>
        <v>-20241</v>
      </c>
      <c r="AK132" s="230">
        <f>IFERROR(Vertailu[[#This Row],[Vaikuttavuusrahoituksen muutos, €]]/Vertailu[[#This Row],[Vaikuttavuusrahoitus 2022, €]],0)</f>
        <v>-0.21760538396207144</v>
      </c>
    </row>
    <row r="133" spans="1:37" s="5" customFormat="1" ht="12.75" customHeight="1" x14ac:dyDescent="0.35">
      <c r="A133" s="7" t="s">
        <v>200</v>
      </c>
      <c r="B133" s="188" t="s">
        <v>120</v>
      </c>
      <c r="C133" s="188" t="s">
        <v>180</v>
      </c>
      <c r="D133" s="11" t="s">
        <v>337</v>
      </c>
      <c r="E133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0.6154133387142926</v>
      </c>
      <c r="F133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0.62494028293039539</v>
      </c>
      <c r="G133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0.25458138507875444</v>
      </c>
      <c r="H133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0.12047833199085016</v>
      </c>
      <c r="I133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7.6868083248291016E-2</v>
      </c>
      <c r="J133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5.6701857919520477E-3</v>
      </c>
      <c r="K133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1.5360212768420827E-2</v>
      </c>
      <c r="L133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1.836047244381005E-2</v>
      </c>
      <c r="M133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4.2193777383762185E-3</v>
      </c>
      <c r="N133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13111112</v>
      </c>
      <c r="O133" s="228">
        <f>IFERROR(VLOOKUP(Vertailu[[#This Row],[Y-tunnus]],'1.2 Ohjaus-laskentataulu'!A:AU,COLUMN('1.2 Ohjaus-laskentataulu'!AF:AF),FALSE),0)</f>
        <v>14971025</v>
      </c>
      <c r="P133" s="228">
        <f>IFERROR(Vertailu[[#This Row],[Rahoitus pl. hark. kor. 2023 ilman alv, €]]-Vertailu[[#This Row],[Rahoitus pl. hark. kor. 2022 ilman alv, €]],0)</f>
        <v>1859913</v>
      </c>
      <c r="Q133" s="230">
        <f>IFERROR(Vertailu[[#This Row],[Muutos, € 1]]/Vertailu[[#This Row],[Rahoitus pl. hark. kor. 2022 ilman alv, €]],0)</f>
        <v>0.14185776156896532</v>
      </c>
      <c r="R133" s="233">
        <f>IFERROR(VLOOKUP(Vertailu[[#This Row],[Y-tunnus]],'Suoritepäätös 2022 oikaistu'!$Q:$AC,COLUMN('Suoritepäätös 2022 oikaistu'!L:L),FALSE),0)</f>
        <v>13588112</v>
      </c>
      <c r="S133" s="234">
        <f>IFERROR(VLOOKUP(Vertailu[[#This Row],[Y-tunnus]],'1.2 Ohjaus-laskentataulu'!A:AU,COLUMN('1.2 Ohjaus-laskentataulu'!AS:AS),FALSE),0)</f>
        <v>15115025</v>
      </c>
      <c r="T133" s="228">
        <f>IFERROR(Vertailu[[#This Row],[Rahoitus ml. hark. kor. 
2023 ilman alv, €]]-Vertailu[[#This Row],[Rahoitus ml. hark. kor. 
2022 ilman alv, €]],0)</f>
        <v>1526913</v>
      </c>
      <c r="U133" s="232">
        <f>IFERROR(Vertailu[[#This Row],[Muutos, € 2]]/Vertailu[[#This Row],[Rahoitus ml. hark. kor. 
2022 ilman alv, €]],0)</f>
        <v>0.11237124039012926</v>
      </c>
      <c r="V133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14686812</v>
      </c>
      <c r="W133" s="233">
        <f>IFERROR(VLOOKUP(Vertailu[[#This Row],[Y-tunnus]],'1.2 Ohjaus-laskentataulu'!A:AU,COLUMN('1.2 Ohjaus-laskentataulu'!AU:AU),FALSE),0)</f>
        <v>16215810</v>
      </c>
      <c r="X133" s="235">
        <f>IFERROR(Vertailu[[#This Row],[Rahoitus ml. hark. kor. + alv 2023, €]]-Vertailu[[#This Row],[Rahoitus ml. hark. kor. + alv 2022, €]],0)</f>
        <v>1528998</v>
      </c>
      <c r="Y133" s="230">
        <f>IFERROR(Vertailu[[#This Row],[Muutos, € 3]]/Vertailu[[#This Row],[Rahoitus ml. hark. kor. + alv 2022, €]],0)</f>
        <v>0.10410686812086925</v>
      </c>
      <c r="Z133" s="228">
        <f>IFERROR(VLOOKUP(Vertailu[[#This Row],[Y-tunnus]],'Suoritepäätös 2022 oikaistu'!$B:$N,COLUMN('Suoritepäätös 2022 oikaistu'!G:G),FALSE),0)</f>
        <v>9157887</v>
      </c>
      <c r="AA133" s="228">
        <f>IFERROR(VLOOKUP(Vertailu[[#This Row],[Y-tunnus]],'1.2 Ohjaus-laskentataulu'!A:AU,COLUMN('1.2 Ohjaus-laskentataulu'!AP:AP),FALSE),0)</f>
        <v>9445988</v>
      </c>
      <c r="AB133" s="228">
        <f>Vertailu[[#This Row],[Perusrahoitus 2023, €]]-Vertailu[[#This Row],[Perusrahoitus 2022, €]]</f>
        <v>288101</v>
      </c>
      <c r="AC133" s="230">
        <f>IFERROR(Vertailu[[#This Row],[Perusrahoituksen muutos, €]]/Vertailu[[#This Row],[Perusrahoitus 2022, €]],0)</f>
        <v>3.145933117541197E-2</v>
      </c>
      <c r="AD133" s="228">
        <f>IFERROR(VLOOKUP(Vertailu[[#This Row],[Y-tunnus]],'Suoritepäätös 2022 oikaistu'!$B:$N,COLUMN('Suoritepäätös 2022 oikaistu'!M:M),FALSE),0)</f>
        <v>3401704</v>
      </c>
      <c r="AE133" s="228">
        <f>IFERROR(VLOOKUP(Vertailu[[#This Row],[Y-tunnus]],'1.2 Ohjaus-laskentataulu'!A:AU,COLUMN('1.2 Ohjaus-laskentataulu'!O:O),FALSE),0)</f>
        <v>3848004</v>
      </c>
      <c r="AF133" s="228">
        <f>Vertailu[[#This Row],[Suoritusrahoitus 2023, €]]-Vertailu[[#This Row],[Suoritusrahoitus 2022, €]]</f>
        <v>446300</v>
      </c>
      <c r="AG133" s="230">
        <f>IFERROR(Vertailu[[#This Row],[Suoritusrahoituksen muutos, €]]/Vertailu[[#This Row],[Suoritusrahoitus 2022, €]],0)</f>
        <v>0.13119895205461735</v>
      </c>
      <c r="AH133" s="228">
        <f>IFERROR(VLOOKUP(Vertailu[[#This Row],[Y-tunnus]],'Suoritepäätös 2022 oikaistu'!$Q:$AC,COLUMN('Suoritepäätös 2022 oikaistu'!K:K),FALSE),0)</f>
        <v>1483521</v>
      </c>
      <c r="AI133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1821033</v>
      </c>
      <c r="AJ133" s="228">
        <f>Vertailu[[#This Row],[Vaikuttavuusrahoitus 2023, €]]-Vertailu[[#This Row],[Vaikuttavuusrahoitus 2022, €]]</f>
        <v>337512</v>
      </c>
      <c r="AK133" s="230">
        <f>IFERROR(Vertailu[[#This Row],[Vaikuttavuusrahoituksen muutos, €]]/Vertailu[[#This Row],[Vaikuttavuusrahoitus 2022, €]],0)</f>
        <v>0.22750739625526029</v>
      </c>
    </row>
    <row r="134" spans="1:37" s="5" customFormat="1" ht="12.75" customHeight="1" x14ac:dyDescent="0.35">
      <c r="A134" s="7" t="s">
        <v>199</v>
      </c>
      <c r="B134" s="188" t="s">
        <v>121</v>
      </c>
      <c r="C134" s="188" t="s">
        <v>186</v>
      </c>
      <c r="D134" s="11" t="s">
        <v>338</v>
      </c>
      <c r="E134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0.68235119789471022</v>
      </c>
      <c r="F134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0.68415078720545608</v>
      </c>
      <c r="G134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0.21839314287552164</v>
      </c>
      <c r="H134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9.7456069919022309E-2</v>
      </c>
      <c r="I134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7.8194606056498681E-2</v>
      </c>
      <c r="J134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2.5069044881374518E-3</v>
      </c>
      <c r="K134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8.8877504252965582E-3</v>
      </c>
      <c r="L134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6.6514735381878595E-3</v>
      </c>
      <c r="M134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1.2153354109017589E-3</v>
      </c>
      <c r="N134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24095203</v>
      </c>
      <c r="O134" s="228">
        <f>IFERROR(VLOOKUP(Vertailu[[#This Row],[Y-tunnus]],'1.2 Ohjaus-laskentataulu'!A:AU,COLUMN('1.2 Ohjaus-laskentataulu'!AF:AF),FALSE),0)</f>
        <v>26070070</v>
      </c>
      <c r="P134" s="228">
        <f>IFERROR(Vertailu[[#This Row],[Rahoitus pl. hark. kor. 2023 ilman alv, €]]-Vertailu[[#This Row],[Rahoitus pl. hark. kor. 2022 ilman alv, €]],0)</f>
        <v>1974867</v>
      </c>
      <c r="Q134" s="230">
        <f>IFERROR(Vertailu[[#This Row],[Muutos, € 1]]/Vertailu[[#This Row],[Rahoitus pl. hark. kor. 2022 ilman alv, €]],0)</f>
        <v>8.1961002777191788E-2</v>
      </c>
      <c r="R134" s="233">
        <f>IFERROR(VLOOKUP(Vertailu[[#This Row],[Y-tunnus]],'Suoritepäätös 2022 oikaistu'!$Q:$AC,COLUMN('Suoritepäätös 2022 oikaistu'!L:L),FALSE),0)</f>
        <v>24100203</v>
      </c>
      <c r="S134" s="234">
        <f>IFERROR(VLOOKUP(Vertailu[[#This Row],[Y-tunnus]],'1.2 Ohjaus-laskentataulu'!A:AU,COLUMN('1.2 Ohjaus-laskentataulu'!AS:AS),FALSE),0)</f>
        <v>26117070</v>
      </c>
      <c r="T134" s="228">
        <f>IFERROR(Vertailu[[#This Row],[Rahoitus ml. hark. kor. 
2023 ilman alv, €]]-Vertailu[[#This Row],[Rahoitus ml. hark. kor. 
2022 ilman alv, €]],0)</f>
        <v>2016867</v>
      </c>
      <c r="U134" s="232">
        <f>IFERROR(Vertailu[[#This Row],[Muutos, € 2]]/Vertailu[[#This Row],[Rahoitus ml. hark. kor. 
2022 ilman alv, €]],0)</f>
        <v>8.3686722472835609E-2</v>
      </c>
      <c r="V134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24100203</v>
      </c>
      <c r="W134" s="233">
        <f>IFERROR(VLOOKUP(Vertailu[[#This Row],[Y-tunnus]],'1.2 Ohjaus-laskentataulu'!A:AU,COLUMN('1.2 Ohjaus-laskentataulu'!AU:AU),FALSE),0)</f>
        <v>26117070</v>
      </c>
      <c r="X134" s="235">
        <f>IFERROR(Vertailu[[#This Row],[Rahoitus ml. hark. kor. + alv 2023, €]]-Vertailu[[#This Row],[Rahoitus ml. hark. kor. + alv 2022, €]],0)</f>
        <v>2016867</v>
      </c>
      <c r="Y134" s="230">
        <f>IFERROR(Vertailu[[#This Row],[Muutos, € 3]]/Vertailu[[#This Row],[Rahoitus ml. hark. kor. + alv 2022, €]],0)</f>
        <v>8.3686722472835609E-2</v>
      </c>
      <c r="Z134" s="228">
        <f>IFERROR(VLOOKUP(Vertailu[[#This Row],[Y-tunnus]],'Suoritepäätös 2022 oikaistu'!$B:$N,COLUMN('Suoritepäätös 2022 oikaistu'!G:G),FALSE),0)</f>
        <v>16572884</v>
      </c>
      <c r="AA134" s="228">
        <f>IFERROR(VLOOKUP(Vertailu[[#This Row],[Y-tunnus]],'1.2 Ohjaus-laskentataulu'!A:AU,COLUMN('1.2 Ohjaus-laskentataulu'!AP:AP),FALSE),0)</f>
        <v>17868014</v>
      </c>
      <c r="AB134" s="228">
        <f>Vertailu[[#This Row],[Perusrahoitus 2023, €]]-Vertailu[[#This Row],[Perusrahoitus 2022, €]]</f>
        <v>1295130</v>
      </c>
      <c r="AC134" s="230">
        <f>IFERROR(Vertailu[[#This Row],[Perusrahoituksen muutos, €]]/Vertailu[[#This Row],[Perusrahoitus 2022, €]],0)</f>
        <v>7.8147533042528985E-2</v>
      </c>
      <c r="AD134" s="228">
        <f>IFERROR(VLOOKUP(Vertailu[[#This Row],[Y-tunnus]],'Suoritepäätös 2022 oikaistu'!$B:$N,COLUMN('Suoritepäätös 2022 oikaistu'!M:M),FALSE),0)</f>
        <v>4995906</v>
      </c>
      <c r="AE134" s="228">
        <f>IFERROR(VLOOKUP(Vertailu[[#This Row],[Y-tunnus]],'1.2 Ohjaus-laskentataulu'!A:AU,COLUMN('1.2 Ohjaus-laskentataulu'!O:O),FALSE),0)</f>
        <v>5703789</v>
      </c>
      <c r="AF134" s="228">
        <f>Vertailu[[#This Row],[Suoritusrahoitus 2023, €]]-Vertailu[[#This Row],[Suoritusrahoitus 2022, €]]</f>
        <v>707883</v>
      </c>
      <c r="AG134" s="230">
        <f>IFERROR(Vertailu[[#This Row],[Suoritusrahoituksen muutos, €]]/Vertailu[[#This Row],[Suoritusrahoitus 2022, €]],0)</f>
        <v>0.14169261791554924</v>
      </c>
      <c r="AH134" s="228">
        <f>IFERROR(VLOOKUP(Vertailu[[#This Row],[Y-tunnus]],'Suoritepäätös 2022 oikaistu'!$Q:$AC,COLUMN('Suoritepäätös 2022 oikaistu'!K:K),FALSE),0)</f>
        <v>2531413</v>
      </c>
      <c r="AI134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2545267</v>
      </c>
      <c r="AJ134" s="228">
        <f>Vertailu[[#This Row],[Vaikuttavuusrahoitus 2023, €]]-Vertailu[[#This Row],[Vaikuttavuusrahoitus 2022, €]]</f>
        <v>13854</v>
      </c>
      <c r="AK134" s="230">
        <f>IFERROR(Vertailu[[#This Row],[Vaikuttavuusrahoituksen muutos, €]]/Vertailu[[#This Row],[Vaikuttavuusrahoitus 2022, €]],0)</f>
        <v>5.4728327617816607E-3</v>
      </c>
    </row>
    <row r="135" spans="1:37" s="5" customFormat="1" ht="12.75" customHeight="1" x14ac:dyDescent="0.35">
      <c r="A135" s="7" t="s">
        <v>198</v>
      </c>
      <c r="B135" s="188" t="s">
        <v>122</v>
      </c>
      <c r="C135" s="188" t="s">
        <v>189</v>
      </c>
      <c r="D135" s="11" t="s">
        <v>336</v>
      </c>
      <c r="E135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0.6808824409878973</v>
      </c>
      <c r="F135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0.68227913858024203</v>
      </c>
      <c r="G135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0.20269955572911852</v>
      </c>
      <c r="H135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0.11502130569063949</v>
      </c>
      <c r="I135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7.5371947552329371E-2</v>
      </c>
      <c r="J135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5.0009222859768113E-3</v>
      </c>
      <c r="K135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1.3229240255171063E-2</v>
      </c>
      <c r="L135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1.6315941934252974E-2</v>
      </c>
      <c r="M135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5.1032536629092712E-3</v>
      </c>
      <c r="N135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9981099</v>
      </c>
      <c r="O135" s="228">
        <f>IFERROR(VLOOKUP(Vertailu[[#This Row],[Y-tunnus]],'1.2 Ohjaus-laskentataulu'!A:AU,COLUMN('1.2 Ohjaus-laskentataulu'!AF:AF),FALSE),0)</f>
        <v>10724619</v>
      </c>
      <c r="P135" s="228">
        <f>IFERROR(Vertailu[[#This Row],[Rahoitus pl. hark. kor. 2023 ilman alv, €]]-Vertailu[[#This Row],[Rahoitus pl. hark. kor. 2022 ilman alv, €]],0)</f>
        <v>743520</v>
      </c>
      <c r="Q135" s="230">
        <f>IFERROR(Vertailu[[#This Row],[Muutos, € 1]]/Vertailu[[#This Row],[Rahoitus pl. hark. kor. 2022 ilman alv, €]],0)</f>
        <v>7.4492798839085758E-2</v>
      </c>
      <c r="R135" s="233">
        <f>IFERROR(VLOOKUP(Vertailu[[#This Row],[Y-tunnus]],'Suoritepäätös 2022 oikaistu'!$Q:$AC,COLUMN('Suoritepäätös 2022 oikaistu'!L:L),FALSE),0)</f>
        <v>10002099</v>
      </c>
      <c r="S135" s="234">
        <f>IFERROR(VLOOKUP(Vertailu[[#This Row],[Y-tunnus]],'1.2 Ohjaus-laskentataulu'!A:AU,COLUMN('1.2 Ohjaus-laskentataulu'!AS:AS),FALSE),0)</f>
        <v>10739619</v>
      </c>
      <c r="T135" s="228">
        <f>IFERROR(Vertailu[[#This Row],[Rahoitus ml. hark. kor. 
2023 ilman alv, €]]-Vertailu[[#This Row],[Rahoitus ml. hark. kor. 
2022 ilman alv, €]],0)</f>
        <v>737520</v>
      </c>
      <c r="U135" s="232">
        <f>IFERROR(Vertailu[[#This Row],[Muutos, € 2]]/Vertailu[[#This Row],[Rahoitus ml. hark. kor. 
2022 ilman alv, €]],0)</f>
        <v>7.373652270388445E-2</v>
      </c>
      <c r="V135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10002099</v>
      </c>
      <c r="W135" s="233">
        <f>IFERROR(VLOOKUP(Vertailu[[#This Row],[Y-tunnus]],'1.2 Ohjaus-laskentataulu'!A:AU,COLUMN('1.2 Ohjaus-laskentataulu'!AU:AU),FALSE),0)</f>
        <v>10739619</v>
      </c>
      <c r="X135" s="235">
        <f>IFERROR(Vertailu[[#This Row],[Rahoitus ml. hark. kor. + alv 2023, €]]-Vertailu[[#This Row],[Rahoitus ml. hark. kor. + alv 2022, €]],0)</f>
        <v>737520</v>
      </c>
      <c r="Y135" s="230">
        <f>IFERROR(Vertailu[[#This Row],[Muutos, € 3]]/Vertailu[[#This Row],[Rahoitus ml. hark. kor. + alv 2022, €]],0)</f>
        <v>7.373652270388445E-2</v>
      </c>
      <c r="Z135" s="228">
        <f>IFERROR(VLOOKUP(Vertailu[[#This Row],[Y-tunnus]],'Suoritepäätös 2022 oikaistu'!$B:$N,COLUMN('Suoritepäätös 2022 oikaistu'!G:G),FALSE),0)</f>
        <v>6751359</v>
      </c>
      <c r="AA135" s="228">
        <f>IFERROR(VLOOKUP(Vertailu[[#This Row],[Y-tunnus]],'1.2 Ohjaus-laskentataulu'!A:AU,COLUMN('1.2 Ohjaus-laskentataulu'!AP:AP),FALSE),0)</f>
        <v>7327418</v>
      </c>
      <c r="AB135" s="228">
        <f>Vertailu[[#This Row],[Perusrahoitus 2023, €]]-Vertailu[[#This Row],[Perusrahoitus 2022, €]]</f>
        <v>576059</v>
      </c>
      <c r="AC135" s="230">
        <f>IFERROR(Vertailu[[#This Row],[Perusrahoituksen muutos, €]]/Vertailu[[#This Row],[Perusrahoitus 2022, €]],0)</f>
        <v>8.5324895328481268E-2</v>
      </c>
      <c r="AD135" s="228">
        <f>IFERROR(VLOOKUP(Vertailu[[#This Row],[Y-tunnus]],'Suoritepäätös 2022 oikaistu'!$B:$N,COLUMN('Suoritepäätös 2022 oikaistu'!M:M),FALSE),0)</f>
        <v>2046030</v>
      </c>
      <c r="AE135" s="228">
        <f>IFERROR(VLOOKUP(Vertailu[[#This Row],[Y-tunnus]],'1.2 Ohjaus-laskentataulu'!A:AU,COLUMN('1.2 Ohjaus-laskentataulu'!O:O),FALSE),0)</f>
        <v>2176916</v>
      </c>
      <c r="AF135" s="228">
        <f>Vertailu[[#This Row],[Suoritusrahoitus 2023, €]]-Vertailu[[#This Row],[Suoritusrahoitus 2022, €]]</f>
        <v>130886</v>
      </c>
      <c r="AG135" s="230">
        <f>IFERROR(Vertailu[[#This Row],[Suoritusrahoituksen muutos, €]]/Vertailu[[#This Row],[Suoritusrahoitus 2022, €]],0)</f>
        <v>6.397071401690102E-2</v>
      </c>
      <c r="AH135" s="228">
        <f>IFERROR(VLOOKUP(Vertailu[[#This Row],[Y-tunnus]],'Suoritepäätös 2022 oikaistu'!$Q:$AC,COLUMN('Suoritepäätös 2022 oikaistu'!K:K),FALSE),0)</f>
        <v>1204710</v>
      </c>
      <c r="AI135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1235285</v>
      </c>
      <c r="AJ135" s="228">
        <f>Vertailu[[#This Row],[Vaikuttavuusrahoitus 2023, €]]-Vertailu[[#This Row],[Vaikuttavuusrahoitus 2022, €]]</f>
        <v>30575</v>
      </c>
      <c r="AK135" s="230">
        <f>IFERROR(Vertailu[[#This Row],[Vaikuttavuusrahoituksen muutos, €]]/Vertailu[[#This Row],[Vaikuttavuusrahoitus 2022, €]],0)</f>
        <v>2.5379551925359629E-2</v>
      </c>
    </row>
    <row r="136" spans="1:37" s="5" customFormat="1" ht="12.75" customHeight="1" x14ac:dyDescent="0.35">
      <c r="A136" s="7" t="s">
        <v>197</v>
      </c>
      <c r="B136" s="188" t="s">
        <v>123</v>
      </c>
      <c r="C136" s="188" t="s">
        <v>196</v>
      </c>
      <c r="D136" s="11" t="s">
        <v>337</v>
      </c>
      <c r="E136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0.53217869580561605</v>
      </c>
      <c r="F136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0.53217869580561605</v>
      </c>
      <c r="G136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0.22101253853785865</v>
      </c>
      <c r="H136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0.24680876565652529</v>
      </c>
      <c r="I136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0.19217323558201321</v>
      </c>
      <c r="J136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7.4911604306917836E-3</v>
      </c>
      <c r="K136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3.1536120710894476E-2</v>
      </c>
      <c r="L136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1.2338773580508333E-2</v>
      </c>
      <c r="M136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3.2694753524174806E-3</v>
      </c>
      <c r="N136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129167</v>
      </c>
      <c r="O136" s="228">
        <f>IFERROR(VLOOKUP(Vertailu[[#This Row],[Y-tunnus]],'1.2 Ohjaus-laskentataulu'!A:AU,COLUMN('1.2 Ohjaus-laskentataulu'!AF:AF),FALSE),0)</f>
        <v>150177</v>
      </c>
      <c r="P136" s="228">
        <f>IFERROR(Vertailu[[#This Row],[Rahoitus pl. hark. kor. 2023 ilman alv, €]]-Vertailu[[#This Row],[Rahoitus pl. hark. kor. 2022 ilman alv, €]],0)</f>
        <v>21010</v>
      </c>
      <c r="Q136" s="230">
        <f>IFERROR(Vertailu[[#This Row],[Muutos, € 1]]/Vertailu[[#This Row],[Rahoitus pl. hark. kor. 2022 ilman alv, €]],0)</f>
        <v>0.16265764475446515</v>
      </c>
      <c r="R136" s="233">
        <f>IFERROR(VLOOKUP(Vertailu[[#This Row],[Y-tunnus]],'Suoritepäätös 2022 oikaistu'!$Q:$AC,COLUMN('Suoritepäätös 2022 oikaistu'!L:L),FALSE),0)</f>
        <v>129167</v>
      </c>
      <c r="S136" s="234">
        <f>IFERROR(VLOOKUP(Vertailu[[#This Row],[Y-tunnus]],'1.2 Ohjaus-laskentataulu'!A:AU,COLUMN('1.2 Ohjaus-laskentataulu'!AS:AS),FALSE),0)</f>
        <v>150177</v>
      </c>
      <c r="T136" s="228">
        <f>IFERROR(Vertailu[[#This Row],[Rahoitus ml. hark. kor. 
2023 ilman alv, €]]-Vertailu[[#This Row],[Rahoitus ml. hark. kor. 
2022 ilman alv, €]],0)</f>
        <v>21010</v>
      </c>
      <c r="U136" s="232">
        <f>IFERROR(Vertailu[[#This Row],[Muutos, € 2]]/Vertailu[[#This Row],[Rahoitus ml. hark. kor. 
2022 ilman alv, €]],0)</f>
        <v>0.16265764475446515</v>
      </c>
      <c r="V136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129167</v>
      </c>
      <c r="W136" s="233">
        <f>IFERROR(VLOOKUP(Vertailu[[#This Row],[Y-tunnus]],'1.2 Ohjaus-laskentataulu'!A:AU,COLUMN('1.2 Ohjaus-laskentataulu'!AU:AU),FALSE),0)</f>
        <v>150177</v>
      </c>
      <c r="X136" s="235">
        <f>IFERROR(Vertailu[[#This Row],[Rahoitus ml. hark. kor. + alv 2023, €]]-Vertailu[[#This Row],[Rahoitus ml. hark. kor. + alv 2022, €]],0)</f>
        <v>21010</v>
      </c>
      <c r="Y136" s="230">
        <f>IFERROR(Vertailu[[#This Row],[Muutos, € 3]]/Vertailu[[#This Row],[Rahoitus ml. hark. kor. + alv 2022, €]],0)</f>
        <v>0.16265764475446515</v>
      </c>
      <c r="Z136" s="228">
        <f>IFERROR(VLOOKUP(Vertailu[[#This Row],[Y-tunnus]],'Suoritepäätös 2022 oikaistu'!$B:$N,COLUMN('Suoritepäätös 2022 oikaistu'!G:G),FALSE),0)</f>
        <v>75114</v>
      </c>
      <c r="AA136" s="228">
        <f>IFERROR(VLOOKUP(Vertailu[[#This Row],[Y-tunnus]],'1.2 Ohjaus-laskentataulu'!A:AU,COLUMN('1.2 Ohjaus-laskentataulu'!AP:AP),FALSE),0)</f>
        <v>79921</v>
      </c>
      <c r="AB136" s="228">
        <f>Vertailu[[#This Row],[Perusrahoitus 2023, €]]-Vertailu[[#This Row],[Perusrahoitus 2022, €]]</f>
        <v>4807</v>
      </c>
      <c r="AC136" s="230">
        <f>IFERROR(Vertailu[[#This Row],[Perusrahoituksen muutos, €]]/Vertailu[[#This Row],[Perusrahoitus 2022, €]],0)</f>
        <v>6.399605932316213E-2</v>
      </c>
      <c r="AD136" s="228">
        <f>IFERROR(VLOOKUP(Vertailu[[#This Row],[Y-tunnus]],'Suoritepäätös 2022 oikaistu'!$B:$N,COLUMN('Suoritepäätös 2022 oikaistu'!M:M),FALSE),0)</f>
        <v>35913</v>
      </c>
      <c r="AE136" s="228">
        <f>IFERROR(VLOOKUP(Vertailu[[#This Row],[Y-tunnus]],'1.2 Ohjaus-laskentataulu'!A:AU,COLUMN('1.2 Ohjaus-laskentataulu'!O:O),FALSE),0)</f>
        <v>33191</v>
      </c>
      <c r="AF136" s="228">
        <f>Vertailu[[#This Row],[Suoritusrahoitus 2023, €]]-Vertailu[[#This Row],[Suoritusrahoitus 2022, €]]</f>
        <v>-2722</v>
      </c>
      <c r="AG136" s="230">
        <f>IFERROR(Vertailu[[#This Row],[Suoritusrahoituksen muutos, €]]/Vertailu[[#This Row],[Suoritusrahoitus 2022, €]],0)</f>
        <v>-7.579428062261577E-2</v>
      </c>
      <c r="AH136" s="228">
        <f>IFERROR(VLOOKUP(Vertailu[[#This Row],[Y-tunnus]],'Suoritepäätös 2022 oikaistu'!$Q:$AC,COLUMN('Suoritepäätös 2022 oikaistu'!K:K),FALSE),0)</f>
        <v>18140</v>
      </c>
      <c r="AI136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37065</v>
      </c>
      <c r="AJ136" s="228">
        <f>Vertailu[[#This Row],[Vaikuttavuusrahoitus 2023, €]]-Vertailu[[#This Row],[Vaikuttavuusrahoitus 2022, €]]</f>
        <v>18925</v>
      </c>
      <c r="AK136" s="230">
        <f>IFERROR(Vertailu[[#This Row],[Vaikuttavuusrahoituksen muutos, €]]/Vertailu[[#This Row],[Vaikuttavuusrahoitus 2022, €]],0)</f>
        <v>1.0432745314222713</v>
      </c>
    </row>
    <row r="137" spans="1:37" s="5" customFormat="1" ht="12.75" customHeight="1" x14ac:dyDescent="0.35">
      <c r="A137" s="7" t="s">
        <v>195</v>
      </c>
      <c r="B137" s="188" t="s">
        <v>152</v>
      </c>
      <c r="C137" s="188" t="s">
        <v>194</v>
      </c>
      <c r="D137" s="11" t="s">
        <v>337</v>
      </c>
      <c r="E137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</v>
      </c>
      <c r="F137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</v>
      </c>
      <c r="G137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</v>
      </c>
      <c r="H137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0</v>
      </c>
      <c r="I137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0</v>
      </c>
      <c r="J137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0</v>
      </c>
      <c r="K137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0</v>
      </c>
      <c r="L137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0</v>
      </c>
      <c r="M137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0</v>
      </c>
      <c r="N137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0</v>
      </c>
      <c r="O137" s="228">
        <f>IFERROR(VLOOKUP(Vertailu[[#This Row],[Y-tunnus]],'1.2 Ohjaus-laskentataulu'!A:AU,COLUMN('1.2 Ohjaus-laskentataulu'!AF:AF),FALSE),0)</f>
        <v>0</v>
      </c>
      <c r="P137" s="228">
        <f>IFERROR(Vertailu[[#This Row],[Rahoitus pl. hark. kor. 2023 ilman alv, €]]-Vertailu[[#This Row],[Rahoitus pl. hark. kor. 2022 ilman alv, €]],0)</f>
        <v>0</v>
      </c>
      <c r="Q137" s="230">
        <f>IFERROR(Vertailu[[#This Row],[Muutos, € 1]]/Vertailu[[#This Row],[Rahoitus pl. hark. kor. 2022 ilman alv, €]],0)</f>
        <v>0</v>
      </c>
      <c r="R137" s="233">
        <f>IFERROR(VLOOKUP(Vertailu[[#This Row],[Y-tunnus]],'Suoritepäätös 2022 oikaistu'!$Q:$AC,COLUMN('Suoritepäätös 2022 oikaistu'!L:L),FALSE),0)</f>
        <v>0</v>
      </c>
      <c r="S137" s="234">
        <f>IFERROR(VLOOKUP(Vertailu[[#This Row],[Y-tunnus]],'1.2 Ohjaus-laskentataulu'!A:AU,COLUMN('1.2 Ohjaus-laskentataulu'!AS:AS),FALSE),0)</f>
        <v>0</v>
      </c>
      <c r="T137" s="228">
        <f>IFERROR(Vertailu[[#This Row],[Rahoitus ml. hark. kor. 
2023 ilman alv, €]]-Vertailu[[#This Row],[Rahoitus ml. hark. kor. 
2022 ilman alv, €]],0)</f>
        <v>0</v>
      </c>
      <c r="U137" s="232">
        <f>IFERROR(Vertailu[[#This Row],[Muutos, € 2]]/Vertailu[[#This Row],[Rahoitus ml. hark. kor. 
2022 ilman alv, €]],0)</f>
        <v>0</v>
      </c>
      <c r="V137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0</v>
      </c>
      <c r="W137" s="233">
        <f>IFERROR(VLOOKUP(Vertailu[[#This Row],[Y-tunnus]],'1.2 Ohjaus-laskentataulu'!A:AU,COLUMN('1.2 Ohjaus-laskentataulu'!AU:AU),FALSE),0)</f>
        <v>0</v>
      </c>
      <c r="X137" s="235">
        <f>IFERROR(Vertailu[[#This Row],[Rahoitus ml. hark. kor. + alv 2023, €]]-Vertailu[[#This Row],[Rahoitus ml. hark. kor. + alv 2022, €]],0)</f>
        <v>0</v>
      </c>
      <c r="Y137" s="230">
        <f>IFERROR(Vertailu[[#This Row],[Muutos, € 3]]/Vertailu[[#This Row],[Rahoitus ml. hark. kor. + alv 2022, €]],0)</f>
        <v>0</v>
      </c>
      <c r="Z137" s="228">
        <f>IFERROR(VLOOKUP(Vertailu[[#This Row],[Y-tunnus]],'Suoritepäätös 2022 oikaistu'!$B:$N,COLUMN('Suoritepäätös 2022 oikaistu'!G:G),FALSE),0)</f>
        <v>0</v>
      </c>
      <c r="AA137" s="228">
        <f>IFERROR(VLOOKUP(Vertailu[[#This Row],[Y-tunnus]],'1.2 Ohjaus-laskentataulu'!A:AU,COLUMN('1.2 Ohjaus-laskentataulu'!AP:AP),FALSE),0)</f>
        <v>0</v>
      </c>
      <c r="AB137" s="228">
        <f>Vertailu[[#This Row],[Perusrahoitus 2023, €]]-Vertailu[[#This Row],[Perusrahoitus 2022, €]]</f>
        <v>0</v>
      </c>
      <c r="AC137" s="230">
        <f>IFERROR(Vertailu[[#This Row],[Perusrahoituksen muutos, €]]/Vertailu[[#This Row],[Perusrahoitus 2022, €]],0)</f>
        <v>0</v>
      </c>
      <c r="AD137" s="228">
        <f>IFERROR(VLOOKUP(Vertailu[[#This Row],[Y-tunnus]],'Suoritepäätös 2022 oikaistu'!$B:$N,COLUMN('Suoritepäätös 2022 oikaistu'!M:M),FALSE),0)</f>
        <v>0</v>
      </c>
      <c r="AE137" s="228">
        <f>IFERROR(VLOOKUP(Vertailu[[#This Row],[Y-tunnus]],'1.2 Ohjaus-laskentataulu'!A:AU,COLUMN('1.2 Ohjaus-laskentataulu'!O:O),FALSE),0)</f>
        <v>0</v>
      </c>
      <c r="AF137" s="228">
        <f>Vertailu[[#This Row],[Suoritusrahoitus 2023, €]]-Vertailu[[#This Row],[Suoritusrahoitus 2022, €]]</f>
        <v>0</v>
      </c>
      <c r="AG137" s="230">
        <f>IFERROR(Vertailu[[#This Row],[Suoritusrahoituksen muutos, €]]/Vertailu[[#This Row],[Suoritusrahoitus 2022, €]],0)</f>
        <v>0</v>
      </c>
      <c r="AH137" s="228">
        <f>IFERROR(VLOOKUP(Vertailu[[#This Row],[Y-tunnus]],'Suoritepäätös 2022 oikaistu'!$Q:$AC,COLUMN('Suoritepäätös 2022 oikaistu'!K:K),FALSE),0)</f>
        <v>0</v>
      </c>
      <c r="AI137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0</v>
      </c>
      <c r="AJ137" s="228">
        <f>Vertailu[[#This Row],[Vaikuttavuusrahoitus 2023, €]]-Vertailu[[#This Row],[Vaikuttavuusrahoitus 2022, €]]</f>
        <v>0</v>
      </c>
      <c r="AK137" s="230">
        <f>IFERROR(Vertailu[[#This Row],[Vaikuttavuusrahoituksen muutos, €]]/Vertailu[[#This Row],[Vaikuttavuusrahoitus 2022, €]],0)</f>
        <v>0</v>
      </c>
    </row>
    <row r="138" spans="1:37" s="5" customFormat="1" ht="12.75" customHeight="1" x14ac:dyDescent="0.35">
      <c r="A138" s="7" t="s">
        <v>191</v>
      </c>
      <c r="B138" s="188" t="s">
        <v>125</v>
      </c>
      <c r="C138" s="188" t="s">
        <v>180</v>
      </c>
      <c r="D138" s="11" t="s">
        <v>338</v>
      </c>
      <c r="E138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0.71167417434429081</v>
      </c>
      <c r="F138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0.71167417434429081</v>
      </c>
      <c r="G138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0.19636331470866294</v>
      </c>
      <c r="H138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9.1962510947046203E-2</v>
      </c>
      <c r="I138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7.8110179760916401E-2</v>
      </c>
      <c r="J138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4.3724903865507989E-3</v>
      </c>
      <c r="K138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7.8375489846811541E-3</v>
      </c>
      <c r="L138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1.48389608399992E-3</v>
      </c>
      <c r="M138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1.5839573089792251E-4</v>
      </c>
      <c r="N138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34224639</v>
      </c>
      <c r="O138" s="228">
        <f>IFERROR(VLOOKUP(Vertailu[[#This Row],[Y-tunnus]],'1.2 Ohjaus-laskentataulu'!A:AU,COLUMN('1.2 Ohjaus-laskentataulu'!AF:AF),FALSE),0)</f>
        <v>36187844</v>
      </c>
      <c r="P138" s="228">
        <f>IFERROR(Vertailu[[#This Row],[Rahoitus pl. hark. kor. 2023 ilman alv, €]]-Vertailu[[#This Row],[Rahoitus pl. hark. kor. 2022 ilman alv, €]],0)</f>
        <v>1963205</v>
      </c>
      <c r="Q138" s="230">
        <f>IFERROR(Vertailu[[#This Row],[Muutos, € 1]]/Vertailu[[#This Row],[Rahoitus pl. hark. kor. 2022 ilman alv, €]],0)</f>
        <v>5.736232893501083E-2</v>
      </c>
      <c r="R138" s="233">
        <f>IFERROR(VLOOKUP(Vertailu[[#This Row],[Y-tunnus]],'Suoritepäätös 2022 oikaistu'!$Q:$AC,COLUMN('Suoritepäätös 2022 oikaistu'!L:L),FALSE),0)</f>
        <v>34229639</v>
      </c>
      <c r="S138" s="234">
        <f>IFERROR(VLOOKUP(Vertailu[[#This Row],[Y-tunnus]],'1.2 Ohjaus-laskentataulu'!A:AU,COLUMN('1.2 Ohjaus-laskentataulu'!AS:AS),FALSE),0)</f>
        <v>36187844</v>
      </c>
      <c r="T138" s="228">
        <f>IFERROR(Vertailu[[#This Row],[Rahoitus ml. hark. kor. 
2023 ilman alv, €]]-Vertailu[[#This Row],[Rahoitus ml. hark. kor. 
2022 ilman alv, €]],0)</f>
        <v>1958205</v>
      </c>
      <c r="U138" s="232">
        <f>IFERROR(Vertailu[[#This Row],[Muutos, € 2]]/Vertailu[[#This Row],[Rahoitus ml. hark. kor. 
2022 ilman alv, €]],0)</f>
        <v>5.7207877652463705E-2</v>
      </c>
      <c r="V138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34229639</v>
      </c>
      <c r="W138" s="233">
        <f>IFERROR(VLOOKUP(Vertailu[[#This Row],[Y-tunnus]],'1.2 Ohjaus-laskentataulu'!A:AU,COLUMN('1.2 Ohjaus-laskentataulu'!AU:AU),FALSE),0)</f>
        <v>36187844</v>
      </c>
      <c r="X138" s="235">
        <f>IFERROR(Vertailu[[#This Row],[Rahoitus ml. hark. kor. + alv 2023, €]]-Vertailu[[#This Row],[Rahoitus ml. hark. kor. + alv 2022, €]],0)</f>
        <v>1958205</v>
      </c>
      <c r="Y138" s="230">
        <f>IFERROR(Vertailu[[#This Row],[Muutos, € 3]]/Vertailu[[#This Row],[Rahoitus ml. hark. kor. + alv 2022, €]],0)</f>
        <v>5.7207877652463705E-2</v>
      </c>
      <c r="Z138" s="228">
        <f>IFERROR(VLOOKUP(Vertailu[[#This Row],[Y-tunnus]],'Suoritepäätös 2022 oikaistu'!$B:$N,COLUMN('Suoritepäätös 2022 oikaistu'!G:G),FALSE),0)</f>
        <v>23843700</v>
      </c>
      <c r="AA138" s="228">
        <f>IFERROR(VLOOKUP(Vertailu[[#This Row],[Y-tunnus]],'1.2 Ohjaus-laskentataulu'!A:AU,COLUMN('1.2 Ohjaus-laskentataulu'!AP:AP),FALSE),0)</f>
        <v>25753954</v>
      </c>
      <c r="AB138" s="228">
        <f>Vertailu[[#This Row],[Perusrahoitus 2023, €]]-Vertailu[[#This Row],[Perusrahoitus 2022, €]]</f>
        <v>1910254</v>
      </c>
      <c r="AC138" s="230">
        <f>IFERROR(Vertailu[[#This Row],[Perusrahoituksen muutos, €]]/Vertailu[[#This Row],[Perusrahoitus 2022, €]],0)</f>
        <v>8.0115669967328898E-2</v>
      </c>
      <c r="AD138" s="228">
        <f>IFERROR(VLOOKUP(Vertailu[[#This Row],[Y-tunnus]],'Suoritepäätös 2022 oikaistu'!$B:$N,COLUMN('Suoritepäätös 2022 oikaistu'!M:M),FALSE),0)</f>
        <v>6632197</v>
      </c>
      <c r="AE138" s="228">
        <f>IFERROR(VLOOKUP(Vertailu[[#This Row],[Y-tunnus]],'1.2 Ohjaus-laskentataulu'!A:AU,COLUMN('1.2 Ohjaus-laskentataulu'!O:O),FALSE),0)</f>
        <v>7105965</v>
      </c>
      <c r="AF138" s="228">
        <f>Vertailu[[#This Row],[Suoritusrahoitus 2023, €]]-Vertailu[[#This Row],[Suoritusrahoitus 2022, €]]</f>
        <v>473768</v>
      </c>
      <c r="AG138" s="230">
        <f>IFERROR(Vertailu[[#This Row],[Suoritusrahoituksen muutos, €]]/Vertailu[[#This Row],[Suoritusrahoitus 2022, €]],0)</f>
        <v>7.1434548762649847E-2</v>
      </c>
      <c r="AH138" s="228">
        <f>IFERROR(VLOOKUP(Vertailu[[#This Row],[Y-tunnus]],'Suoritepäätös 2022 oikaistu'!$Q:$AC,COLUMN('Suoritepäätös 2022 oikaistu'!K:K),FALSE),0)</f>
        <v>3753742</v>
      </c>
      <c r="AI138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3327925</v>
      </c>
      <c r="AJ138" s="228">
        <f>Vertailu[[#This Row],[Vaikuttavuusrahoitus 2023, €]]-Vertailu[[#This Row],[Vaikuttavuusrahoitus 2022, €]]</f>
        <v>-425817</v>
      </c>
      <c r="AK138" s="230">
        <f>IFERROR(Vertailu[[#This Row],[Vaikuttavuusrahoituksen muutos, €]]/Vertailu[[#This Row],[Vaikuttavuusrahoitus 2022, €]],0)</f>
        <v>-0.11343800399707811</v>
      </c>
    </row>
    <row r="139" spans="1:37" s="5" customFormat="1" ht="12.75" customHeight="1" x14ac:dyDescent="0.35">
      <c r="A139" s="7" t="s">
        <v>190</v>
      </c>
      <c r="B139" s="188" t="s">
        <v>126</v>
      </c>
      <c r="C139" s="188" t="s">
        <v>189</v>
      </c>
      <c r="D139" s="11" t="s">
        <v>337</v>
      </c>
      <c r="E139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0.64030890577549371</v>
      </c>
      <c r="F139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0.64227195722118291</v>
      </c>
      <c r="G139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0.24165634428781474</v>
      </c>
      <c r="H139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0.11607169849100235</v>
      </c>
      <c r="I139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7.7273557108111138E-2</v>
      </c>
      <c r="J139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4.3995909000787183E-3</v>
      </c>
      <c r="K139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1.4780599555172542E-2</v>
      </c>
      <c r="L139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1.3973785410994265E-2</v>
      </c>
      <c r="M139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5.6441655166456946E-3</v>
      </c>
      <c r="N139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2214491</v>
      </c>
      <c r="O139" s="228">
        <f>IFERROR(VLOOKUP(Vertailu[[#This Row],[Y-tunnus]],'1.2 Ohjaus-laskentataulu'!A:AU,COLUMN('1.2 Ohjaus-laskentataulu'!AF:AF),FALSE),0)</f>
        <v>2542055</v>
      </c>
      <c r="P139" s="228">
        <f>IFERROR(Vertailu[[#This Row],[Rahoitus pl. hark. kor. 2023 ilman alv, €]]-Vertailu[[#This Row],[Rahoitus pl. hark. kor. 2022 ilman alv, €]],0)</f>
        <v>327564</v>
      </c>
      <c r="Q139" s="230">
        <f>IFERROR(Vertailu[[#This Row],[Muutos, € 1]]/Vertailu[[#This Row],[Rahoitus pl. hark. kor. 2022 ilman alv, €]],0)</f>
        <v>0.14791841556366678</v>
      </c>
      <c r="R139" s="233">
        <f>IFERROR(VLOOKUP(Vertailu[[#This Row],[Y-tunnus]],'Suoritepäätös 2022 oikaistu'!$Q:$AC,COLUMN('Suoritepäätös 2022 oikaistu'!L:L),FALSE),0)</f>
        <v>2219491</v>
      </c>
      <c r="S139" s="234">
        <f>IFERROR(VLOOKUP(Vertailu[[#This Row],[Y-tunnus]],'1.2 Ohjaus-laskentataulu'!A:AU,COLUMN('1.2 Ohjaus-laskentataulu'!AS:AS),FALSE),0)</f>
        <v>2547055</v>
      </c>
      <c r="T139" s="228">
        <f>IFERROR(Vertailu[[#This Row],[Rahoitus ml. hark. kor. 
2023 ilman alv, €]]-Vertailu[[#This Row],[Rahoitus ml. hark. kor. 
2022 ilman alv, €]],0)</f>
        <v>327564</v>
      </c>
      <c r="U139" s="232">
        <f>IFERROR(Vertailu[[#This Row],[Muutos, € 2]]/Vertailu[[#This Row],[Rahoitus ml. hark. kor. 
2022 ilman alv, €]],0)</f>
        <v>0.14758518957724992</v>
      </c>
      <c r="V139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2350351</v>
      </c>
      <c r="W139" s="233">
        <f>IFERROR(VLOOKUP(Vertailu[[#This Row],[Y-tunnus]],'1.2 Ohjaus-laskentataulu'!A:AU,COLUMN('1.2 Ohjaus-laskentataulu'!AU:AU),FALSE),0)</f>
        <v>2688029</v>
      </c>
      <c r="X139" s="235">
        <f>IFERROR(Vertailu[[#This Row],[Rahoitus ml. hark. kor. + alv 2023, €]]-Vertailu[[#This Row],[Rahoitus ml. hark. kor. + alv 2022, €]],0)</f>
        <v>337678</v>
      </c>
      <c r="Y139" s="230">
        <f>IFERROR(Vertailu[[#This Row],[Muutos, € 3]]/Vertailu[[#This Row],[Rahoitus ml. hark. kor. + alv 2022, €]],0)</f>
        <v>0.14367130696649139</v>
      </c>
      <c r="Z139" s="228">
        <f>IFERROR(VLOOKUP(Vertailu[[#This Row],[Y-tunnus]],'Suoritepäätös 2022 oikaistu'!$B:$N,COLUMN('Suoritepäätös 2022 oikaistu'!G:G),FALSE),0)</f>
        <v>1510339</v>
      </c>
      <c r="AA139" s="228">
        <f>IFERROR(VLOOKUP(Vertailu[[#This Row],[Y-tunnus]],'1.2 Ohjaus-laskentataulu'!A:AU,COLUMN('1.2 Ohjaus-laskentataulu'!AP:AP),FALSE),0)</f>
        <v>1635902</v>
      </c>
      <c r="AB139" s="228">
        <f>Vertailu[[#This Row],[Perusrahoitus 2023, €]]-Vertailu[[#This Row],[Perusrahoitus 2022, €]]</f>
        <v>125563</v>
      </c>
      <c r="AC139" s="230">
        <f>IFERROR(Vertailu[[#This Row],[Perusrahoituksen muutos, €]]/Vertailu[[#This Row],[Perusrahoitus 2022, €]],0)</f>
        <v>8.3135640409206152E-2</v>
      </c>
      <c r="AD139" s="228">
        <f>IFERROR(VLOOKUP(Vertailu[[#This Row],[Y-tunnus]],'Suoritepäätös 2022 oikaistu'!$B:$N,COLUMN('Suoritepäätös 2022 oikaistu'!M:M),FALSE),0)</f>
        <v>521834</v>
      </c>
      <c r="AE139" s="228">
        <f>IFERROR(VLOOKUP(Vertailu[[#This Row],[Y-tunnus]],'1.2 Ohjaus-laskentataulu'!A:AU,COLUMN('1.2 Ohjaus-laskentataulu'!O:O),FALSE),0)</f>
        <v>615512</v>
      </c>
      <c r="AF139" s="228">
        <f>Vertailu[[#This Row],[Suoritusrahoitus 2023, €]]-Vertailu[[#This Row],[Suoritusrahoitus 2022, €]]</f>
        <v>93678</v>
      </c>
      <c r="AG139" s="230">
        <f>IFERROR(Vertailu[[#This Row],[Suoritusrahoituksen muutos, €]]/Vertailu[[#This Row],[Suoritusrahoitus 2022, €]],0)</f>
        <v>0.17951685785134736</v>
      </c>
      <c r="AH139" s="228">
        <f>IFERROR(VLOOKUP(Vertailu[[#This Row],[Y-tunnus]],'Suoritepäätös 2022 oikaistu'!$Q:$AC,COLUMN('Suoritepäätös 2022 oikaistu'!K:K),FALSE),0)</f>
        <v>187318</v>
      </c>
      <c r="AI139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295641</v>
      </c>
      <c r="AJ139" s="228">
        <f>Vertailu[[#This Row],[Vaikuttavuusrahoitus 2023, €]]-Vertailu[[#This Row],[Vaikuttavuusrahoitus 2022, €]]</f>
        <v>108323</v>
      </c>
      <c r="AK139" s="230">
        <f>IFERROR(Vertailu[[#This Row],[Vaikuttavuusrahoituksen muutos, €]]/Vertailu[[#This Row],[Vaikuttavuusrahoitus 2022, €]],0)</f>
        <v>0.57828398765735278</v>
      </c>
    </row>
    <row r="140" spans="1:37" s="5" customFormat="1" ht="12.75" customHeight="1" x14ac:dyDescent="0.35">
      <c r="A140" s="7" t="s">
        <v>185</v>
      </c>
      <c r="B140" s="188" t="s">
        <v>127</v>
      </c>
      <c r="C140" s="188" t="s">
        <v>184</v>
      </c>
      <c r="D140" s="11" t="s">
        <v>336</v>
      </c>
      <c r="E140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0.67195977242423022</v>
      </c>
      <c r="F140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0.67353408113346869</v>
      </c>
      <c r="G140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0.21020941297019419</v>
      </c>
      <c r="H140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0.11625650589633713</v>
      </c>
      <c r="I140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6.3057990763320901E-2</v>
      </c>
      <c r="J140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5.1951662635299368E-3</v>
      </c>
      <c r="K140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1.3757463994379089E-2</v>
      </c>
      <c r="L140" s="232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2.0572803827543298E-2</v>
      </c>
      <c r="M140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1.3673081047563906E-2</v>
      </c>
      <c r="N140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17187806</v>
      </c>
      <c r="O140" s="228">
        <f>IFERROR(VLOOKUP(Vertailu[[#This Row],[Y-tunnus]],'1.2 Ohjaus-laskentataulu'!A:AU,COLUMN('1.2 Ohjaus-laskentataulu'!AF:AF),FALSE),0)</f>
        <v>19025983</v>
      </c>
      <c r="P140" s="228">
        <f>IFERROR(Vertailu[[#This Row],[Rahoitus pl. hark. kor. 2023 ilman alv, €]]-Vertailu[[#This Row],[Rahoitus pl. hark. kor. 2022 ilman alv, €]],0)</f>
        <v>1838177</v>
      </c>
      <c r="Q140" s="230">
        <f>IFERROR(Vertailu[[#This Row],[Muutos, € 1]]/Vertailu[[#This Row],[Rahoitus pl. hark. kor. 2022 ilman alv, €]],0)</f>
        <v>0.10694657596205123</v>
      </c>
      <c r="R140" s="233">
        <f>IFERROR(VLOOKUP(Vertailu[[#This Row],[Y-tunnus]],'Suoritepäätös 2022 oikaistu'!$Q:$AC,COLUMN('Suoritepäätös 2022 oikaistu'!L:L),FALSE),0)</f>
        <v>17217806</v>
      </c>
      <c r="S140" s="234">
        <f>IFERROR(VLOOKUP(Vertailu[[#This Row],[Y-tunnus]],'1.2 Ohjaus-laskentataulu'!A:AU,COLUMN('1.2 Ohjaus-laskentataulu'!AS:AS),FALSE),0)</f>
        <v>19055983</v>
      </c>
      <c r="T140" s="228">
        <f>IFERROR(Vertailu[[#This Row],[Rahoitus ml. hark. kor. 
2023 ilman alv, €]]-Vertailu[[#This Row],[Rahoitus ml. hark. kor. 
2022 ilman alv, €]],0)</f>
        <v>1838177</v>
      </c>
      <c r="U140" s="232">
        <f>IFERROR(Vertailu[[#This Row],[Muutos, € 2]]/Vertailu[[#This Row],[Rahoitus ml. hark. kor. 
2022 ilman alv, €]],0)</f>
        <v>0.10676023414365338</v>
      </c>
      <c r="V140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17217806</v>
      </c>
      <c r="W140" s="233">
        <f>IFERROR(VLOOKUP(Vertailu[[#This Row],[Y-tunnus]],'1.2 Ohjaus-laskentataulu'!A:AU,COLUMN('1.2 Ohjaus-laskentataulu'!AU:AU),FALSE),0)</f>
        <v>19055983</v>
      </c>
      <c r="X140" s="235">
        <f>IFERROR(Vertailu[[#This Row],[Rahoitus ml. hark. kor. + alv 2023, €]]-Vertailu[[#This Row],[Rahoitus ml. hark. kor. + alv 2022, €]],0)</f>
        <v>1838177</v>
      </c>
      <c r="Y140" s="230">
        <f>IFERROR(Vertailu[[#This Row],[Muutos, € 3]]/Vertailu[[#This Row],[Rahoitus ml. hark. kor. + alv 2022, €]],0)</f>
        <v>0.10676023414365338</v>
      </c>
      <c r="Z140" s="228">
        <f>IFERROR(VLOOKUP(Vertailu[[#This Row],[Y-tunnus]],'Suoritepäätös 2022 oikaistu'!$B:$N,COLUMN('Suoritepäätös 2022 oikaistu'!G:G),FALSE),0)</f>
        <v>11751488</v>
      </c>
      <c r="AA140" s="228">
        <f>IFERROR(VLOOKUP(Vertailu[[#This Row],[Y-tunnus]],'1.2 Ohjaus-laskentataulu'!A:AU,COLUMN('1.2 Ohjaus-laskentataulu'!AP:AP),FALSE),0)</f>
        <v>12834854</v>
      </c>
      <c r="AB140" s="228">
        <f>Vertailu[[#This Row],[Perusrahoitus 2023, €]]-Vertailu[[#This Row],[Perusrahoitus 2022, €]]</f>
        <v>1083366</v>
      </c>
      <c r="AC140" s="230">
        <f>IFERROR(Vertailu[[#This Row],[Perusrahoituksen muutos, €]]/Vertailu[[#This Row],[Perusrahoitus 2022, €]],0)</f>
        <v>9.2189686957090025E-2</v>
      </c>
      <c r="AD140" s="228">
        <f>IFERROR(VLOOKUP(Vertailu[[#This Row],[Y-tunnus]],'Suoritepäätös 2022 oikaistu'!$B:$N,COLUMN('Suoritepäätös 2022 oikaistu'!M:M),FALSE),0)</f>
        <v>3699839</v>
      </c>
      <c r="AE140" s="228">
        <f>IFERROR(VLOOKUP(Vertailu[[#This Row],[Y-tunnus]],'1.2 Ohjaus-laskentataulu'!A:AU,COLUMN('1.2 Ohjaus-laskentataulu'!O:O),FALSE),0)</f>
        <v>4005747</v>
      </c>
      <c r="AF140" s="228">
        <f>Vertailu[[#This Row],[Suoritusrahoitus 2023, €]]-Vertailu[[#This Row],[Suoritusrahoitus 2022, €]]</f>
        <v>305908</v>
      </c>
      <c r="AG140" s="230">
        <f>IFERROR(Vertailu[[#This Row],[Suoritusrahoituksen muutos, €]]/Vertailu[[#This Row],[Suoritusrahoitus 2022, €]],0)</f>
        <v>8.2681435597603034E-2</v>
      </c>
      <c r="AH140" s="228">
        <f>IFERROR(VLOOKUP(Vertailu[[#This Row],[Y-tunnus]],'Suoritepäätös 2022 oikaistu'!$Q:$AC,COLUMN('Suoritepäätös 2022 oikaistu'!K:K),FALSE),0)</f>
        <v>1766479</v>
      </c>
      <c r="AI140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2215382</v>
      </c>
      <c r="AJ140" s="228">
        <f>Vertailu[[#This Row],[Vaikuttavuusrahoitus 2023, €]]-Vertailu[[#This Row],[Vaikuttavuusrahoitus 2022, €]]</f>
        <v>448903</v>
      </c>
      <c r="AK140" s="230">
        <f>IFERROR(Vertailu[[#This Row],[Vaikuttavuusrahoituksen muutos, €]]/Vertailu[[#This Row],[Vaikuttavuusrahoitus 2022, €]],0)</f>
        <v>0.25412303231456473</v>
      </c>
    </row>
    <row r="141" spans="1:37" s="5" customFormat="1" ht="12.75" customHeight="1" x14ac:dyDescent="0.35">
      <c r="A141" s="7" t="s">
        <v>183</v>
      </c>
      <c r="B141" s="188" t="s">
        <v>128</v>
      </c>
      <c r="C141" s="188" t="s">
        <v>182</v>
      </c>
      <c r="D141" s="11" t="s">
        <v>336</v>
      </c>
      <c r="E141" s="229">
        <f>IFERROR(VLOOKUP(Vertailu[[#This Row],[Y-tunnus]],'1.2 Ohjaus-laskentataulu'!A:AU,COLUMN('1.2 Ohjaus-laskentataulu'!L:L),FALSE)/VLOOKUP(Vertailu[[#This Row],[Y-tunnus]],'1.2 Ohjaus-laskentataulu'!A:AU,COLUMN('1.2 Ohjaus-laskentataulu'!AS:AS),FALSE),0)</f>
        <v>0.68953791112546448</v>
      </c>
      <c r="F141" s="230">
        <f>IFERROR(VLOOKUP(Vertailu[[#This Row],[Y-tunnus]],'1.2 Ohjaus-laskentataulu'!A:AU,COLUMN('1.2 Ohjaus-laskentataulu'!AP:AP),FALSE)/VLOOKUP(Vertailu[[#This Row],[Y-tunnus]],'1.2 Ohjaus-laskentataulu'!A:AU,COLUMN('1.2 Ohjaus-laskentataulu'!AS:AS),FALSE),0)</f>
        <v>0.69107368051082319</v>
      </c>
      <c r="G141" s="231">
        <f>IFERROR(VLOOKUP(Vertailu[[#This Row],[Y-tunnus]],'1.2 Ohjaus-laskentataulu'!A:AU,COLUMN('1.2 Ohjaus-laskentataulu'!AQ:AQ),FALSE)/VLOOKUP(Vertailu[[#This Row],[Y-tunnus]],'1.2 Ohjaus-laskentataulu'!A:AU,COLUMN('1.2 Ohjaus-laskentataulu'!AS:AS),FALSE),0)</f>
        <v>0.20382402189041804</v>
      </c>
      <c r="H141" s="229">
        <f>IFERROR(VLOOKUP(Vertailu[[#This Row],[Y-tunnus]],'1.2 Ohjaus-laskentataulu'!A:AU,COLUMN('1.2 Ohjaus-laskentataulu'!AR:AR),FALSE)/VLOOKUP(Vertailu[[#This Row],[Y-tunnus]],'1.2 Ohjaus-laskentataulu'!A:AU,COLUMN('1.2 Ohjaus-laskentataulu'!AS:AS),FALSE),0)</f>
        <v>0.10510229759875875</v>
      </c>
      <c r="I141" s="232">
        <f>IFERROR(VLOOKUP(Vertailu[[#This Row],[Y-tunnus]],'1.2 Ohjaus-laskentataulu'!A:AU,COLUMN('1.2 Ohjaus-laskentataulu'!R:R),FALSE)/VLOOKUP(Vertailu[[#This Row],[Y-tunnus]],'1.2 Ohjaus-laskentataulu'!A:AU,COLUMN('1.2 Ohjaus-laskentataulu'!AS:AS),FALSE),0)</f>
        <v>6.6360156350099259E-2</v>
      </c>
      <c r="J141" s="232">
        <f>IFERROR(VLOOKUP(Vertailu[[#This Row],[Y-tunnus]],'1.2 Ohjaus-laskentataulu'!A:AU,COLUMN('1.2 Ohjaus-laskentataulu'!U:U),FALSE)/VLOOKUP(Vertailu[[#This Row],[Y-tunnus]],'1.2 Ohjaus-laskentataulu'!A:AU,COLUMN('1.2 Ohjaus-laskentataulu'!AS:AS),FALSE),0)</f>
        <v>4.5702851441078232E-3</v>
      </c>
      <c r="K141" s="232">
        <f>IFERROR(VLOOKUP(Vertailu[[#This Row],[Y-tunnus]],'1.2 Ohjaus-laskentataulu'!A:AU,COLUMN('1.2 Ohjaus-laskentataulu'!X:X),FALSE)/VLOOKUP(Vertailu[[#This Row],[Y-tunnus]],'1.2 Ohjaus-laskentataulu'!A:AU,COLUMN('1.2 Ohjaus-laskentataulu'!AS:AS),FALSE),0)</f>
        <v>1.3583112328805593E-2</v>
      </c>
      <c r="L141" s="236">
        <f>IFERROR(VLOOKUP(Vertailu[[#This Row],[Y-tunnus]],'1.2 Ohjaus-laskentataulu'!A:AU,COLUMN('1.2 Ohjaus-laskentataulu'!AA:AA),FALSE)/VLOOKUP(Vertailu[[#This Row],[Y-tunnus]],'1.2 Ohjaus-laskentataulu'!A:AU,COLUMN('1.2 Ohjaus-laskentataulu'!AS:AS),FALSE),0)</f>
        <v>1.3818743231644923E-2</v>
      </c>
      <c r="M141" s="232">
        <f>IFERROR(VLOOKUP(Vertailu[[#This Row],[Y-tunnus]],'1.2 Ohjaus-laskentataulu'!A:AU,COLUMN('1.2 Ohjaus-laskentataulu'!AD:AD),FALSE)/VLOOKUP(Vertailu[[#This Row],[Y-tunnus]],'1.2 Ohjaus-laskentataulu'!A:AU,COLUMN('1.2 Ohjaus-laskentataulu'!AS:AS),FALSE),0)</f>
        <v>6.7700005441011539E-3</v>
      </c>
      <c r="N141" s="228">
        <f>IFERROR(VLOOKUP(Vertailu[[#This Row],[Y-tunnus]],'Suoritepäätös 2022 oikaistu'!$Q:$AC,COLUMN('Suoritepäätös 2022 oikaistu'!L:L),FALSE)-VLOOKUP(Vertailu[[#This Row],[Y-tunnus]],'Suoritepäätös 2022 oikaistu'!$B:$N,COLUMN('Suoritepäätös 2022 oikaistu'!F:F),FALSE),0)</f>
        <v>16956090</v>
      </c>
      <c r="O141" s="228">
        <f>IFERROR(VLOOKUP(Vertailu[[#This Row],[Y-tunnus]],'1.2 Ohjaus-laskentataulu'!A:AU,COLUMN('1.2 Ohjaus-laskentataulu'!AF:AF),FALSE),0)</f>
        <v>18203904</v>
      </c>
      <c r="P141" s="228">
        <f>IFERROR(Vertailu[[#This Row],[Rahoitus pl. hark. kor. 2023 ilman alv, €]]-Vertailu[[#This Row],[Rahoitus pl. hark. kor. 2022 ilman alv, €]],0)</f>
        <v>1247814</v>
      </c>
      <c r="Q141" s="230">
        <f>IFERROR(Vertailu[[#This Row],[Muutos, € 1]]/Vertailu[[#This Row],[Rahoitus pl. hark. kor. 2022 ilman alv, €]],0)</f>
        <v>7.359090450687629E-2</v>
      </c>
      <c r="R141" s="233">
        <f>IFERROR(VLOOKUP(Vertailu[[#This Row],[Y-tunnus]],'Suoritepäätös 2022 oikaistu'!$Q:$AC,COLUMN('Suoritepäätös 2022 oikaistu'!L:L),FALSE),0)</f>
        <v>16980090</v>
      </c>
      <c r="S141" s="234">
        <f>IFERROR(VLOOKUP(Vertailu[[#This Row],[Y-tunnus]],'1.2 Ohjaus-laskentataulu'!A:AU,COLUMN('1.2 Ohjaus-laskentataulu'!AS:AS),FALSE),0)</f>
        <v>18231904</v>
      </c>
      <c r="T141" s="228">
        <f>IFERROR(Vertailu[[#This Row],[Rahoitus ml. hark. kor. 
2023 ilman alv, €]]-Vertailu[[#This Row],[Rahoitus ml. hark. kor. 
2022 ilman alv, €]],0)</f>
        <v>1251814</v>
      </c>
      <c r="U141" s="232">
        <f>IFERROR(Vertailu[[#This Row],[Muutos, € 2]]/Vertailu[[#This Row],[Rahoitus ml. hark. kor. 
2022 ilman alv, €]],0)</f>
        <v>7.3722459657163189E-2</v>
      </c>
      <c r="V141" s="234">
        <f>IFERROR(VLOOKUP(Vertailu[[#This Row],[Y-tunnus]],'Suoritepäätös 2022 oikaistu'!$Q:$AC,COLUMN('Suoritepäätös 2022 oikaistu'!L:L),FALSE)+VLOOKUP(Vertailu[[#This Row],[Y-tunnus]],'Suoritepäätös 2022 oikaistu'!$Q:$AC,COLUMN('Suoritepäätös 2022 oikaistu'!M:M),FALSE),0)</f>
        <v>16980090</v>
      </c>
      <c r="W141" s="233">
        <f>IFERROR(VLOOKUP(Vertailu[[#This Row],[Y-tunnus]],'1.2 Ohjaus-laskentataulu'!A:AU,COLUMN('1.2 Ohjaus-laskentataulu'!AU:AU),FALSE),0)</f>
        <v>18231904</v>
      </c>
      <c r="X141" s="235">
        <f>IFERROR(Vertailu[[#This Row],[Rahoitus ml. hark. kor. + alv 2023, €]]-Vertailu[[#This Row],[Rahoitus ml. hark. kor. + alv 2022, €]],0)</f>
        <v>1251814</v>
      </c>
      <c r="Y141" s="230">
        <f>IFERROR(Vertailu[[#This Row],[Muutos, € 3]]/Vertailu[[#This Row],[Rahoitus ml. hark. kor. + alv 2022, €]],0)</f>
        <v>7.3722459657163189E-2</v>
      </c>
      <c r="Z141" s="228">
        <f>IFERROR(VLOOKUP(Vertailu[[#This Row],[Y-tunnus]],'Suoritepäätös 2022 oikaistu'!$B:$N,COLUMN('Suoritepäätös 2022 oikaistu'!G:G),FALSE),0)</f>
        <v>11561672</v>
      </c>
      <c r="AA141" s="228">
        <f>IFERROR(VLOOKUP(Vertailu[[#This Row],[Y-tunnus]],'1.2 Ohjaus-laskentataulu'!A:AU,COLUMN('1.2 Ohjaus-laskentataulu'!AP:AP),FALSE),0)</f>
        <v>12599589</v>
      </c>
      <c r="AB141" s="228">
        <f>Vertailu[[#This Row],[Perusrahoitus 2023, €]]-Vertailu[[#This Row],[Perusrahoitus 2022, €]]</f>
        <v>1037917</v>
      </c>
      <c r="AC141" s="230">
        <f>IFERROR(Vertailu[[#This Row],[Perusrahoituksen muutos, €]]/Vertailu[[#This Row],[Perusrahoitus 2022, €]],0)</f>
        <v>8.9772223256290265E-2</v>
      </c>
      <c r="AD141" s="228">
        <f>IFERROR(VLOOKUP(Vertailu[[#This Row],[Y-tunnus]],'Suoritepäätös 2022 oikaistu'!$B:$N,COLUMN('Suoritepäätös 2022 oikaistu'!M:M),FALSE),0)</f>
        <v>3687848</v>
      </c>
      <c r="AE141" s="228">
        <f>IFERROR(VLOOKUP(Vertailu[[#This Row],[Y-tunnus]],'1.2 Ohjaus-laskentataulu'!A:AU,COLUMN('1.2 Ohjaus-laskentataulu'!O:O),FALSE),0)</f>
        <v>3716100</v>
      </c>
      <c r="AF141" s="228">
        <f>Vertailu[[#This Row],[Suoritusrahoitus 2023, €]]-Vertailu[[#This Row],[Suoritusrahoitus 2022, €]]</f>
        <v>28252</v>
      </c>
      <c r="AG141" s="230">
        <f>IFERROR(Vertailu[[#This Row],[Suoritusrahoituksen muutos, €]]/Vertailu[[#This Row],[Suoritusrahoitus 2022, €]],0)</f>
        <v>7.6608363468342513E-3</v>
      </c>
      <c r="AH141" s="228">
        <f>IFERROR(VLOOKUP(Vertailu[[#This Row],[Y-tunnus]],'Suoritepäätös 2022 oikaistu'!$Q:$AC,COLUMN('Suoritepäätös 2022 oikaistu'!K:K),FALSE),0)</f>
        <v>1730570</v>
      </c>
      <c r="AI141" s="228">
        <f>IFERROR(VLOOKUP(Vertailu[[#This Row],[Y-tunnus]],'1.2 Ohjaus-laskentataulu'!A:AU,COLUMN('1.2 Ohjaus-laskentataulu'!R:R),FALSE),0)+IFERROR(VLOOKUP(Vertailu[[#This Row],[Y-tunnus]],'1.2 Ohjaus-laskentataulu'!A:AU,COLUMN('1.2 Ohjaus-laskentataulu'!U:U),FALSE),0)+IFERROR(VLOOKUP(Vertailu[[#This Row],[Y-tunnus]],'1.2 Ohjaus-laskentataulu'!A:AU,COLUMN('1.2 Ohjaus-laskentataulu'!X:X),FALSE),0)+IFERROR(VLOOKUP(Vertailu[[#This Row],[Y-tunnus]],'1.2 Ohjaus-laskentataulu'!A:AU,COLUMN('1.2 Ohjaus-laskentataulu'!AA:AA),FALSE),0)+IFERROR(VLOOKUP(Vertailu[[#This Row],[Y-tunnus]],'1.2 Ohjaus-laskentataulu'!A:AU,COLUMN('1.2 Ohjaus-laskentataulu'!AD:AD),FALSE),0)</f>
        <v>1916215</v>
      </c>
      <c r="AJ141" s="228">
        <f>Vertailu[[#This Row],[Vaikuttavuusrahoitus 2023, €]]-Vertailu[[#This Row],[Vaikuttavuusrahoitus 2022, €]]</f>
        <v>185645</v>
      </c>
      <c r="AK141" s="230">
        <f>IFERROR(Vertailu[[#This Row],[Vaikuttavuusrahoituksen muutos, €]]/Vertailu[[#This Row],[Vaikuttavuusrahoitus 2022, €]],0)</f>
        <v>0.10727390397383521</v>
      </c>
    </row>
    <row r="142" spans="1:37" s="120" customFormat="1" ht="12.75" customHeight="1" x14ac:dyDescent="0.35">
      <c r="A142" s="154" t="s">
        <v>13</v>
      </c>
      <c r="B142" s="154">
        <f>COUNTIF(Vertailu[Nimi],"?*")</f>
        <v>136</v>
      </c>
      <c r="C142" s="154"/>
      <c r="D142" s="155"/>
      <c r="E142" s="165">
        <f>Ohj.lask.[[#Totals],[Jaettava € 1]]/Ohj.lask.[[#Totals],[Perus-, suoritus- ja vaikuttavuusrahoitus yhteensä, €]]</f>
        <v>0.69144324089203546</v>
      </c>
      <c r="F142" s="172">
        <f>Ohj.lask.[[#Totals],[Suoriteperusteinen (opiskelijavuosiin perustuva) sekä harkinnanvarainen korotus, €]]/Ohj.lask.[[#Totals],[Perus-, suoritus- ja vaikuttavuusrahoitus yhteensä, €]]</f>
        <v>0.69735454473354552</v>
      </c>
      <c r="G142" s="165">
        <f>Ohj.lask.[[#Totals],[Suoritusrahoitus, €]]/Ohj.lask.[[#Totals],[Perus-, suoritus- ja vaikuttavuusrahoitus yhteensä, €]]</f>
        <v>0.20176363750111453</v>
      </c>
      <c r="H142" s="165">
        <f>Ohj.lask.[[#Totals],[Työllistymiseen ja jatko-opintoihin siirtymiseen, opiskelijapalautteiseen sekä työelämäpalautteeseen perustuva, €]]/Ohj.lask.[[#Totals],[Perus-, suoritus- ja vaikuttavuusrahoitus yhteensä, €]]</f>
        <v>0.10088181776533996</v>
      </c>
      <c r="I142" s="164">
        <f>Ohj.lask.[[#Totals],[Jaettava € 3]]/Ohj.lask.[[#Totals],[Perus-, suoritus- ja vaikuttavuusrahoitus yhteensä, €]]</f>
        <v>7.0617272140172771E-2</v>
      </c>
      <c r="J142" s="164">
        <f>Ohj.lask.[[#Totals],[Jaettava € 4]]/Ohj.lask.[[#Totals],[Perus-, suoritus- ja vaikuttavuusrahoitus yhteensä, €]]</f>
        <v>3.7830689420588776E-3</v>
      </c>
      <c r="K142" s="164">
        <f>Ohj.lask.[[#Totals],[Jaettava € 5]]/Ohj.lask.[[#Totals],[Perus-, suoritus- ja vaikuttavuusrahoitus yhteensä, €]]</f>
        <v>1.1349202885307405E-2</v>
      </c>
      <c r="L142" s="164">
        <f>Ohj.lask.[[#Totals],[Jaettava € 6]]/Ohj.lask.[[#Totals],[Perus-, suoritus- ja vaikuttavuusrahoitus yhteensä, €]]</f>
        <v>1.1349205840959326E-2</v>
      </c>
      <c r="M142" s="172">
        <f>Ohj.lask.[[#Totals],[Jaettava € 7]]/Ohj.lask.[[#Totals],[Perus-, suoritus- ja vaikuttavuusrahoitus yhteensä, €]]</f>
        <v>3.7830679568415706E-3</v>
      </c>
      <c r="N142" s="166">
        <f>SUBTOTAL(109,Vertailu[Rahoitus pl. hark. kor. 2022 ilman alv, €])</f>
        <v>1871728504</v>
      </c>
      <c r="O142" s="166">
        <f>SUBTOTAL(109,Vertailu[Rahoitus pl. hark. kor. 2023 ilman alv, €])</f>
        <v>2018009000</v>
      </c>
      <c r="P142" s="166">
        <f>SUBTOTAL(109,Vertailu[Muutos, € 1])</f>
        <v>146280496</v>
      </c>
      <c r="Q142" s="172">
        <f>IFERROR(Vertailu[[#Totals],[Muutos, € 1]]/Vertailu[[#Totals],[Rahoitus pl. hark. kor. 2022 ilman alv, €]],0)</f>
        <v>7.8152625066824327E-2</v>
      </c>
      <c r="R142" s="101">
        <f>SUBTOTAL(109,Vertailu[Rahoitus ml. hark. kor. 
2022 ilman alv, €])</f>
        <v>1883492504</v>
      </c>
      <c r="S142" s="167">
        <f>SUBTOTAL(109,Vertailu[Rahoitus ml. hark. kor. 
2023 ilman alv, €])</f>
        <v>2030009000</v>
      </c>
      <c r="T142" s="101">
        <f>SUBTOTAL(109,Vertailu[Muutos, € 2])</f>
        <v>146516496</v>
      </c>
      <c r="U142" s="164">
        <f>IFERROR(Vertailu[[#Totals],[Muutos, € 2]]/Vertailu[[#Totals],[Rahoitus ml. hark. kor. 
2022 ilman alv, €]],0)</f>
        <v>7.7789795122009148E-2</v>
      </c>
      <c r="V142" s="166">
        <f>SUBTOTAL(109,Vertailu[Rahoitus ml. hark. kor. + alv 2022, €])</f>
        <v>1923114491</v>
      </c>
      <c r="W142" s="167">
        <f>SUBTOTAL(109,Vertailu[Rahoitus ml. hark. kor. + alv 2023, €])</f>
        <v>2070615499</v>
      </c>
      <c r="X142" s="101">
        <f>SUBTOTAL(109,Vertailu[Muutos, € 3])</f>
        <v>147501008</v>
      </c>
      <c r="Y142" s="172">
        <f>IFERROR(Vertailu[[#Totals],[Muutos, € 3]]/Vertailu[[#Totals],[Rahoitus ml. hark. kor. + alv 2022, €]],0)</f>
        <v>7.6699025819986916E-2</v>
      </c>
      <c r="Z142" s="166">
        <f>SUBTOTAL(109,Vertailu[Perusrahoitus 2022, €])</f>
        <v>1309823815</v>
      </c>
      <c r="AA142" s="167">
        <f>SUBTOTAL(109,Vertailu[Perusrahoitus 2023, €])</f>
        <v>1415636002</v>
      </c>
      <c r="AB142" s="101">
        <f>SUBTOTAL(109,Vertailu[Perusrahoituksen muutos, €])</f>
        <v>105812187</v>
      </c>
      <c r="AC142" s="172">
        <f>IFERROR(Vertailu[[#Totals],[Perusrahoituksen muutos, €]]/Vertailu[[#Totals],[Perusrahoitus 2022, €]],0)</f>
        <v>8.0783526599720587E-2</v>
      </c>
      <c r="AD142" s="166">
        <f>SUBTOTAL(109,Vertailu[Suoritusrahoitus 2022, €])</f>
        <v>382904998</v>
      </c>
      <c r="AE142" s="167">
        <f>SUBTOTAL(109,Vertailu[Suoritusrahoitus 2023, €])</f>
        <v>409582000</v>
      </c>
      <c r="AF142" s="101">
        <f>SUBTOTAL(109,Vertailu[Suoritusrahoituksen muutos, €])</f>
        <v>26677002</v>
      </c>
      <c r="AG142" s="172">
        <f>IFERROR(Vertailu[[#Totals],[Suoritusrahoituksen muutos, €]]/Vertailu[[#Totals],[Suoritusrahoitus 2022, €]],0)</f>
        <v>6.9670028177589882E-2</v>
      </c>
      <c r="AH142" s="166">
        <f>SUBTOTAL(109,Vertailu[Vaikuttavuusrahoitus 2022, €])</f>
        <v>191426592</v>
      </c>
      <c r="AI142" s="167">
        <f>SUBTOTAL(109,Vertailu[Vaikuttavuusrahoitus 2023, €])</f>
        <v>204790998</v>
      </c>
      <c r="AJ142" s="101">
        <f>SUBTOTAL(109,Vertailu[Vaikuttavuusrahoituksen muutos, €])</f>
        <v>13364406</v>
      </c>
      <c r="AK142" s="172">
        <f>IFERROR(Vertailu[[#Totals],[Vaikuttavuusrahoituksen muutos, €]]/Vertailu[[#Totals],[Vaikuttavuusrahoitus 2022, €]],0)</f>
        <v>6.9814783099727329E-2</v>
      </c>
    </row>
    <row r="143" spans="1:37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</row>
    <row r="144" spans="1:37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</row>
    <row r="145" spans="1:17" x14ac:dyDescent="0.3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</row>
    <row r="146" spans="1:17" x14ac:dyDescent="0.35">
      <c r="A146"/>
      <c r="B146"/>
      <c r="C146"/>
      <c r="D146"/>
      <c r="E146"/>
      <c r="F146"/>
      <c r="G146"/>
      <c r="H146"/>
      <c r="I146"/>
      <c r="J146"/>
      <c r="K146"/>
      <c r="L146" s="163"/>
      <c r="M146" s="163"/>
      <c r="N146"/>
      <c r="O146"/>
    </row>
    <row r="147" spans="1:17" x14ac:dyDescent="0.35">
      <c r="A147"/>
      <c r="B147"/>
      <c r="C147"/>
      <c r="D147"/>
      <c r="E147"/>
      <c r="F147"/>
      <c r="G147"/>
      <c r="H147"/>
      <c r="I147"/>
      <c r="J147"/>
      <c r="K147"/>
      <c r="L147" s="163"/>
      <c r="M147" s="163"/>
      <c r="N147"/>
      <c r="O147"/>
    </row>
    <row r="148" spans="1:17" x14ac:dyDescent="0.35">
      <c r="A148"/>
      <c r="B148"/>
      <c r="C148"/>
      <c r="D148"/>
      <c r="E148"/>
      <c r="F148"/>
      <c r="G148"/>
      <c r="H148"/>
      <c r="I148"/>
      <c r="J148"/>
      <c r="K148"/>
      <c r="L148" s="163"/>
      <c r="M148" s="163"/>
      <c r="P148" s="19"/>
      <c r="Q148" s="19"/>
    </row>
    <row r="149" spans="1:17" x14ac:dyDescent="0.35">
      <c r="A149"/>
      <c r="B149"/>
      <c r="C149"/>
      <c r="D149"/>
      <c r="E149"/>
      <c r="F149"/>
      <c r="G149"/>
      <c r="H149"/>
      <c r="I149"/>
      <c r="J149"/>
      <c r="K149"/>
      <c r="L149" s="163"/>
      <c r="M149" s="163"/>
      <c r="N149"/>
      <c r="O149"/>
    </row>
    <row r="150" spans="1:17" x14ac:dyDescent="0.35">
      <c r="A150"/>
      <c r="B150"/>
      <c r="C150"/>
      <c r="D150"/>
      <c r="E150"/>
      <c r="F150"/>
      <c r="G150"/>
      <c r="H150"/>
      <c r="I150"/>
      <c r="J150"/>
      <c r="K150"/>
      <c r="L150" s="163"/>
      <c r="M150" s="163"/>
      <c r="N150"/>
      <c r="O150"/>
    </row>
    <row r="151" spans="1:17" x14ac:dyDescent="0.35">
      <c r="A151"/>
      <c r="B151"/>
      <c r="C151"/>
      <c r="D151"/>
      <c r="E151"/>
      <c r="F151"/>
      <c r="G151"/>
      <c r="H151"/>
      <c r="I151"/>
      <c r="J151"/>
      <c r="K151"/>
      <c r="L151" s="163"/>
      <c r="M151" s="163"/>
      <c r="N151"/>
      <c r="O151"/>
    </row>
    <row r="152" spans="1:17" x14ac:dyDescent="0.35">
      <c r="A152"/>
      <c r="B152"/>
      <c r="C152"/>
      <c r="D152"/>
      <c r="E152"/>
      <c r="F152"/>
      <c r="G152"/>
      <c r="H152"/>
      <c r="I152"/>
      <c r="J152"/>
      <c r="K152"/>
      <c r="L152" s="163"/>
      <c r="M152" s="163"/>
      <c r="N152"/>
      <c r="O152"/>
    </row>
    <row r="153" spans="1:17" x14ac:dyDescent="0.35">
      <c r="A153"/>
      <c r="B153"/>
      <c r="C153"/>
      <c r="D153"/>
      <c r="E153"/>
      <c r="F153"/>
      <c r="G153"/>
      <c r="H153"/>
      <c r="I153"/>
      <c r="J153"/>
      <c r="K153"/>
      <c r="L153" s="163"/>
      <c r="M153" s="163"/>
      <c r="N153"/>
      <c r="O153"/>
    </row>
    <row r="154" spans="1:17" x14ac:dyDescent="0.35">
      <c r="A154"/>
      <c r="B154"/>
      <c r="C154"/>
      <c r="D154"/>
      <c r="E154"/>
      <c r="F154"/>
      <c r="G154"/>
      <c r="H154"/>
      <c r="I154"/>
      <c r="J154"/>
      <c r="K154"/>
      <c r="L154" s="163"/>
      <c r="M154" s="163"/>
      <c r="N154"/>
      <c r="O154"/>
    </row>
    <row r="155" spans="1:17" x14ac:dyDescent="0.35">
      <c r="A155"/>
      <c r="B155"/>
      <c r="C155"/>
      <c r="D155"/>
      <c r="E155"/>
      <c r="F155"/>
      <c r="G155"/>
      <c r="H155"/>
      <c r="I155"/>
      <c r="J155"/>
      <c r="K155"/>
      <c r="L155" s="163"/>
      <c r="M155" s="163"/>
      <c r="N155"/>
      <c r="O155"/>
    </row>
    <row r="156" spans="1:17" x14ac:dyDescent="0.35">
      <c r="A156"/>
      <c r="B156"/>
      <c r="C156"/>
      <c r="D156"/>
      <c r="E156"/>
      <c r="F156"/>
      <c r="G156"/>
      <c r="H156"/>
      <c r="I156"/>
      <c r="J156"/>
      <c r="K156"/>
      <c r="L156" s="163"/>
      <c r="M156" s="163"/>
      <c r="N156"/>
      <c r="O156"/>
    </row>
    <row r="157" spans="1:17" x14ac:dyDescent="0.35">
      <c r="A157"/>
      <c r="B157"/>
      <c r="C157"/>
      <c r="D157"/>
      <c r="E157"/>
      <c r="F157"/>
      <c r="G157"/>
      <c r="H157"/>
      <c r="I157"/>
      <c r="J157"/>
      <c r="K157"/>
      <c r="L157" s="163"/>
      <c r="M157" s="163"/>
      <c r="N157"/>
      <c r="O157"/>
    </row>
    <row r="158" spans="1:17" x14ac:dyDescent="0.35">
      <c r="A158"/>
      <c r="B158"/>
      <c r="C158"/>
      <c r="D158"/>
      <c r="E158"/>
      <c r="F158"/>
      <c r="G158"/>
      <c r="H158"/>
      <c r="I158"/>
      <c r="J158"/>
      <c r="K158"/>
      <c r="L158" s="163"/>
      <c r="M158" s="163"/>
      <c r="N158"/>
      <c r="O158"/>
    </row>
    <row r="159" spans="1:17" x14ac:dyDescent="0.35">
      <c r="A159"/>
      <c r="B159"/>
      <c r="C159"/>
      <c r="D159"/>
      <c r="E159"/>
      <c r="F159"/>
      <c r="G159"/>
      <c r="H159"/>
      <c r="I159"/>
      <c r="J159"/>
      <c r="K159"/>
      <c r="L159" s="163"/>
      <c r="M159" s="163"/>
      <c r="N159"/>
      <c r="O159"/>
    </row>
    <row r="160" spans="1:17" x14ac:dyDescent="0.35">
      <c r="A160"/>
      <c r="B160"/>
      <c r="C160"/>
      <c r="D160"/>
      <c r="E160"/>
      <c r="F160"/>
      <c r="G160"/>
      <c r="H160"/>
      <c r="I160"/>
      <c r="J160"/>
      <c r="K160"/>
      <c r="L160" s="163"/>
      <c r="M160" s="163"/>
      <c r="N160"/>
      <c r="O160"/>
    </row>
    <row r="161" spans="1:15" x14ac:dyDescent="0.35">
      <c r="A161"/>
      <c r="B161"/>
      <c r="C161"/>
      <c r="D161"/>
      <c r="E161"/>
      <c r="F161"/>
      <c r="G161"/>
      <c r="H161"/>
      <c r="I161"/>
      <c r="J161"/>
      <c r="K161"/>
      <c r="L161" s="163"/>
      <c r="M161" s="163"/>
      <c r="N161"/>
      <c r="O161"/>
    </row>
    <row r="162" spans="1:15" x14ac:dyDescent="0.35">
      <c r="A162"/>
      <c r="B162"/>
      <c r="C162"/>
      <c r="D162"/>
      <c r="E162"/>
      <c r="F162"/>
      <c r="G162"/>
      <c r="H162"/>
      <c r="I162"/>
      <c r="J162"/>
      <c r="K162"/>
      <c r="L162" s="163"/>
      <c r="M162" s="163"/>
      <c r="N162"/>
      <c r="O162"/>
    </row>
    <row r="163" spans="1:15" x14ac:dyDescent="0.35">
      <c r="A163"/>
      <c r="B163"/>
      <c r="C163"/>
      <c r="D163"/>
      <c r="E163"/>
      <c r="F163"/>
      <c r="G163"/>
      <c r="H163"/>
      <c r="I163"/>
      <c r="J163"/>
      <c r="K163"/>
      <c r="L163" s="163"/>
      <c r="M163" s="163"/>
      <c r="N163"/>
      <c r="O163"/>
    </row>
    <row r="164" spans="1:15" x14ac:dyDescent="0.35">
      <c r="A164"/>
      <c r="B164"/>
      <c r="C164"/>
      <c r="D164"/>
      <c r="E164"/>
      <c r="F164"/>
      <c r="G164"/>
      <c r="H164"/>
      <c r="I164"/>
      <c r="J164"/>
      <c r="K164"/>
      <c r="L164" s="163"/>
      <c r="M164" s="163"/>
      <c r="N164"/>
      <c r="O164"/>
    </row>
    <row r="165" spans="1:15" x14ac:dyDescent="0.35">
      <c r="A165"/>
      <c r="B165"/>
      <c r="C165"/>
      <c r="D165"/>
      <c r="E165"/>
      <c r="F165"/>
      <c r="G165"/>
      <c r="H165"/>
      <c r="I165"/>
      <c r="J165"/>
      <c r="K165"/>
      <c r="L165" s="163"/>
      <c r="M165" s="163"/>
      <c r="N165"/>
      <c r="O165"/>
    </row>
    <row r="166" spans="1:15" x14ac:dyDescent="0.35">
      <c r="A166"/>
      <c r="B166"/>
      <c r="C166"/>
      <c r="D166"/>
      <c r="E166"/>
      <c r="F166"/>
      <c r="G166"/>
      <c r="H166"/>
      <c r="I166"/>
      <c r="J166"/>
      <c r="K166"/>
      <c r="L166" s="163"/>
      <c r="M166" s="163"/>
      <c r="N166"/>
      <c r="O166"/>
    </row>
    <row r="167" spans="1:15" x14ac:dyDescent="0.35">
      <c r="A167"/>
      <c r="B167"/>
      <c r="C167"/>
      <c r="D167"/>
      <c r="E167"/>
      <c r="F167"/>
      <c r="G167"/>
      <c r="H167"/>
      <c r="I167"/>
      <c r="J167"/>
      <c r="K167"/>
      <c r="L167" s="163"/>
      <c r="M167" s="163"/>
      <c r="N167"/>
      <c r="O167"/>
    </row>
    <row r="168" spans="1:15" x14ac:dyDescent="0.35">
      <c r="A168"/>
      <c r="B168"/>
      <c r="C168"/>
      <c r="D168"/>
      <c r="E168"/>
      <c r="F168"/>
      <c r="G168"/>
      <c r="H168"/>
      <c r="I168"/>
      <c r="J168"/>
      <c r="K168"/>
      <c r="L168" s="163"/>
      <c r="M168" s="163"/>
      <c r="N168"/>
      <c r="O168"/>
    </row>
    <row r="169" spans="1:15" x14ac:dyDescent="0.35">
      <c r="A169"/>
      <c r="B169"/>
      <c r="C169"/>
      <c r="D169"/>
      <c r="E169"/>
      <c r="F169"/>
      <c r="G169"/>
      <c r="H169"/>
      <c r="I169"/>
      <c r="J169"/>
      <c r="K169"/>
      <c r="L169" s="163"/>
      <c r="M169" s="163"/>
      <c r="N169"/>
      <c r="O169"/>
    </row>
    <row r="170" spans="1:15" x14ac:dyDescent="0.35">
      <c r="A170"/>
      <c r="B170"/>
      <c r="C170"/>
      <c r="D170"/>
      <c r="E170"/>
      <c r="F170"/>
      <c r="G170"/>
      <c r="H170"/>
      <c r="I170"/>
      <c r="J170"/>
      <c r="K170"/>
      <c r="L170" s="163"/>
      <c r="M170" s="163"/>
      <c r="N170"/>
      <c r="O170"/>
    </row>
    <row r="171" spans="1:15" x14ac:dyDescent="0.35">
      <c r="A171"/>
      <c r="B171"/>
      <c r="C171"/>
      <c r="D171"/>
      <c r="E171"/>
      <c r="F171"/>
      <c r="G171"/>
      <c r="H171"/>
      <c r="I171"/>
      <c r="J171"/>
      <c r="K171"/>
      <c r="L171" s="163"/>
      <c r="M171" s="163"/>
      <c r="N171"/>
      <c r="O171"/>
    </row>
    <row r="172" spans="1:15" x14ac:dyDescent="0.35">
      <c r="A172"/>
      <c r="B172"/>
      <c r="C172"/>
      <c r="D172"/>
      <c r="E172"/>
      <c r="F172"/>
      <c r="G172"/>
      <c r="H172"/>
      <c r="I172"/>
      <c r="J172"/>
      <c r="K172"/>
      <c r="L172" s="163"/>
      <c r="M172" s="163"/>
      <c r="N172"/>
      <c r="O172"/>
    </row>
    <row r="173" spans="1:15" x14ac:dyDescent="0.35">
      <c r="A173"/>
      <c r="B173"/>
      <c r="C173"/>
      <c r="D173"/>
      <c r="E173"/>
      <c r="F173"/>
      <c r="G173"/>
      <c r="H173"/>
      <c r="I173"/>
      <c r="J173"/>
      <c r="K173"/>
      <c r="L173" s="163"/>
      <c r="M173" s="163"/>
      <c r="N173"/>
      <c r="O173"/>
    </row>
    <row r="174" spans="1:15" x14ac:dyDescent="0.35">
      <c r="A174"/>
      <c r="B174"/>
      <c r="C174"/>
      <c r="D174"/>
      <c r="E174"/>
      <c r="F174"/>
      <c r="G174"/>
      <c r="H174"/>
      <c r="I174"/>
      <c r="J174"/>
      <c r="K174"/>
      <c r="L174" s="163"/>
      <c r="M174" s="163"/>
      <c r="N174"/>
      <c r="O174"/>
    </row>
    <row r="175" spans="1:15" x14ac:dyDescent="0.35">
      <c r="A175"/>
      <c r="B175"/>
      <c r="C175"/>
      <c r="D175"/>
      <c r="E175"/>
      <c r="F175"/>
      <c r="G175"/>
      <c r="H175"/>
      <c r="I175"/>
      <c r="J175"/>
      <c r="K175"/>
      <c r="L175" s="163"/>
      <c r="M175" s="163"/>
      <c r="N175"/>
      <c r="O175"/>
    </row>
    <row r="176" spans="1:15" x14ac:dyDescent="0.35">
      <c r="A176"/>
      <c r="B176"/>
      <c r="C176"/>
      <c r="D176"/>
      <c r="E176"/>
      <c r="F176"/>
      <c r="G176"/>
      <c r="H176"/>
      <c r="I176"/>
      <c r="J176"/>
      <c r="K176"/>
      <c r="L176" s="163"/>
      <c r="M176" s="163"/>
      <c r="N176"/>
      <c r="O176"/>
    </row>
    <row r="177" spans="1:15" x14ac:dyDescent="0.35">
      <c r="A177"/>
      <c r="B177"/>
      <c r="C177"/>
      <c r="D177"/>
      <c r="E177"/>
      <c r="F177"/>
      <c r="G177"/>
      <c r="H177"/>
      <c r="I177"/>
      <c r="J177"/>
      <c r="K177"/>
      <c r="L177" s="163"/>
      <c r="M177" s="163"/>
      <c r="N177"/>
      <c r="O177"/>
    </row>
    <row r="178" spans="1:15" x14ac:dyDescent="0.35">
      <c r="A178"/>
      <c r="B178"/>
      <c r="C178"/>
      <c r="D178"/>
      <c r="E178"/>
      <c r="F178"/>
      <c r="G178"/>
      <c r="H178"/>
      <c r="I178"/>
      <c r="J178"/>
      <c r="K178"/>
      <c r="L178" s="163"/>
      <c r="M178" s="163"/>
      <c r="N178"/>
      <c r="O178"/>
    </row>
    <row r="179" spans="1:15" x14ac:dyDescent="0.35">
      <c r="A179"/>
      <c r="B179"/>
      <c r="C179"/>
      <c r="D179"/>
      <c r="E179"/>
      <c r="F179"/>
      <c r="G179"/>
      <c r="H179"/>
      <c r="I179"/>
      <c r="J179"/>
      <c r="K179"/>
      <c r="L179" s="163"/>
      <c r="M179" s="163"/>
      <c r="N179"/>
      <c r="O179"/>
    </row>
    <row r="180" spans="1:15" x14ac:dyDescent="0.35">
      <c r="A180"/>
      <c r="B180"/>
      <c r="C180"/>
      <c r="D180"/>
      <c r="E180"/>
      <c r="F180"/>
      <c r="G180"/>
      <c r="H180"/>
      <c r="I180"/>
      <c r="J180"/>
      <c r="K180"/>
      <c r="L180" s="163"/>
      <c r="M180" s="163"/>
      <c r="N180"/>
      <c r="O180"/>
    </row>
    <row r="181" spans="1:15" x14ac:dyDescent="0.35">
      <c r="A181"/>
      <c r="B181"/>
      <c r="C181"/>
      <c r="D181"/>
      <c r="E181"/>
      <c r="F181"/>
      <c r="G181"/>
      <c r="H181"/>
      <c r="I181"/>
      <c r="J181"/>
      <c r="K181"/>
      <c r="L181" s="163"/>
      <c r="M181" s="163"/>
      <c r="N181"/>
      <c r="O181"/>
    </row>
    <row r="182" spans="1:15" x14ac:dyDescent="0.35">
      <c r="A182"/>
      <c r="B182"/>
      <c r="C182"/>
      <c r="D182"/>
      <c r="E182"/>
      <c r="F182"/>
      <c r="G182"/>
      <c r="H182"/>
      <c r="I182"/>
      <c r="J182"/>
      <c r="K182"/>
      <c r="L182" s="163"/>
      <c r="M182" s="163"/>
      <c r="N182"/>
      <c r="O182"/>
    </row>
    <row r="183" spans="1:15" x14ac:dyDescent="0.35">
      <c r="A183"/>
      <c r="B183"/>
      <c r="C183"/>
      <c r="D183"/>
      <c r="E183"/>
      <c r="F183"/>
      <c r="G183"/>
      <c r="H183"/>
      <c r="I183"/>
      <c r="J183"/>
      <c r="K183"/>
      <c r="L183" s="163"/>
      <c r="M183" s="163"/>
      <c r="N183"/>
      <c r="O183"/>
    </row>
    <row r="184" spans="1:15" x14ac:dyDescent="0.35">
      <c r="A184"/>
      <c r="B184"/>
      <c r="C184"/>
      <c r="D184"/>
      <c r="E184"/>
      <c r="F184"/>
      <c r="G184"/>
      <c r="H184"/>
      <c r="I184"/>
      <c r="J184"/>
      <c r="K184"/>
      <c r="L184" s="163"/>
      <c r="M184" s="163"/>
      <c r="N184"/>
      <c r="O184"/>
    </row>
    <row r="185" spans="1:15" x14ac:dyDescent="0.35">
      <c r="A185"/>
      <c r="B185"/>
      <c r="C185"/>
      <c r="D185"/>
      <c r="E185"/>
      <c r="F185"/>
      <c r="G185"/>
      <c r="H185"/>
      <c r="I185"/>
      <c r="J185"/>
      <c r="K185"/>
      <c r="L185" s="163"/>
      <c r="M185" s="163"/>
      <c r="N185"/>
      <c r="O185"/>
    </row>
    <row r="186" spans="1:15" x14ac:dyDescent="0.35">
      <c r="A186"/>
      <c r="B186"/>
      <c r="C186"/>
      <c r="D186"/>
      <c r="E186"/>
      <c r="F186"/>
      <c r="G186"/>
      <c r="H186"/>
      <c r="I186"/>
      <c r="J186"/>
      <c r="K186"/>
      <c r="L186" s="163"/>
      <c r="M186" s="163"/>
      <c r="N186"/>
      <c r="O186"/>
    </row>
    <row r="187" spans="1:15" x14ac:dyDescent="0.35">
      <c r="A187"/>
      <c r="B187"/>
      <c r="C187"/>
      <c r="D187"/>
      <c r="E187"/>
      <c r="F187"/>
      <c r="G187"/>
      <c r="H187"/>
      <c r="I187"/>
      <c r="J187"/>
      <c r="K187"/>
      <c r="L187" s="163"/>
      <c r="M187" s="163"/>
      <c r="N187"/>
      <c r="O187"/>
    </row>
    <row r="188" spans="1:15" x14ac:dyDescent="0.35">
      <c r="A188"/>
      <c r="B188"/>
      <c r="C188"/>
      <c r="D188"/>
      <c r="E188"/>
      <c r="F188"/>
      <c r="G188"/>
      <c r="H188"/>
      <c r="I188"/>
      <c r="J188"/>
      <c r="K188"/>
      <c r="L188" s="163"/>
      <c r="M188" s="163"/>
      <c r="N188"/>
      <c r="O188"/>
    </row>
    <row r="189" spans="1:15" x14ac:dyDescent="0.35">
      <c r="A189"/>
      <c r="B189"/>
      <c r="C189"/>
      <c r="D189"/>
      <c r="E189"/>
      <c r="F189"/>
      <c r="G189"/>
      <c r="H189"/>
      <c r="I189"/>
      <c r="J189"/>
      <c r="K189"/>
      <c r="L189" s="163"/>
      <c r="M189" s="163"/>
      <c r="N189"/>
      <c r="O189"/>
    </row>
    <row r="190" spans="1:15" x14ac:dyDescent="0.35">
      <c r="A190"/>
      <c r="B190"/>
      <c r="C190"/>
      <c r="D190"/>
      <c r="E190"/>
      <c r="F190"/>
      <c r="G190"/>
      <c r="H190"/>
      <c r="I190"/>
      <c r="J190"/>
      <c r="K190"/>
      <c r="L190" s="163"/>
      <c r="M190" s="163"/>
      <c r="N190"/>
      <c r="O190"/>
    </row>
    <row r="191" spans="1:15" x14ac:dyDescent="0.35">
      <c r="A191"/>
      <c r="B191"/>
      <c r="C191"/>
      <c r="D191"/>
      <c r="E191"/>
      <c r="F191"/>
      <c r="G191"/>
      <c r="H191"/>
      <c r="I191"/>
      <c r="J191"/>
      <c r="K191"/>
      <c r="L191" s="163"/>
      <c r="M191" s="163"/>
      <c r="N191"/>
      <c r="O191"/>
    </row>
    <row r="192" spans="1:15" x14ac:dyDescent="0.35">
      <c r="A192"/>
      <c r="B192"/>
      <c r="C192"/>
      <c r="D192"/>
      <c r="E192"/>
      <c r="F192"/>
      <c r="G192"/>
      <c r="H192"/>
      <c r="I192"/>
      <c r="J192"/>
      <c r="K192"/>
      <c r="L192" s="163"/>
      <c r="M192" s="163"/>
      <c r="N192"/>
      <c r="O192"/>
    </row>
    <row r="193" spans="1:15" x14ac:dyDescent="0.35">
      <c r="A193"/>
      <c r="B193"/>
      <c r="C193"/>
      <c r="D193"/>
      <c r="E193"/>
      <c r="F193"/>
      <c r="G193"/>
      <c r="H193"/>
      <c r="I193"/>
      <c r="J193"/>
      <c r="K193"/>
      <c r="L193" s="163"/>
      <c r="M193" s="163"/>
      <c r="N193"/>
      <c r="O193"/>
    </row>
    <row r="194" spans="1:15" x14ac:dyDescent="0.35">
      <c r="A194"/>
      <c r="B194"/>
      <c r="C194"/>
      <c r="D194"/>
      <c r="E194"/>
      <c r="F194"/>
      <c r="G194"/>
      <c r="H194"/>
      <c r="I194"/>
      <c r="J194"/>
      <c r="K194"/>
      <c r="L194" s="163"/>
      <c r="M194" s="163"/>
      <c r="N194"/>
      <c r="O194"/>
    </row>
    <row r="195" spans="1:15" x14ac:dyDescent="0.35">
      <c r="A195"/>
      <c r="B195"/>
      <c r="C195"/>
      <c r="D195"/>
      <c r="E195"/>
      <c r="F195"/>
      <c r="G195"/>
      <c r="H195"/>
      <c r="I195"/>
      <c r="J195"/>
      <c r="K195"/>
      <c r="L195" s="163"/>
      <c r="M195" s="163"/>
      <c r="N195"/>
      <c r="O195"/>
    </row>
    <row r="196" spans="1:15" x14ac:dyDescent="0.35">
      <c r="A196"/>
      <c r="B196"/>
      <c r="C196"/>
      <c r="D196"/>
      <c r="E196"/>
      <c r="F196"/>
      <c r="G196"/>
      <c r="H196"/>
      <c r="I196"/>
      <c r="J196"/>
      <c r="K196"/>
      <c r="L196" s="163"/>
      <c r="M196" s="163"/>
      <c r="N196"/>
      <c r="O196"/>
    </row>
    <row r="197" spans="1:15" x14ac:dyDescent="0.35">
      <c r="A197"/>
      <c r="B197"/>
      <c r="C197"/>
      <c r="D197"/>
      <c r="E197"/>
      <c r="F197"/>
      <c r="G197"/>
      <c r="H197"/>
      <c r="I197"/>
      <c r="J197"/>
      <c r="K197"/>
      <c r="L197" s="163"/>
      <c r="M197" s="163"/>
      <c r="N197"/>
      <c r="O197"/>
    </row>
    <row r="198" spans="1:15" x14ac:dyDescent="0.35">
      <c r="A198"/>
      <c r="B198"/>
      <c r="C198"/>
      <c r="D198"/>
      <c r="E198"/>
      <c r="F198"/>
      <c r="G198"/>
      <c r="H198"/>
      <c r="I198"/>
      <c r="J198"/>
      <c r="K198"/>
      <c r="L198" s="163"/>
      <c r="M198" s="163"/>
      <c r="N198"/>
      <c r="O198"/>
    </row>
    <row r="199" spans="1:15" x14ac:dyDescent="0.35">
      <c r="A199"/>
      <c r="B199"/>
      <c r="C199"/>
      <c r="D199"/>
      <c r="E199"/>
      <c r="F199"/>
      <c r="G199"/>
      <c r="H199"/>
      <c r="I199"/>
      <c r="J199"/>
      <c r="K199"/>
      <c r="L199" s="163"/>
      <c r="M199" s="163"/>
      <c r="N199"/>
      <c r="O199"/>
    </row>
    <row r="200" spans="1:15" x14ac:dyDescent="0.35">
      <c r="A200"/>
      <c r="B200"/>
      <c r="C200"/>
      <c r="D200"/>
      <c r="E200"/>
      <c r="F200"/>
      <c r="G200"/>
      <c r="H200"/>
      <c r="I200"/>
      <c r="J200"/>
      <c r="K200"/>
      <c r="L200" s="163"/>
      <c r="M200" s="163"/>
      <c r="N200"/>
      <c r="O200"/>
    </row>
    <row r="201" spans="1:15" x14ac:dyDescent="0.35">
      <c r="A201"/>
      <c r="B201"/>
      <c r="C201"/>
      <c r="D201"/>
      <c r="E201"/>
      <c r="F201"/>
      <c r="G201"/>
      <c r="H201"/>
      <c r="I201"/>
      <c r="J201"/>
      <c r="K201"/>
      <c r="L201" s="163"/>
      <c r="M201" s="163"/>
      <c r="N201"/>
      <c r="O201"/>
    </row>
    <row r="202" spans="1:15" x14ac:dyDescent="0.35">
      <c r="K202"/>
      <c r="L202" s="163"/>
      <c r="M202" s="163"/>
    </row>
    <row r="203" spans="1:15" x14ac:dyDescent="0.35">
      <c r="K203"/>
      <c r="L203" s="163"/>
      <c r="M203" s="163"/>
    </row>
    <row r="204" spans="1:15" x14ac:dyDescent="0.35">
      <c r="K204"/>
      <c r="L204" s="163"/>
      <c r="M204" s="163"/>
    </row>
    <row r="205" spans="1:15" x14ac:dyDescent="0.35">
      <c r="K205"/>
      <c r="L205" s="163"/>
      <c r="M205" s="163"/>
    </row>
    <row r="206" spans="1:15" x14ac:dyDescent="0.35">
      <c r="K206"/>
      <c r="L206" s="163"/>
      <c r="M206" s="163"/>
    </row>
    <row r="207" spans="1:15" x14ac:dyDescent="0.35">
      <c r="K207"/>
      <c r="L207" s="163"/>
      <c r="M207" s="163"/>
    </row>
    <row r="208" spans="1:15" x14ac:dyDescent="0.35">
      <c r="K208"/>
      <c r="L208" s="163"/>
      <c r="M208" s="163"/>
    </row>
    <row r="209" spans="11:13" x14ac:dyDescent="0.35">
      <c r="K209"/>
      <c r="L209" s="163"/>
      <c r="M209" s="163"/>
    </row>
    <row r="210" spans="11:13" x14ac:dyDescent="0.35">
      <c r="K210"/>
      <c r="L210" s="163"/>
      <c r="M210" s="163"/>
    </row>
    <row r="211" spans="11:13" x14ac:dyDescent="0.35">
      <c r="K211"/>
      <c r="L211" s="163"/>
      <c r="M211" s="163"/>
    </row>
    <row r="212" spans="11:13" x14ac:dyDescent="0.35">
      <c r="K212"/>
      <c r="L212" s="163"/>
      <c r="M212" s="163"/>
    </row>
    <row r="213" spans="11:13" x14ac:dyDescent="0.35">
      <c r="K213"/>
      <c r="L213" s="163"/>
      <c r="M213" s="163"/>
    </row>
    <row r="214" spans="11:13" x14ac:dyDescent="0.35">
      <c r="K214"/>
      <c r="L214" s="163"/>
      <c r="M214" s="163"/>
    </row>
    <row r="215" spans="11:13" x14ac:dyDescent="0.35">
      <c r="K215"/>
      <c r="L215" s="163"/>
      <c r="M215" s="163"/>
    </row>
    <row r="216" spans="11:13" x14ac:dyDescent="0.35">
      <c r="K216"/>
      <c r="L216" s="163"/>
      <c r="M216" s="163"/>
    </row>
  </sheetData>
  <sortState ref="H182:H222">
    <sortCondition ref="H182"/>
  </sortState>
  <mergeCells count="14">
    <mergeCell ref="A2:B4"/>
    <mergeCell ref="E2:K2"/>
    <mergeCell ref="E4:F4"/>
    <mergeCell ref="AH2:AK2"/>
    <mergeCell ref="AH3:AK4"/>
    <mergeCell ref="H4:M4"/>
    <mergeCell ref="Z2:AC2"/>
    <mergeCell ref="Z3:AC4"/>
    <mergeCell ref="AD2:AG2"/>
    <mergeCell ref="AD3:AG4"/>
    <mergeCell ref="N3:Q4"/>
    <mergeCell ref="R3:U4"/>
    <mergeCell ref="V3:Y4"/>
    <mergeCell ref="N2:Q2"/>
  </mergeCells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ul8">
    <tabColor theme="4" tint="0.59999389629810485"/>
  </sheetPr>
  <dimension ref="A1:DY28"/>
  <sheetViews>
    <sheetView zoomScale="90" zoomScaleNormal="90" workbookViewId="0">
      <pane xSplit="2" ySplit="5" topLeftCell="F6" activePane="bottomRight" state="frozen"/>
      <selection pane="topRight" activeCell="C1" sqref="C1"/>
      <selection pane="bottomLeft" activeCell="A6" sqref="A6"/>
      <selection pane="bottomRight"/>
    </sheetView>
  </sheetViews>
  <sheetFormatPr defaultColWidth="9.1796875" defaultRowHeight="13" x14ac:dyDescent="0.3"/>
  <cols>
    <col min="1" max="1" width="22.7265625" style="19" customWidth="1"/>
    <col min="2" max="2" width="13.26953125" style="19" customWidth="1"/>
    <col min="3" max="5" width="9.1796875" style="19" hidden="1" customWidth="1"/>
    <col min="6" max="6" width="16.7265625" style="19" customWidth="1"/>
    <col min="7" max="7" width="18.7265625" style="19" customWidth="1"/>
    <col min="8" max="11" width="10.26953125" style="19" customWidth="1"/>
    <col min="12" max="12" width="12.26953125" style="19" customWidth="1"/>
    <col min="13" max="14" width="10.26953125" style="19" customWidth="1"/>
    <col min="15" max="15" width="12.26953125" style="19" customWidth="1"/>
    <col min="16" max="17" width="10.26953125" style="19" customWidth="1"/>
    <col min="18" max="18" width="12.26953125" style="19" customWidth="1"/>
    <col min="19" max="20" width="10.26953125" style="19" customWidth="1"/>
    <col min="21" max="21" width="12.26953125" style="19" customWidth="1"/>
    <col min="22" max="23" width="10.26953125" style="19" customWidth="1"/>
    <col min="24" max="30" width="12.26953125" style="19" customWidth="1"/>
    <col min="31" max="31" width="10.26953125" style="19" customWidth="1"/>
    <col min="32" max="32" width="15.453125" style="19" customWidth="1"/>
    <col min="33" max="41" width="20.7265625" style="19" customWidth="1"/>
    <col min="42" max="45" width="25.54296875" style="19" customWidth="1"/>
    <col min="46" max="54" width="13.1796875" style="19" customWidth="1"/>
    <col min="55" max="56" width="25.54296875" style="19" customWidth="1"/>
    <col min="57" max="58" width="13.1796875" style="19" customWidth="1"/>
    <col min="59" max="129" width="9.1796875" style="6"/>
    <col min="130" max="16384" width="9.1796875" style="19"/>
  </cols>
  <sheetData>
    <row r="1" spans="1:58" x14ac:dyDescent="0.3">
      <c r="A1" s="19" t="s">
        <v>361</v>
      </c>
    </row>
    <row r="2" spans="1:58" ht="53.25" customHeight="1" x14ac:dyDescent="0.3">
      <c r="A2" s="290" t="s">
        <v>484</v>
      </c>
      <c r="B2" s="290"/>
      <c r="C2" s="73"/>
      <c r="D2" s="73"/>
      <c r="E2" s="73"/>
      <c r="F2" s="270" t="s">
        <v>576</v>
      </c>
      <c r="G2" s="271"/>
      <c r="H2" s="271"/>
      <c r="I2" s="271"/>
      <c r="J2" s="269"/>
      <c r="K2" s="269"/>
      <c r="L2" s="269"/>
      <c r="M2" s="269"/>
      <c r="N2" s="269"/>
      <c r="O2" s="269"/>
      <c r="P2" s="289"/>
      <c r="Q2" s="289"/>
      <c r="R2" s="289"/>
      <c r="S2" s="289"/>
      <c r="T2" s="289"/>
      <c r="U2" s="289"/>
      <c r="V2" s="289"/>
      <c r="W2" s="289"/>
      <c r="X2" s="289"/>
      <c r="Y2" s="289"/>
      <c r="Z2" s="289"/>
      <c r="AA2" s="289"/>
      <c r="AB2" s="289"/>
      <c r="AC2" s="289"/>
      <c r="AD2" s="289"/>
      <c r="AE2" s="269"/>
      <c r="AF2" s="272"/>
      <c r="AG2" s="279" t="s">
        <v>451</v>
      </c>
      <c r="AH2" s="279"/>
      <c r="AI2" s="279"/>
      <c r="AJ2" s="279"/>
      <c r="AK2" s="279"/>
      <c r="AL2" s="279"/>
      <c r="AM2" s="279"/>
      <c r="AN2" s="279"/>
      <c r="AO2" s="280"/>
      <c r="AP2" s="282" t="s">
        <v>599</v>
      </c>
      <c r="AQ2" s="283"/>
      <c r="AR2" s="283"/>
      <c r="AS2" s="284"/>
      <c r="AT2" s="291" t="s">
        <v>603</v>
      </c>
      <c r="AU2" s="292"/>
      <c r="AV2" s="292"/>
      <c r="AW2" s="292"/>
      <c r="AX2" s="292"/>
      <c r="AY2" s="292"/>
      <c r="AZ2" s="292"/>
      <c r="BA2" s="239"/>
      <c r="BB2" s="240"/>
      <c r="BC2" s="308" t="s">
        <v>600</v>
      </c>
      <c r="BD2" s="306"/>
      <c r="BE2" s="306"/>
      <c r="BF2" s="307"/>
    </row>
    <row r="3" spans="1:58" ht="15" customHeight="1" x14ac:dyDescent="0.3">
      <c r="A3" s="290"/>
      <c r="B3" s="290"/>
      <c r="C3" s="73"/>
      <c r="D3" s="73"/>
      <c r="E3" s="73"/>
      <c r="F3" s="260" t="s">
        <v>437</v>
      </c>
      <c r="G3" s="261"/>
      <c r="H3" s="261"/>
      <c r="I3" s="261"/>
      <c r="J3" s="261"/>
      <c r="K3" s="261"/>
      <c r="L3" s="262"/>
      <c r="M3" s="260" t="s">
        <v>156</v>
      </c>
      <c r="N3" s="261"/>
      <c r="O3" s="262"/>
      <c r="P3" s="263" t="s">
        <v>339</v>
      </c>
      <c r="Q3" s="264"/>
      <c r="R3" s="264"/>
      <c r="S3" s="264"/>
      <c r="T3" s="264"/>
      <c r="U3" s="264"/>
      <c r="V3" s="264"/>
      <c r="W3" s="264"/>
      <c r="X3" s="264"/>
      <c r="Y3" s="264"/>
      <c r="Z3" s="264"/>
      <c r="AA3" s="264"/>
      <c r="AB3" s="264"/>
      <c r="AC3" s="264"/>
      <c r="AD3" s="265"/>
      <c r="AE3" s="260" t="s">
        <v>13</v>
      </c>
      <c r="AF3" s="261"/>
      <c r="AG3" s="258" t="s">
        <v>540</v>
      </c>
      <c r="AH3" s="258" t="s">
        <v>541</v>
      </c>
      <c r="AI3" s="258" t="s">
        <v>542</v>
      </c>
      <c r="AJ3" s="258" t="s">
        <v>543</v>
      </c>
      <c r="AK3" s="258" t="s">
        <v>544</v>
      </c>
      <c r="AL3" s="258" t="s">
        <v>545</v>
      </c>
      <c r="AM3" s="259" t="s">
        <v>546</v>
      </c>
      <c r="AN3" s="258" t="s">
        <v>547</v>
      </c>
      <c r="AO3" s="259" t="s">
        <v>470</v>
      </c>
      <c r="AP3" s="287" t="s">
        <v>370</v>
      </c>
      <c r="AQ3" s="285" t="s">
        <v>371</v>
      </c>
      <c r="AR3" s="286" t="s">
        <v>372</v>
      </c>
      <c r="AS3" s="288" t="s">
        <v>436</v>
      </c>
      <c r="AT3" s="29"/>
      <c r="AU3" s="33"/>
      <c r="AV3" s="44"/>
      <c r="AW3" s="29"/>
      <c r="AX3" s="30"/>
      <c r="AY3" s="30"/>
      <c r="AZ3" s="30"/>
      <c r="BA3" s="30"/>
      <c r="BB3" s="33"/>
      <c r="BC3" s="303" t="s">
        <v>568</v>
      </c>
      <c r="BD3" s="303"/>
      <c r="BE3" s="303"/>
      <c r="BF3" s="304"/>
    </row>
    <row r="4" spans="1:58" ht="29.5" customHeight="1" x14ac:dyDescent="0.3">
      <c r="A4" s="290"/>
      <c r="B4" s="290"/>
      <c r="C4" s="73"/>
      <c r="D4" s="73"/>
      <c r="E4" s="73"/>
      <c r="F4" s="266" t="s">
        <v>168</v>
      </c>
      <c r="G4" s="267"/>
      <c r="H4" s="267"/>
      <c r="I4" s="267"/>
      <c r="J4" s="267"/>
      <c r="K4" s="267"/>
      <c r="L4" s="268"/>
      <c r="M4" s="276" t="s">
        <v>169</v>
      </c>
      <c r="N4" s="277"/>
      <c r="O4" s="278"/>
      <c r="P4" s="276" t="s">
        <v>170</v>
      </c>
      <c r="Q4" s="277"/>
      <c r="R4" s="278"/>
      <c r="S4" s="276" t="s">
        <v>171</v>
      </c>
      <c r="T4" s="277"/>
      <c r="U4" s="278"/>
      <c r="V4" s="276" t="s">
        <v>340</v>
      </c>
      <c r="W4" s="277"/>
      <c r="X4" s="278"/>
      <c r="Y4" s="276" t="s">
        <v>528</v>
      </c>
      <c r="Z4" s="277"/>
      <c r="AA4" s="278"/>
      <c r="AB4" s="277" t="s">
        <v>529</v>
      </c>
      <c r="AC4" s="277"/>
      <c r="AD4" s="278"/>
      <c r="AE4" s="276" t="s">
        <v>530</v>
      </c>
      <c r="AF4" s="277"/>
      <c r="AG4" s="258"/>
      <c r="AH4" s="258"/>
      <c r="AI4" s="258"/>
      <c r="AJ4" s="258"/>
      <c r="AK4" s="258"/>
      <c r="AL4" s="258"/>
      <c r="AM4" s="259"/>
      <c r="AN4" s="258"/>
      <c r="AO4" s="259"/>
      <c r="AP4" s="287"/>
      <c r="AQ4" s="285"/>
      <c r="AR4" s="286"/>
      <c r="AS4" s="288"/>
      <c r="AT4" s="293" t="s">
        <v>437</v>
      </c>
      <c r="AU4" s="294"/>
      <c r="AV4" s="44"/>
      <c r="AW4" s="293" t="s">
        <v>339</v>
      </c>
      <c r="AX4" s="301"/>
      <c r="AY4" s="301"/>
      <c r="AZ4" s="301"/>
      <c r="BA4" s="301"/>
      <c r="BB4" s="294"/>
      <c r="BC4" s="303"/>
      <c r="BD4" s="303"/>
      <c r="BE4" s="303"/>
      <c r="BF4" s="304"/>
    </row>
    <row r="5" spans="1:58" ht="50.25" customHeight="1" x14ac:dyDescent="0.3">
      <c r="A5" s="26" t="s">
        <v>344</v>
      </c>
      <c r="B5" s="122" t="s">
        <v>359</v>
      </c>
      <c r="C5" s="28" t="s">
        <v>358</v>
      </c>
      <c r="D5" s="28" t="s">
        <v>357</v>
      </c>
      <c r="E5" s="28" t="s">
        <v>360</v>
      </c>
      <c r="F5" s="74" t="s">
        <v>378</v>
      </c>
      <c r="G5" s="21" t="s">
        <v>377</v>
      </c>
      <c r="H5" s="22" t="s">
        <v>176</v>
      </c>
      <c r="I5" s="21" t="s">
        <v>356</v>
      </c>
      <c r="J5" s="21" t="s">
        <v>175</v>
      </c>
      <c r="K5" s="21" t="s">
        <v>163</v>
      </c>
      <c r="L5" s="21" t="s">
        <v>440</v>
      </c>
      <c r="M5" s="23" t="s">
        <v>164</v>
      </c>
      <c r="N5" s="21" t="s">
        <v>165</v>
      </c>
      <c r="O5" s="25" t="s">
        <v>441</v>
      </c>
      <c r="P5" s="23" t="s">
        <v>166</v>
      </c>
      <c r="Q5" s="21" t="s">
        <v>167</v>
      </c>
      <c r="R5" s="24" t="s">
        <v>442</v>
      </c>
      <c r="S5" s="23" t="s">
        <v>172</v>
      </c>
      <c r="T5" s="21" t="s">
        <v>173</v>
      </c>
      <c r="U5" s="25" t="s">
        <v>443</v>
      </c>
      <c r="V5" s="23" t="s">
        <v>179</v>
      </c>
      <c r="W5" s="21" t="s">
        <v>178</v>
      </c>
      <c r="X5" s="227" t="s">
        <v>444</v>
      </c>
      <c r="Y5" s="23" t="s">
        <v>531</v>
      </c>
      <c r="Z5" s="21" t="s">
        <v>174</v>
      </c>
      <c r="AA5" s="25" t="s">
        <v>445</v>
      </c>
      <c r="AB5" s="24" t="s">
        <v>571</v>
      </c>
      <c r="AC5" s="21" t="s">
        <v>532</v>
      </c>
      <c r="AD5" s="227" t="s">
        <v>533</v>
      </c>
      <c r="AE5" s="23" t="s">
        <v>534</v>
      </c>
      <c r="AF5" s="24" t="s">
        <v>535</v>
      </c>
      <c r="AG5" s="246" t="s">
        <v>577</v>
      </c>
      <c r="AH5" s="246" t="s">
        <v>578</v>
      </c>
      <c r="AI5" s="246" t="s">
        <v>579</v>
      </c>
      <c r="AJ5" s="246" t="s">
        <v>580</v>
      </c>
      <c r="AK5" s="246" t="s">
        <v>581</v>
      </c>
      <c r="AL5" s="246" t="s">
        <v>582</v>
      </c>
      <c r="AM5" s="245" t="s">
        <v>583</v>
      </c>
      <c r="AN5" s="246" t="s">
        <v>584</v>
      </c>
      <c r="AO5" s="245" t="s">
        <v>585</v>
      </c>
      <c r="AP5" s="104" t="s">
        <v>432</v>
      </c>
      <c r="AQ5" s="104" t="s">
        <v>373</v>
      </c>
      <c r="AR5" s="104" t="s">
        <v>539</v>
      </c>
      <c r="AS5" s="100" t="s">
        <v>374</v>
      </c>
      <c r="AT5" s="31" t="s">
        <v>438</v>
      </c>
      <c r="AU5" s="32" t="s">
        <v>439</v>
      </c>
      <c r="AV5" s="45" t="s">
        <v>345</v>
      </c>
      <c r="AW5" s="31" t="s">
        <v>346</v>
      </c>
      <c r="AX5" s="42" t="s">
        <v>347</v>
      </c>
      <c r="AY5" s="42" t="s">
        <v>348</v>
      </c>
      <c r="AZ5" s="42" t="s">
        <v>349</v>
      </c>
      <c r="BA5" s="42" t="s">
        <v>565</v>
      </c>
      <c r="BB5" s="43" t="s">
        <v>566</v>
      </c>
      <c r="BC5" s="124" t="s">
        <v>564</v>
      </c>
      <c r="BD5" s="100" t="s">
        <v>563</v>
      </c>
      <c r="BE5" s="34" t="s">
        <v>601</v>
      </c>
      <c r="BF5" s="35" t="s">
        <v>602</v>
      </c>
    </row>
    <row r="6" spans="1:58" x14ac:dyDescent="0.3">
      <c r="A6" s="19" t="s">
        <v>323</v>
      </c>
      <c r="B6" s="19">
        <f>COUNTIF(Ohj.lask.[Maakunta],Maakunt.[[#This Row],[Maakunta]])</f>
        <v>1</v>
      </c>
      <c r="C6" s="19">
        <f>COUNTIFS(Ohj.lask.[Maakunta],Maakunt.[[#This Row],[Maakunta]],Ohj.lask.[Omistajatyyppi],"=yksityinen")</f>
        <v>0</v>
      </c>
      <c r="D6" s="19">
        <f>COUNTIFS(Ohj.lask.[Maakunta],Maakunt.[[#This Row],[Maakunta]],Ohj.lask.[Omistajatyyppi],"=kunta")</f>
        <v>0</v>
      </c>
      <c r="E6" s="19">
        <f>COUNTIFS(Ohj.lask.[Maakunta],Maakunt.[[#This Row],[Maakunta]],Ohj.lask.[Omistajatyyppi],"=kuntayhtymä")</f>
        <v>1</v>
      </c>
      <c r="F6" s="15">
        <f>SUMIF(Ohj.lask.[Maakunta],Maakunt.[[#This Row],[Maakunta]],Ohj.lask.[Järjestämisluvan opisk.vuosien vähimmäismäärä])</f>
        <v>2885</v>
      </c>
      <c r="G6" s="14">
        <f>SUMIF(Ohj.lask.[Maakunta],Maakunt.[[#This Row],[Maakunta]],Ohj.lask.[Suoritepäätöksellä jaettavat opisk.vuodet (luvan ylittävä osuus)])</f>
        <v>184</v>
      </c>
      <c r="H6" s="14">
        <f>SUMIF(Ohj.lask.[Maakunta],Maakunt.[[#This Row],[Maakunta]],Ohj.lask.[Tavoitteelliset opiskelija-vuodet])</f>
        <v>3069</v>
      </c>
      <c r="I6" s="77">
        <f>Maakunt.[[#This Row],[Painotetut opiskelija-vuodet]]/Maakunt.[[#This Row],[Tavoitteelliset opiske-lijavuodet]]</f>
        <v>1.0949169110459434</v>
      </c>
      <c r="J6" s="78">
        <f>SUMIF(Ohj.lask.[Maakunta],Maakunt.[[#This Row],[Maakunta]],Ohj.lask.[Painotetut opiskelija-vuodet])</f>
        <v>3360.3</v>
      </c>
      <c r="K6" s="13">
        <f>SUMIF(Ohj.lask.[Maakunta],Maakunt.[[#This Row],[Maakunta]],Ohj.lask.[%-osuus 1])</f>
        <v>1.5555273692825581E-2</v>
      </c>
      <c r="L6" s="14">
        <f>SUMIF(Ohj.lask.[Maakunta],Maakunt.[[#This Row],[Maakunta]],Ohj.lask.[Jaettava € 1])</f>
        <v>21833942</v>
      </c>
      <c r="M6" s="15">
        <f>SUMIF(Ohj.lask.[Maakunta],Maakunt.[[#This Row],[Maakunta]],Ohj.lask.[Painotetut pisteet 2])</f>
        <v>252125.4</v>
      </c>
      <c r="N6" s="13">
        <f>SUMIF(Ohj.lask.[Maakunta],Maakunt.[[#This Row],[Maakunta]],Ohj.lask.[%-osuus 2])</f>
        <v>1.6235984608368965E-2</v>
      </c>
      <c r="O6" s="14">
        <f>SUMIF(Ohj.lask.[Maakunta],Maakunt.[[#This Row],[Maakunta]],Ohj.lask.[Jaettava € 2])</f>
        <v>6649967</v>
      </c>
      <c r="P6" s="15">
        <f>SUMIF(Ohj.lask.[Maakunta],Maakunt.[[#This Row],[Maakunta]],Ohj.lask.[Painotetut pisteet 3])</f>
        <v>5101.6000000000004</v>
      </c>
      <c r="Q6" s="13">
        <f>SUMIF(Ohj.lask.[Maakunta],Maakunt.[[#This Row],[Maakunta]],Ohj.lask.[%-osuus 3])</f>
        <v>1.638056230640475E-2</v>
      </c>
      <c r="R6" s="14">
        <f>SUMIF(Ohj.lask.[Maakunta],Maakunt.[[#This Row],[Maakunta]],Ohj.lask.[Jaettava € 3])</f>
        <v>2348214</v>
      </c>
      <c r="S6" s="15">
        <f>SUMIF(Ohj.lask.[Maakunta],Maakunt.[[#This Row],[Maakunta]],Ohj.lask.[Painotetut pisteet 4])</f>
        <v>27009.200000000001</v>
      </c>
      <c r="T6" s="13">
        <f>SUMIF(Ohj.lask.[Maakunta],Maakunt.[[#This Row],[Maakunta]],Ohj.lask.[%-osuus 4])</f>
        <v>1.7220181298622472E-2</v>
      </c>
      <c r="U6" s="14">
        <f>SUMIF(Ohj.lask.[Maakunta],Maakunt.[[#This Row],[Maakunta]],Ohj.lask.[Jaettava € 4])</f>
        <v>132245</v>
      </c>
      <c r="V6" s="15">
        <f>SUMIF(Ohj.lask.[Maakunta],Maakunt.[[#This Row],[Maakunta]],Ohj.lask.[Painotetut pisteet 5])</f>
        <v>158167.70000000001</v>
      </c>
      <c r="W6" s="13">
        <f>SUMIF(Ohj.lask.[Maakunta],Maakunt.[[#This Row],[Maakunta]],Ohj.lask.[%-osuus 5])</f>
        <v>1.662096701219172E-2</v>
      </c>
      <c r="X6" s="20">
        <f>SUMIF(Ohj.lask.[Maakunta],Maakunt.[[#This Row],[Maakunta]],Ohj.lask.[Jaettava € 5])</f>
        <v>382930</v>
      </c>
      <c r="Y6" s="15">
        <f>SUMIF(Ohj.lask.[Maakunta],Maakunt.[[#This Row],[Maakunta]],Ohj.lask.[Painotetut pisteet 6])</f>
        <v>4861494.0999999996</v>
      </c>
      <c r="Z6" s="13">
        <f>SUMIF(Ohj.lask.[Maakunta],Maakunt.[[#This Row],[Maakunta]],Ohj.lask.[%-osuus 6])</f>
        <v>1.2166867978709766E-2</v>
      </c>
      <c r="AA6" s="20">
        <f>SUMIF(Ohj.lask.[Maakunta],Maakunt.[[#This Row],[Maakunta]],Ohj.lask.[Jaettava € 6])</f>
        <v>280312</v>
      </c>
      <c r="AB6" s="14">
        <f>SUMIF(Ohj.lask.[Maakunta],Maakunt.[[#This Row],[Maakunta]],Ohj.lask.[Pisteet 7])</f>
        <v>2793822</v>
      </c>
      <c r="AC6" s="13">
        <f>SUMIF(Ohj.lask.[Maakunta],Maakunt.[[#This Row],[Maakunta]],Ohj.lask.[%-osuus 7])</f>
        <v>1.4614753094050111E-2</v>
      </c>
      <c r="AD6" s="14">
        <f>SUMIF(Ohj.lask.[Maakunta],Maakunt.[[#This Row],[Maakunta]],Ohj.lask.[Jaettava € 7])</f>
        <v>112236</v>
      </c>
      <c r="AE6" s="16">
        <f>SUMIF(Ohj.lask.[Maakunta],Maakunt.[[#This Row],[Maakunta]],Ohj.lask.[%-osuus 8])</f>
        <v>1.5728297544758223E-2</v>
      </c>
      <c r="AF6" s="14">
        <f>SUMIF(Ohj.lask.[Maakunta],Maakunt.[[#This Row],[Maakunta]],Ohj.lask.[Jaettava € 8])</f>
        <v>31739846</v>
      </c>
      <c r="AG6" s="37">
        <f>SUMIF(Ohj.lask.[Maakunta],Maakunt.[[#This Row],[Maakunta]],Ohj.lask.[Harkinnanvarainen korotus 1, €])</f>
        <v>0</v>
      </c>
      <c r="AH6" s="37">
        <f>SUMIF(Ohj.lask.[Maakunta],Maakunt.[[#This Row],[Maakunta]],Ohj.lask.[Harkinnanvarainen korotus 2, €])</f>
        <v>0</v>
      </c>
      <c r="AI6" s="37">
        <f>SUMIF(Ohj.lask.[Maakunta],Maakunt.[[#This Row],[Maakunta]],Ohj.lask.[Harkinnanvarainen korotus 3, €])</f>
        <v>0</v>
      </c>
      <c r="AJ6" s="37">
        <f>SUMIF(Ohj.lask.[Maakunta],Maakunt.[[#This Row],[Maakunta]],Ohj.lask.[Harkinnanvarainen korotus 4, €])</f>
        <v>0</v>
      </c>
      <c r="AK6" s="37">
        <f>SUMIF(Ohj.lask.[Maakunta],Maakunt.[[#This Row],[Maakunta]],Ohj.lask.[Harkinnanvarainen korotus 5, €])</f>
        <v>0</v>
      </c>
      <c r="AL6" s="37">
        <f>SUMIF(Ohj.lask.[Maakunta],Maakunt.[[#This Row],[Maakunta]],Ohj.lask.[Harkinnanvarainen korotus 6, €])</f>
        <v>0</v>
      </c>
      <c r="AM6" s="14">
        <f>SUMIF(Ohj.lask.[Maakunta],Maakunt.[[#This Row],[Maakunta]],Ohj.lask.[Harkinnanvarainen korotus 7, €])</f>
        <v>58000</v>
      </c>
      <c r="AN6" s="20">
        <f>SUMIF(Ohj.lask.[Maakunta],Maakunt.[[#This Row],[Maakunta]],Ohj.lask.[Harkinnanvarainen korotus 8, €])</f>
        <v>0</v>
      </c>
      <c r="AO6" s="14">
        <f>SUM(Maakunt.[[#This Row],[Harkinnanvarainen korotus 8, €]],Maakunt.[[#This Row],[Harkinnanvarainen korotus 7, €]],Maakunt.[[#This Row],[Harkinnanvarainen korotus 6, €]],Maakunt.[[#This Row],[Harkinnanvarainen korotus 5, €]],Maakunt.[[#This Row],[Harkinnanvarainen korotus 4, €]],Maakunt.[[#This Row],[Harkinnanvarainen korotus 3, €]],Maakunt.[[#This Row],[Harkinnanvarainen korotus 2, €]],Maakunt.[[#This Row],[Harkinnanvarainen korotus 1, €]])</f>
        <v>58000</v>
      </c>
      <c r="AP6" s="15">
        <f>SUMIF(Ohj.lask.[Maakunta],Maakunt.[[#This Row],[Maakunta]],Ohj.lask.[Suoriteperusteinen (opiskelijavuosiin perustuva) sekä harkinnanvarainen korotus, €])</f>
        <v>21891942</v>
      </c>
      <c r="AQ6" s="15">
        <f>SUMIF(Ohj.lask.[Maakunta],Maakunt.[[#This Row],[Maakunta]],Ohj.lask.[Suoritusrahoitus, €])</f>
        <v>6649967</v>
      </c>
      <c r="AR6" s="15">
        <f>SUMIF(Ohj.lask.[Maakunta],Maakunt.[[#This Row],[Maakunta]],Ohj.lask.[Työllistymiseen ja jatko-opintoihin siirtymiseen, opiskelijapalautteiseen sekä työelämäpalautteeseen perustuva, €])</f>
        <v>3255937</v>
      </c>
      <c r="AS6" s="37">
        <f>SUMIF(Ohj.lask.[Maakunta],Maakunt.[[#This Row],[Maakunta]],Ohj.lask.[Perus-, suoritus- ja vaikuttavuusrahoitus yhteensä, €])</f>
        <v>31797846</v>
      </c>
      <c r="AT6" s="16">
        <f>Maakunt.[[#This Row],[Jaettava € 1]]/Maakunt.[[#This Row],[Perus-, suoritus- ja vaikuttavuusrahoitus yhteensä, €]]</f>
        <v>0.68664846040200334</v>
      </c>
      <c r="AU6" s="38">
        <f>Maakunt.[[#This Row],[Suoriteperusteinen (opiskelijavuosiin perustuva) sekä harkinnanvarainen korotus, €]]/Maakunt.[[#This Row],[Perus-, suoritus- ja vaikuttavuusrahoitus yhteensä, €]]</f>
        <v>0.68847248332481392</v>
      </c>
      <c r="AV6" s="46">
        <f>Maakunt.[[#This Row],[Suoritusrahoitus, €]]/Maakunt.[[#This Row],[Perus-, suoritus- ja vaikuttavuusrahoitus yhteensä, €]]</f>
        <v>0.20913262489540957</v>
      </c>
      <c r="AW6" s="13">
        <f>Maakunt.[[#This Row],[Työllistymiseen ja jatko-opintoihin siirtymiseen, opiskelijapalautteiseen sekä työelämäpalautteeseen perustuva, €]]/Maakunt.[[#This Row],[Perus-, suoritus- ja vaikuttavuusrahoitus yhteensä, €]]</f>
        <v>0.10239489177977652</v>
      </c>
      <c r="AX6" s="13">
        <f>SUMIF(Ohj.lask.[Maakunta],Maakunt.[[#This Row],[Maakunta]],Ohj.lask.[Jaettava € 3])/Maakunt.[[#This Row],[Perus-, suoritus- ja vaikuttavuusrahoitus yhteensä, €]]</f>
        <v>7.38482097183564E-2</v>
      </c>
      <c r="AY6" s="13">
        <f>SUMIF(Ohj.lask.[Maakunta],Maakunt.[[#This Row],[Maakunta]],Ohj.lask.[Jaettava € 4])/Maakunt.[[#This Row],[Perus-, suoritus- ja vaikuttavuusrahoitus yhteensä, €]]</f>
        <v>4.1589295073634859E-3</v>
      </c>
      <c r="AZ6" s="13">
        <f>SUMIF(Ohj.lask.[Maakunta],Maakunt.[[#This Row],[Maakunta]],Ohj.lask.[Jaettava € 5])/Maakunt.[[#This Row],[Perus-, suoritus- ja vaikuttavuusrahoitus yhteensä, €]]</f>
        <v>1.2042639617790464E-2</v>
      </c>
      <c r="BA6" s="13">
        <f>SUMIF(Ohj.lask.[Maakunta],Maakunt.[[#This Row],[Maakunta]],Ohj.lask.[Jaettava € 6])/Maakunt.[[#This Row],[Perus-, suoritus- ja vaikuttavuusrahoitus yhteensä, €]]</f>
        <v>8.8154398886012598E-3</v>
      </c>
      <c r="BB6" s="38">
        <f>SUMIF(Ohj.lask.[Maakunta],Maakunt.[[#This Row],[Maakunta]],Ohj.lask.[Jaettava € 7])/Maakunt.[[#This Row],[Perus-, suoritus- ja vaikuttavuusrahoitus yhteensä, €]]</f>
        <v>3.5296730476649268E-3</v>
      </c>
      <c r="BC6" s="14">
        <f>SUMIF(Vertailu[Maakunta],Maakunt.[[#This Row],[Maakunta]],Vertailu[Rahoitus ml. hark. kor. 
2022 ilman alv, €])</f>
        <v>29778714</v>
      </c>
      <c r="BD6" s="15">
        <f>SUMIF(Vertailu[Maakunta],Maakunt.[[#This Row],[Maakunta]],Vertailu[Rahoitus ml. hark. kor. 
2023 ilman alv, €])</f>
        <v>31797846</v>
      </c>
      <c r="BE6" s="15">
        <f>SUMIF(Vertailu[Maakunta],Maakunt.[[#This Row],[Maakunta]],Vertailu[Muutos, € 2])</f>
        <v>2019132</v>
      </c>
      <c r="BF6" s="38">
        <f>IFERROR(Maakunt.[[#This Row],[Muutos, €]]/Maakunt.[[#This Row],[Rahoitus ml. hark. kor. 
2022 ilman alv, €]],0)</f>
        <v>6.7804539846818099E-2</v>
      </c>
    </row>
    <row r="7" spans="1:58" x14ac:dyDescent="0.3">
      <c r="A7" s="19" t="s">
        <v>209</v>
      </c>
      <c r="B7" s="19">
        <f>COUNTIF(Ohj.lask.[Maakunta],Maakunt.[[#This Row],[Maakunta]])</f>
        <v>6</v>
      </c>
      <c r="C7" s="19">
        <f>COUNTIFS(Ohj.lask.[Maakunta],Maakunt.[[#This Row],[Maakunta]],Ohj.lask.[Omistajatyyppi],"=yksityinen")</f>
        <v>3</v>
      </c>
      <c r="D7" s="19">
        <f>COUNTIFS(Ohj.lask.[Maakunta],Maakunt.[[#This Row],[Maakunta]],Ohj.lask.[Omistajatyyppi],"=kunta")</f>
        <v>0</v>
      </c>
      <c r="E7" s="19">
        <f>COUNTIFS(Ohj.lask.[Maakunta],Maakunt.[[#This Row],[Maakunta]],Ohj.lask.[Omistajatyyppi],"=kuntayhtymä")</f>
        <v>3</v>
      </c>
      <c r="F7" s="15">
        <f>SUMIF(Ohj.lask.[Maakunta],Maakunt.[[#This Row],[Maakunta]],Ohj.lask.[Järjestämisluvan opisk.vuosien vähimmäismäärä])</f>
        <v>5902</v>
      </c>
      <c r="G7" s="14">
        <f>SUMIF(Ohj.lask.[Maakunta],Maakunt.[[#This Row],[Maakunta]],Ohj.lask.[Suoritepäätöksellä jaettavat opisk.vuodet (luvan ylittävä osuus)])</f>
        <v>950</v>
      </c>
      <c r="H7" s="14">
        <f>SUMIF(Ohj.lask.[Maakunta],Maakunt.[[#This Row],[Maakunta]],Ohj.lask.[Tavoitteelliset opiskelija-vuodet])</f>
        <v>6852</v>
      </c>
      <c r="I7" s="77">
        <f>Maakunt.[[#This Row],[Painotetut opiskelija-vuodet]]/Maakunt.[[#This Row],[Tavoitteelliset opiske-lijavuodet]]</f>
        <v>1.1333917104495039</v>
      </c>
      <c r="J7" s="78">
        <f>SUMIF(Ohj.lask.[Maakunta],Maakunt.[[#This Row],[Maakunta]],Ohj.lask.[Painotetut opiskelija-vuodet])</f>
        <v>7766.0000000000009</v>
      </c>
      <c r="K7" s="13">
        <f>SUMIF(Ohj.lask.[Maakunta],Maakunt.[[#This Row],[Maakunta]],Ohj.lask.[%-osuus 1])</f>
        <v>3.594984242433219E-2</v>
      </c>
      <c r="L7" s="14">
        <f>SUMIF(Ohj.lask.[Maakunta],Maakunt.[[#This Row],[Maakunta]],Ohj.lask.[Jaettava € 1])</f>
        <v>50460493</v>
      </c>
      <c r="M7" s="15">
        <f>SUMIF(Ohj.lask.[Maakunta],Maakunt.[[#This Row],[Maakunta]],Ohj.lask.[Painotetut pisteet 2])</f>
        <v>585206.4</v>
      </c>
      <c r="N7" s="13">
        <f>SUMIF(Ohj.lask.[Maakunta],Maakunt.[[#This Row],[Maakunta]],Ohj.lask.[%-osuus 2])</f>
        <v>3.7685223714544469E-2</v>
      </c>
      <c r="O7" s="14">
        <f>SUMIF(Ohj.lask.[Maakunta],Maakunt.[[#This Row],[Maakunta]],Ohj.lask.[Jaettava € 2])</f>
        <v>15435189</v>
      </c>
      <c r="P7" s="15">
        <f>SUMIF(Ohj.lask.[Maakunta],Maakunt.[[#This Row],[Maakunta]],Ohj.lask.[Painotetut pisteet 3])</f>
        <v>12367.1</v>
      </c>
      <c r="Q7" s="13">
        <f>SUMIF(Ohj.lask.[Maakunta],Maakunt.[[#This Row],[Maakunta]],Ohj.lask.[%-osuus 3])</f>
        <v>3.970912107957076E-2</v>
      </c>
      <c r="R7" s="14">
        <f>SUMIF(Ohj.lask.[Maakunta],Maakunt.[[#This Row],[Maakunta]],Ohj.lask.[Jaettava € 3])</f>
        <v>5692451</v>
      </c>
      <c r="S7" s="15">
        <f>SUMIF(Ohj.lask.[Maakunta],Maakunt.[[#This Row],[Maakunta]],Ohj.lask.[Painotetut pisteet 4])</f>
        <v>68682.2</v>
      </c>
      <c r="T7" s="13">
        <f>SUMIF(Ohj.lask.[Maakunta],Maakunt.[[#This Row],[Maakunta]],Ohj.lask.[%-osuus 4])</f>
        <v>4.3789521199748542E-2</v>
      </c>
      <c r="U7" s="14">
        <f>SUMIF(Ohj.lask.[Maakunta],Maakunt.[[#This Row],[Maakunta]],Ohj.lask.[Jaettava € 4])</f>
        <v>336289</v>
      </c>
      <c r="V7" s="15">
        <f>SUMIF(Ohj.lask.[Maakunta],Maakunt.[[#This Row],[Maakunta]],Ohj.lask.[Painotetut pisteet 5])</f>
        <v>402605.00000000006</v>
      </c>
      <c r="W7" s="13">
        <f>SUMIF(Ohj.lask.[Maakunta],Maakunt.[[#This Row],[Maakunta]],Ohj.lask.[%-osuus 5])</f>
        <v>4.2307528173852478E-2</v>
      </c>
      <c r="X7" s="20">
        <f>SUMIF(Ohj.lask.[Maakunta],Maakunt.[[#This Row],[Maakunta]],Ohj.lask.[Jaettava € 5])</f>
        <v>974723</v>
      </c>
      <c r="Y7" s="15">
        <f>SUMIF(Ohj.lask.[Maakunta],Maakunt.[[#This Row],[Maakunta]],Ohj.lask.[Painotetut pisteet 6])</f>
        <v>14047192.600000001</v>
      </c>
      <c r="Z7" s="13">
        <f>SUMIF(Ohj.lask.[Maakunta],Maakunt.[[#This Row],[Maakunta]],Ohj.lask.[%-osuus 6])</f>
        <v>3.5155928264051332E-2</v>
      </c>
      <c r="AA7" s="20">
        <f>SUMIF(Ohj.lask.[Maakunta],Maakunt.[[#This Row],[Maakunta]],Ohj.lask.[Jaettava € 6])</f>
        <v>809956</v>
      </c>
      <c r="AB7" s="14">
        <f>SUMIF(Ohj.lask.[Maakunta],Maakunt.[[#This Row],[Maakunta]],Ohj.lask.[Pisteet 7])</f>
        <v>6398102</v>
      </c>
      <c r="AC7" s="13">
        <f>SUMIF(Ohj.lask.[Maakunta],Maakunt.[[#This Row],[Maakunta]],Ohj.lask.[%-osuus 7])</f>
        <v>3.3469090371737426E-2</v>
      </c>
      <c r="AD7" s="14">
        <f>SUMIF(Ohj.lask.[Maakunta],Maakunt.[[#This Row],[Maakunta]],Ohj.lask.[Jaettava € 7])</f>
        <v>257030</v>
      </c>
      <c r="AE7" s="16">
        <f>SUMIF(Ohj.lask.[Maakunta],Maakunt.[[#This Row],[Maakunta]],Ohj.lask.[%-osuus 8])</f>
        <v>3.6653023351233813E-2</v>
      </c>
      <c r="AF7" s="14">
        <f>SUMIF(Ohj.lask.[Maakunta],Maakunt.[[#This Row],[Maakunta]],Ohj.lask.[Jaettava € 8])</f>
        <v>73966131</v>
      </c>
      <c r="AG7" s="37">
        <f>SUMIF(Ohj.lask.[Maakunta],Maakunt.[[#This Row],[Maakunta]],Ohj.lask.[Harkinnanvarainen korotus 1, €])</f>
        <v>0</v>
      </c>
      <c r="AH7" s="37">
        <f>SUMIF(Ohj.lask.[Maakunta],Maakunt.[[#This Row],[Maakunta]],Ohj.lask.[Harkinnanvarainen korotus 2, €])</f>
        <v>0</v>
      </c>
      <c r="AI7" s="37">
        <f>SUMIF(Ohj.lask.[Maakunta],Maakunt.[[#This Row],[Maakunta]],Ohj.lask.[Harkinnanvarainen korotus 3, €])</f>
        <v>0</v>
      </c>
      <c r="AJ7" s="37">
        <f>SUMIF(Ohj.lask.[Maakunta],Maakunt.[[#This Row],[Maakunta]],Ohj.lask.[Harkinnanvarainen korotus 4, €])</f>
        <v>0</v>
      </c>
      <c r="AK7" s="37">
        <f>SUMIF(Ohj.lask.[Maakunta],Maakunt.[[#This Row],[Maakunta]],Ohj.lask.[Harkinnanvarainen korotus 5, €])</f>
        <v>0</v>
      </c>
      <c r="AL7" s="37">
        <f>SUMIF(Ohj.lask.[Maakunta],Maakunt.[[#This Row],[Maakunta]],Ohj.lask.[Harkinnanvarainen korotus 6, €])</f>
        <v>0</v>
      </c>
      <c r="AM7" s="14">
        <f>SUMIF(Ohj.lask.[Maakunta],Maakunt.[[#This Row],[Maakunta]],Ohj.lask.[Harkinnanvarainen korotus 7, €])</f>
        <v>40000</v>
      </c>
      <c r="AN7" s="20">
        <f>SUMIF(Ohj.lask.[Maakunta],Maakunt.[[#This Row],[Maakunta]],Ohj.lask.[Harkinnanvarainen korotus 8, €])</f>
        <v>7000</v>
      </c>
      <c r="AO7" s="14">
        <f>SUM(Maakunt.[[#This Row],[Harkinnanvarainen korotus 8, €]],Maakunt.[[#This Row],[Harkinnanvarainen korotus 7, €]],Maakunt.[[#This Row],[Harkinnanvarainen korotus 6, €]],Maakunt.[[#This Row],[Harkinnanvarainen korotus 5, €]],Maakunt.[[#This Row],[Harkinnanvarainen korotus 4, €]],Maakunt.[[#This Row],[Harkinnanvarainen korotus 3, €]],Maakunt.[[#This Row],[Harkinnanvarainen korotus 2, €]],Maakunt.[[#This Row],[Harkinnanvarainen korotus 1, €]])</f>
        <v>47000</v>
      </c>
      <c r="AP7" s="15">
        <f>SUMIF(Ohj.lask.[Maakunta],Maakunt.[[#This Row],[Maakunta]],Ohj.lask.[Suoriteperusteinen (opiskelijavuosiin perustuva) sekä harkinnanvarainen korotus, €])</f>
        <v>50507493</v>
      </c>
      <c r="AQ7" s="15">
        <f>SUMIF(Ohj.lask.[Maakunta],Maakunt.[[#This Row],[Maakunta]],Ohj.lask.[Suoritusrahoitus, €])</f>
        <v>15435189</v>
      </c>
      <c r="AR7" s="15">
        <f>SUMIF(Ohj.lask.[Maakunta],Maakunt.[[#This Row],[Maakunta]],Ohj.lask.[Työllistymiseen ja jatko-opintoihin siirtymiseen, opiskelijapalautteiseen sekä työelämäpalautteeseen perustuva, €])</f>
        <v>8070449</v>
      </c>
      <c r="AS7" s="37">
        <f>SUMIF(Ohj.lask.[Maakunta],Maakunt.[[#This Row],[Maakunta]],Ohj.lask.[Perus-, suoritus- ja vaikuttavuusrahoitus yhteensä, €])</f>
        <v>74013131</v>
      </c>
      <c r="AT7" s="16">
        <f>Maakunt.[[#This Row],[Jaettava € 1]]/Maakunt.[[#This Row],[Perus-, suoritus- ja vaikuttavuusrahoitus yhteensä, €]]</f>
        <v>0.68177757538726469</v>
      </c>
      <c r="AU7" s="13">
        <f>Maakunt.[[#This Row],[Suoriteperusteinen (opiskelijavuosiin perustuva) sekä harkinnanvarainen korotus, €]]/Maakunt.[[#This Row],[Perus-, suoritus- ja vaikuttavuusrahoitus yhteensä, €]]</f>
        <v>0.68241259784024</v>
      </c>
      <c r="AV7" s="46">
        <f>Maakunt.[[#This Row],[Suoritusrahoitus, €]]/Maakunt.[[#This Row],[Perus-, suoritus- ja vaikuttavuusrahoitus yhteensä, €]]</f>
        <v>0.20854662938121074</v>
      </c>
      <c r="AW7" s="13">
        <f>Maakunt.[[#This Row],[Työllistymiseen ja jatko-opintoihin siirtymiseen, opiskelijapalautteiseen sekä työelämäpalautteeseen perustuva, €]]/Maakunt.[[#This Row],[Perus-, suoritus- ja vaikuttavuusrahoitus yhteensä, €]]</f>
        <v>0.10904077277854926</v>
      </c>
      <c r="AX7" s="13">
        <f>SUMIF(Ohj.lask.[Maakunta],Maakunt.[[#This Row],[Maakunta]],Ohj.lask.[Jaettava € 3])/Maakunt.[[#This Row],[Perus-, suoritus- ja vaikuttavuusrahoitus yhteensä, €]]</f>
        <v>7.6911365903436779E-2</v>
      </c>
      <c r="AY7" s="13">
        <f>SUMIF(Ohj.lask.[Maakunta],Maakunt.[[#This Row],[Maakunta]],Ohj.lask.[Jaettava € 4])/Maakunt.[[#This Row],[Perus-, suoritus- ja vaikuttavuusrahoitus yhteensä, €]]</f>
        <v>4.5436396955021397E-3</v>
      </c>
      <c r="AZ7" s="13">
        <f>SUMIF(Ohj.lask.[Maakunta],Maakunt.[[#This Row],[Maakunta]],Ohj.lask.[Jaettava € 5])/Maakunt.[[#This Row],[Perus-, suoritus- ja vaikuttavuusrahoitus yhteensä, €]]</f>
        <v>1.3169595541093917E-2</v>
      </c>
      <c r="BA7" s="13">
        <f>SUMIF(Ohj.lask.[Maakunta],Maakunt.[[#This Row],[Maakunta]],Ohj.lask.[Jaettava € 6])/Maakunt.[[#This Row],[Perus-, suoritus- ja vaikuttavuusrahoitus yhteensä, €]]</f>
        <v>1.0943409487702931E-2</v>
      </c>
      <c r="BB7" s="38">
        <f>SUMIF(Ohj.lask.[Maakunta],Maakunt.[[#This Row],[Maakunta]],Ohj.lask.[Jaettava € 7])/Maakunt.[[#This Row],[Perus-, suoritus- ja vaikuttavuusrahoitus yhteensä, €]]</f>
        <v>3.4727621508134818E-3</v>
      </c>
      <c r="BC7" s="14">
        <f>SUMIF(Vertailu[Maakunta],Maakunt.[[#This Row],[Maakunta]],Vertailu[Rahoitus ml. hark. kor. 
2022 ilman alv, €])</f>
        <v>69748066</v>
      </c>
      <c r="BD7" s="15">
        <f>SUMIF(Vertailu[Maakunta],Maakunt.[[#This Row],[Maakunta]],Vertailu[Rahoitus ml. hark. kor. 
2023 ilman alv, €])</f>
        <v>74013131</v>
      </c>
      <c r="BE7" s="15">
        <f>SUMIF(Vertailu[Maakunta],Maakunt.[[#This Row],[Maakunta]],Vertailu[Muutos, € 2])</f>
        <v>4265065</v>
      </c>
      <c r="BF7" s="38">
        <f>IFERROR(Maakunt.[[#This Row],[Muutos, €]]/Maakunt.[[#This Row],[Rahoitus ml. hark. kor. 
2022 ilman alv, €]],0)</f>
        <v>6.1149580835689409E-2</v>
      </c>
    </row>
    <row r="8" spans="1:58" x14ac:dyDescent="0.3">
      <c r="A8" s="19" t="s">
        <v>210</v>
      </c>
      <c r="B8" s="19">
        <f>COUNTIF(Ohj.lask.[Maakunta],Maakunt.[[#This Row],[Maakunta]])</f>
        <v>5</v>
      </c>
      <c r="C8" s="19">
        <f>COUNTIFS(Ohj.lask.[Maakunta],Maakunt.[[#This Row],[Maakunta]],Ohj.lask.[Omistajatyyppi],"=yksityinen")</f>
        <v>4</v>
      </c>
      <c r="D8" s="19">
        <f>COUNTIFS(Ohj.lask.[Maakunta],Maakunt.[[#This Row],[Maakunta]],Ohj.lask.[Omistajatyyppi],"=kunta")</f>
        <v>0</v>
      </c>
      <c r="E8" s="19">
        <f>COUNTIFS(Ohj.lask.[Maakunta],Maakunt.[[#This Row],[Maakunta]],Ohj.lask.[Omistajatyyppi],"=kuntayhtymä")</f>
        <v>1</v>
      </c>
      <c r="F8" s="15">
        <f>SUMIF(Ohj.lask.[Maakunta],Maakunt.[[#This Row],[Maakunta]],Ohj.lask.[Järjestämisluvan opisk.vuosien vähimmäismäärä])</f>
        <v>4024</v>
      </c>
      <c r="G8" s="14">
        <f>SUMIF(Ohj.lask.[Maakunta],Maakunt.[[#This Row],[Maakunta]],Ohj.lask.[Suoritepäätöksellä jaettavat opisk.vuodet (luvan ylittävä osuus)])</f>
        <v>265</v>
      </c>
      <c r="H8" s="14">
        <f>SUMIF(Ohj.lask.[Maakunta],Maakunt.[[#This Row],[Maakunta]],Ohj.lask.[Tavoitteelliset opiskelija-vuodet])</f>
        <v>4289</v>
      </c>
      <c r="I8" s="77">
        <f>Maakunt.[[#This Row],[Painotetut opiskelija-vuodet]]/Maakunt.[[#This Row],[Tavoitteelliset opiske-lijavuodet]]</f>
        <v>1.1942877127535556</v>
      </c>
      <c r="J8" s="78">
        <f>SUMIF(Ohj.lask.[Maakunta],Maakunt.[[#This Row],[Maakunta]],Ohj.lask.[Painotetut opiskelija-vuodet])</f>
        <v>5122.3</v>
      </c>
      <c r="K8" s="13">
        <f>SUMIF(Ohj.lask.[Maakunta],Maakunt.[[#This Row],[Maakunta]],Ohj.lask.[%-osuus 1])</f>
        <v>2.3711805028348801E-2</v>
      </c>
      <c r="L8" s="14">
        <f>SUMIF(Ohj.lask.[Maakunta],Maakunt.[[#This Row],[Maakunta]],Ohj.lask.[Jaettava € 1])</f>
        <v>33282744</v>
      </c>
      <c r="M8" s="15">
        <f>SUMIF(Ohj.lask.[Maakunta],Maakunt.[[#This Row],[Maakunta]],Ohj.lask.[Painotetut pisteet 2])</f>
        <v>413988.5</v>
      </c>
      <c r="N8" s="13">
        <f>SUMIF(Ohj.lask.[Maakunta],Maakunt.[[#This Row],[Maakunta]],Ohj.lask.[%-osuus 2])</f>
        <v>2.6659396133994252E-2</v>
      </c>
      <c r="O8" s="14">
        <f>SUMIF(Ohj.lask.[Maakunta],Maakunt.[[#This Row],[Maakunta]],Ohj.lask.[Jaettava € 2])</f>
        <v>10919208</v>
      </c>
      <c r="P8" s="15">
        <f>SUMIF(Ohj.lask.[Maakunta],Maakunt.[[#This Row],[Maakunta]],Ohj.lask.[Painotetut pisteet 3])</f>
        <v>8599.0999999999985</v>
      </c>
      <c r="Q8" s="13">
        <f>SUMIF(Ohj.lask.[Maakunta],Maakunt.[[#This Row],[Maakunta]],Ohj.lask.[%-osuus 3])</f>
        <v>2.7610571845892481E-2</v>
      </c>
      <c r="R8" s="14">
        <f>SUMIF(Ohj.lask.[Maakunta],Maakunt.[[#This Row],[Maakunta]],Ohj.lask.[Jaettava € 3])</f>
        <v>3958079</v>
      </c>
      <c r="S8" s="15">
        <f>SUMIF(Ohj.lask.[Maakunta],Maakunt.[[#This Row],[Maakunta]],Ohj.lask.[Painotetut pisteet 4])</f>
        <v>43536.899999999994</v>
      </c>
      <c r="T8" s="13">
        <f>SUMIF(Ohj.lask.[Maakunta],Maakunt.[[#This Row],[Maakunta]],Ohj.lask.[%-osuus 4])</f>
        <v>2.7757701493565035E-2</v>
      </c>
      <c r="U8" s="14">
        <f>SUMIF(Ohj.lask.[Maakunta],Maakunt.[[#This Row],[Maakunta]],Ohj.lask.[Jaettava € 4])</f>
        <v>213169</v>
      </c>
      <c r="V8" s="15">
        <f>SUMIF(Ohj.lask.[Maakunta],Maakunt.[[#This Row],[Maakunta]],Ohj.lask.[Painotetut pisteet 5])</f>
        <v>245029.99999999997</v>
      </c>
      <c r="W8" s="13">
        <f>SUMIF(Ohj.lask.[Maakunta],Maakunt.[[#This Row],[Maakunta]],Ohj.lask.[%-osuus 5])</f>
        <v>2.5748844719859599E-2</v>
      </c>
      <c r="X8" s="20">
        <f>SUMIF(Ohj.lask.[Maakunta],Maakunt.[[#This Row],[Maakunta]],Ohj.lask.[Jaettava € 5])</f>
        <v>593227</v>
      </c>
      <c r="Y8" s="15">
        <f>SUMIF(Ohj.lask.[Maakunta],Maakunt.[[#This Row],[Maakunta]],Ohj.lask.[Painotetut pisteet 6])</f>
        <v>10299897.5</v>
      </c>
      <c r="Z8" s="13">
        <f>SUMIF(Ohj.lask.[Maakunta],Maakunt.[[#This Row],[Maakunta]],Ohj.lask.[%-osuus 6])</f>
        <v>2.5777567656976644E-2</v>
      </c>
      <c r="AA8" s="20">
        <f>SUMIF(Ohj.lask.[Maakunta],Maakunt.[[#This Row],[Maakunta]],Ohj.lask.[Jaettava € 6])</f>
        <v>593889</v>
      </c>
      <c r="AB8" s="14">
        <f>SUMIF(Ohj.lask.[Maakunta],Maakunt.[[#This Row],[Maakunta]],Ohj.lask.[Pisteet 7])</f>
        <v>7278158.9000000004</v>
      </c>
      <c r="AC8" s="13">
        <f>SUMIF(Ohj.lask.[Maakunta],Maakunt.[[#This Row],[Maakunta]],Ohj.lask.[%-osuus 7])</f>
        <v>3.807275313272046E-2</v>
      </c>
      <c r="AD8" s="14">
        <f>SUMIF(Ohj.lask.[Maakunta],Maakunt.[[#This Row],[Maakunta]],Ohj.lask.[Jaettava € 7])</f>
        <v>292385</v>
      </c>
      <c r="AE8" s="16">
        <f>SUMIF(Ohj.lask.[Maakunta],Maakunt.[[#This Row],[Maakunta]],Ohj.lask.[%-osuus 8])</f>
        <v>2.4703904194679015E-2</v>
      </c>
      <c r="AF8" s="14">
        <f>SUMIF(Ohj.lask.[Maakunta],Maakunt.[[#This Row],[Maakunta]],Ohj.lask.[Jaettava € 8])</f>
        <v>49852701</v>
      </c>
      <c r="AG8" s="37">
        <f>SUMIF(Ohj.lask.[Maakunta],Maakunt.[[#This Row],[Maakunta]],Ohj.lask.[Harkinnanvarainen korotus 1, €])</f>
        <v>0</v>
      </c>
      <c r="AH8" s="37">
        <f>SUMIF(Ohj.lask.[Maakunta],Maakunt.[[#This Row],[Maakunta]],Ohj.lask.[Harkinnanvarainen korotus 2, €])</f>
        <v>0</v>
      </c>
      <c r="AI8" s="37">
        <f>SUMIF(Ohj.lask.[Maakunta],Maakunt.[[#This Row],[Maakunta]],Ohj.lask.[Harkinnanvarainen korotus 3, €])</f>
        <v>0</v>
      </c>
      <c r="AJ8" s="37">
        <f>SUMIF(Ohj.lask.[Maakunta],Maakunt.[[#This Row],[Maakunta]],Ohj.lask.[Harkinnanvarainen korotus 4, €])</f>
        <v>0</v>
      </c>
      <c r="AK8" s="37">
        <f>SUMIF(Ohj.lask.[Maakunta],Maakunt.[[#This Row],[Maakunta]],Ohj.lask.[Harkinnanvarainen korotus 5, €])</f>
        <v>0</v>
      </c>
      <c r="AL8" s="37">
        <f>SUMIF(Ohj.lask.[Maakunta],Maakunt.[[#This Row],[Maakunta]],Ohj.lask.[Harkinnanvarainen korotus 6, €])</f>
        <v>0</v>
      </c>
      <c r="AM8" s="14">
        <f>SUMIF(Ohj.lask.[Maakunta],Maakunt.[[#This Row],[Maakunta]],Ohj.lask.[Harkinnanvarainen korotus 7, €])</f>
        <v>68000</v>
      </c>
      <c r="AN8" s="20">
        <f>SUMIF(Ohj.lask.[Maakunta],Maakunt.[[#This Row],[Maakunta]],Ohj.lask.[Harkinnanvarainen korotus 8, €])</f>
        <v>0</v>
      </c>
      <c r="AO8" s="14">
        <f>SUM(Maakunt.[[#This Row],[Harkinnanvarainen korotus 8, €]],Maakunt.[[#This Row],[Harkinnanvarainen korotus 7, €]],Maakunt.[[#This Row],[Harkinnanvarainen korotus 6, €]],Maakunt.[[#This Row],[Harkinnanvarainen korotus 5, €]],Maakunt.[[#This Row],[Harkinnanvarainen korotus 4, €]],Maakunt.[[#This Row],[Harkinnanvarainen korotus 3, €]],Maakunt.[[#This Row],[Harkinnanvarainen korotus 2, €]],Maakunt.[[#This Row],[Harkinnanvarainen korotus 1, €]])</f>
        <v>68000</v>
      </c>
      <c r="AP8" s="15">
        <f>SUMIF(Ohj.lask.[Maakunta],Maakunt.[[#This Row],[Maakunta]],Ohj.lask.[Suoriteperusteinen (opiskelijavuosiin perustuva) sekä harkinnanvarainen korotus, €])</f>
        <v>33350744</v>
      </c>
      <c r="AQ8" s="15">
        <f>SUMIF(Ohj.lask.[Maakunta],Maakunt.[[#This Row],[Maakunta]],Ohj.lask.[Suoritusrahoitus, €])</f>
        <v>10919208</v>
      </c>
      <c r="AR8" s="15">
        <f>SUMIF(Ohj.lask.[Maakunta],Maakunt.[[#This Row],[Maakunta]],Ohj.lask.[Työllistymiseen ja jatko-opintoihin siirtymiseen, opiskelijapalautteiseen sekä työelämäpalautteeseen perustuva, €])</f>
        <v>5650749</v>
      </c>
      <c r="AS8" s="37">
        <f>SUMIF(Ohj.lask.[Maakunta],Maakunt.[[#This Row],[Maakunta]],Ohj.lask.[Perus-, suoritus- ja vaikuttavuusrahoitus yhteensä, €])</f>
        <v>49920701</v>
      </c>
      <c r="AT8" s="16">
        <f>Maakunt.[[#This Row],[Jaettava € 1]]/Maakunt.[[#This Row],[Perus-, suoritus- ja vaikuttavuusrahoitus yhteensä, €]]</f>
        <v>0.66671227232966945</v>
      </c>
      <c r="AU8" s="13">
        <f>Maakunt.[[#This Row],[Suoriteperusteinen (opiskelijavuosiin perustuva) sekä harkinnanvarainen korotus, €]]/Maakunt.[[#This Row],[Perus-, suoritus- ja vaikuttavuusrahoitus yhteensä, €]]</f>
        <v>0.66807443268875566</v>
      </c>
      <c r="AV8" s="46">
        <f>Maakunt.[[#This Row],[Suoritusrahoitus, €]]/Maakunt.[[#This Row],[Perus-, suoritus- ja vaikuttavuusrahoitus yhteensä, €]]</f>
        <v>0.21873106309144177</v>
      </c>
      <c r="AW8" s="13">
        <f>Maakunt.[[#This Row],[Työllistymiseen ja jatko-opintoihin siirtymiseen, opiskelijapalautteiseen sekä työelämäpalautteeseen perustuva, €]]/Maakunt.[[#This Row],[Perus-, suoritus- ja vaikuttavuusrahoitus yhteensä, €]]</f>
        <v>0.11319450421980252</v>
      </c>
      <c r="AX8" s="13">
        <f>SUMIF(Ohj.lask.[Maakunta],Maakunt.[[#This Row],[Maakunta]],Ohj.lask.[Jaettava € 3])/Maakunt.[[#This Row],[Perus-, suoritus- ja vaikuttavuusrahoitus yhteensä, €]]</f>
        <v>7.9287328116646433E-2</v>
      </c>
      <c r="AY8" s="13">
        <f>SUMIF(Ohj.lask.[Maakunta],Maakunt.[[#This Row],[Maakunta]],Ohj.lask.[Jaettava € 4])/Maakunt.[[#This Row],[Perus-, suoritus- ja vaikuttavuusrahoitus yhteensä, €]]</f>
        <v>4.2701523762657097E-3</v>
      </c>
      <c r="AZ8" s="13">
        <f>SUMIF(Ohj.lask.[Maakunta],Maakunt.[[#This Row],[Maakunta]],Ohj.lask.[Jaettava € 5])/Maakunt.[[#This Row],[Perus-, suoritus- ja vaikuttavuusrahoitus yhteensä, €]]</f>
        <v>1.188338681381898E-2</v>
      </c>
      <c r="BA8" s="13">
        <f>SUMIF(Ohj.lask.[Maakunta],Maakunt.[[#This Row],[Maakunta]],Ohj.lask.[Jaettava € 6])/Maakunt.[[#This Row],[Perus-, suoritus- ja vaikuttavuusrahoitus yhteensä, €]]</f>
        <v>1.1896647845550086E-2</v>
      </c>
      <c r="BB8" s="38">
        <f>SUMIF(Ohj.lask.[Maakunta],Maakunt.[[#This Row],[Maakunta]],Ohj.lask.[Jaettava € 7])/Maakunt.[[#This Row],[Perus-, suoritus- ja vaikuttavuusrahoitus yhteensä, €]]</f>
        <v>5.8569890675213071E-3</v>
      </c>
      <c r="BC8" s="14">
        <f>SUMIF(Vertailu[Maakunta],Maakunt.[[#This Row],[Maakunta]],Vertailu[Rahoitus ml. hark. kor. 
2022 ilman alv, €])</f>
        <v>45945242</v>
      </c>
      <c r="BD8" s="15">
        <f>SUMIF(Vertailu[Maakunta],Maakunt.[[#This Row],[Maakunta]],Vertailu[Rahoitus ml. hark. kor. 
2023 ilman alv, €])</f>
        <v>49920701</v>
      </c>
      <c r="BE8" s="15">
        <f>SUMIF(Vertailu[Maakunta],Maakunt.[[#This Row],[Maakunta]],Vertailu[Muutos, € 2])</f>
        <v>3975459</v>
      </c>
      <c r="BF8" s="38">
        <f>IFERROR(Maakunt.[[#This Row],[Muutos, €]]/Maakunt.[[#This Row],[Rahoitus ml. hark. kor. 
2022 ilman alv, €]],0)</f>
        <v>8.6526021562798608E-2</v>
      </c>
    </row>
    <row r="9" spans="1:58" x14ac:dyDescent="0.3">
      <c r="A9" s="19" t="s">
        <v>188</v>
      </c>
      <c r="B9" s="19">
        <f>COUNTIF(Ohj.lask.[Maakunta],Maakunt.[[#This Row],[Maakunta]])</f>
        <v>1</v>
      </c>
      <c r="C9" s="19">
        <f>COUNTIFS(Ohj.lask.[Maakunta],Maakunt.[[#This Row],[Maakunta]],Ohj.lask.[Omistajatyyppi],"=yksityinen")</f>
        <v>0</v>
      </c>
      <c r="D9" s="19">
        <f>COUNTIFS(Ohj.lask.[Maakunta],Maakunt.[[#This Row],[Maakunta]],Ohj.lask.[Omistajatyyppi],"=kunta")</f>
        <v>1</v>
      </c>
      <c r="E9" s="19">
        <f>COUNTIFS(Ohj.lask.[Maakunta],Maakunt.[[#This Row],[Maakunta]],Ohj.lask.[Omistajatyyppi],"=kuntayhtymä")</f>
        <v>0</v>
      </c>
      <c r="F9" s="15">
        <f>SUMIF(Ohj.lask.[Maakunta],Maakunt.[[#This Row],[Maakunta]],Ohj.lask.[Järjestämisluvan opisk.vuosien vähimmäismäärä])</f>
        <v>2596</v>
      </c>
      <c r="G9" s="14">
        <f>SUMIF(Ohj.lask.[Maakunta],Maakunt.[[#This Row],[Maakunta]],Ohj.lask.[Suoritepäätöksellä jaettavat opisk.vuodet (luvan ylittävä osuus)])</f>
        <v>233</v>
      </c>
      <c r="H9" s="14">
        <f>SUMIF(Ohj.lask.[Maakunta],Maakunt.[[#This Row],[Maakunta]],Ohj.lask.[Tavoitteelliset opiskelija-vuodet])</f>
        <v>2829</v>
      </c>
      <c r="I9" s="77">
        <f>Maakunt.[[#This Row],[Painotetut opiskelija-vuodet]]/Maakunt.[[#This Row],[Tavoitteelliset opiske-lijavuodet]]</f>
        <v>1.0856839872746553</v>
      </c>
      <c r="J9" s="78">
        <f>SUMIF(Ohj.lask.[Maakunta],Maakunt.[[#This Row],[Maakunta]],Ohj.lask.[Painotetut opiskelija-vuodet])</f>
        <v>3071.4</v>
      </c>
      <c r="K9" s="13">
        <f>SUMIF(Ohj.lask.[Maakunta],Maakunt.[[#This Row],[Maakunta]],Ohj.lask.[%-osuus 1])</f>
        <v>1.4217917334804776E-2</v>
      </c>
      <c r="L9" s="14">
        <f>SUMIF(Ohj.lask.[Maakunta],Maakunt.[[#This Row],[Maakunta]],Ohj.lask.[Jaettava € 1])</f>
        <v>19956781</v>
      </c>
      <c r="M9" s="15">
        <f>SUMIF(Ohj.lask.[Maakunta],Maakunt.[[#This Row],[Maakunta]],Ohj.lask.[Painotetut pisteet 2])</f>
        <v>218314.6</v>
      </c>
      <c r="N9" s="13">
        <f>SUMIF(Ohj.lask.[Maakunta],Maakunt.[[#This Row],[Maakunta]],Ohj.lask.[%-osuus 2])</f>
        <v>1.4058688594573284E-2</v>
      </c>
      <c r="O9" s="14">
        <f>SUMIF(Ohj.lask.[Maakunta],Maakunt.[[#This Row],[Maakunta]],Ohj.lask.[Jaettava € 2])</f>
        <v>5758186</v>
      </c>
      <c r="P9" s="15">
        <f>SUMIF(Ohj.lask.[Maakunta],Maakunt.[[#This Row],[Maakunta]],Ohj.lask.[Painotetut pisteet 3])</f>
        <v>4945.8999999999996</v>
      </c>
      <c r="Q9" s="13">
        <f>SUMIF(Ohj.lask.[Maakunta],Maakunt.[[#This Row],[Maakunta]],Ohj.lask.[%-osuus 3])</f>
        <v>1.5880630216255145E-2</v>
      </c>
      <c r="R9" s="14">
        <f>SUMIF(Ohj.lask.[Maakunta],Maakunt.[[#This Row],[Maakunta]],Ohj.lask.[Jaettava € 3])</f>
        <v>2276547</v>
      </c>
      <c r="S9" s="15">
        <f>SUMIF(Ohj.lask.[Maakunta],Maakunt.[[#This Row],[Maakunta]],Ohj.lask.[Painotetut pisteet 4])</f>
        <v>26667.599999999999</v>
      </c>
      <c r="T9" s="13">
        <f>SUMIF(Ohj.lask.[Maakunta],Maakunt.[[#This Row],[Maakunta]],Ohj.lask.[%-osuus 4])</f>
        <v>1.7002388326908778E-2</v>
      </c>
      <c r="U9" s="14">
        <f>SUMIF(Ohj.lask.[Maakunta],Maakunt.[[#This Row],[Maakunta]],Ohj.lask.[Jaettava € 4])</f>
        <v>130573</v>
      </c>
      <c r="V9" s="15">
        <f>SUMIF(Ohj.lask.[Maakunta],Maakunt.[[#This Row],[Maakunta]],Ohj.lask.[Painotetut pisteet 5])</f>
        <v>169446.5</v>
      </c>
      <c r="W9" s="13">
        <f>SUMIF(Ohj.lask.[Maakunta],Maakunt.[[#This Row],[Maakunta]],Ohj.lask.[%-osuus 5])</f>
        <v>1.7806193595982896E-2</v>
      </c>
      <c r="X9" s="20">
        <f>SUMIF(Ohj.lask.[Maakunta],Maakunt.[[#This Row],[Maakunta]],Ohj.lask.[Jaettava € 5])</f>
        <v>410237</v>
      </c>
      <c r="Y9" s="15">
        <f>SUMIF(Ohj.lask.[Maakunta],Maakunt.[[#This Row],[Maakunta]],Ohj.lask.[Painotetut pisteet 6])</f>
        <v>11144411.6</v>
      </c>
      <c r="Z9" s="13">
        <f>SUMIF(Ohj.lask.[Maakunta],Maakunt.[[#This Row],[Maakunta]],Ohj.lask.[%-osuus 6])</f>
        <v>2.7891134258005511E-2</v>
      </c>
      <c r="AA9" s="20">
        <f>SUMIF(Ohj.lask.[Maakunta],Maakunt.[[#This Row],[Maakunta]],Ohj.lask.[Jaettava € 6])</f>
        <v>642584</v>
      </c>
      <c r="AB9" s="14">
        <f>SUMIF(Ohj.lask.[Maakunta],Maakunt.[[#This Row],[Maakunta]],Ohj.lask.[Pisteet 7])</f>
        <v>7739992.9000000004</v>
      </c>
      <c r="AC9" s="13">
        <f>SUMIF(Ohj.lask.[Maakunta],Maakunt.[[#This Row],[Maakunta]],Ohj.lask.[%-osuus 7])</f>
        <v>4.0488651454244726E-2</v>
      </c>
      <c r="AD9" s="14">
        <f>SUMIF(Ohj.lask.[Maakunta],Maakunt.[[#This Row],[Maakunta]],Ohj.lask.[Jaettava € 7])</f>
        <v>310939</v>
      </c>
      <c r="AE9" s="16">
        <f>SUMIF(Ohj.lask.[Maakunta],Maakunt.[[#This Row],[Maakunta]],Ohj.lask.[%-osuus 8])</f>
        <v>1.4611355548959395E-2</v>
      </c>
      <c r="AF9" s="14">
        <f>SUMIF(Ohj.lask.[Maakunta],Maakunt.[[#This Row],[Maakunta]],Ohj.lask.[Jaettava € 8])</f>
        <v>29485847</v>
      </c>
      <c r="AG9" s="37">
        <f>SUMIF(Ohj.lask.[Maakunta],Maakunt.[[#This Row],[Maakunta]],Ohj.lask.[Harkinnanvarainen korotus 1, €])</f>
        <v>0</v>
      </c>
      <c r="AH9" s="37">
        <f>SUMIF(Ohj.lask.[Maakunta],Maakunt.[[#This Row],[Maakunta]],Ohj.lask.[Harkinnanvarainen korotus 2, €])</f>
        <v>0</v>
      </c>
      <c r="AI9" s="37">
        <f>SUMIF(Ohj.lask.[Maakunta],Maakunt.[[#This Row],[Maakunta]],Ohj.lask.[Harkinnanvarainen korotus 3, €])</f>
        <v>0</v>
      </c>
      <c r="AJ9" s="37">
        <f>SUMIF(Ohj.lask.[Maakunta],Maakunt.[[#This Row],[Maakunta]],Ohj.lask.[Harkinnanvarainen korotus 4, €])</f>
        <v>0</v>
      </c>
      <c r="AK9" s="37">
        <f>SUMIF(Ohj.lask.[Maakunta],Maakunt.[[#This Row],[Maakunta]],Ohj.lask.[Harkinnanvarainen korotus 5, €])</f>
        <v>0</v>
      </c>
      <c r="AL9" s="37">
        <f>SUMIF(Ohj.lask.[Maakunta],Maakunt.[[#This Row],[Maakunta]],Ohj.lask.[Harkinnanvarainen korotus 6, €])</f>
        <v>0</v>
      </c>
      <c r="AM9" s="14">
        <f>SUMIF(Ohj.lask.[Maakunta],Maakunt.[[#This Row],[Maakunta]],Ohj.lask.[Harkinnanvarainen korotus 7, €])</f>
        <v>68000</v>
      </c>
      <c r="AN9" s="20">
        <f>SUMIF(Ohj.lask.[Maakunta],Maakunt.[[#This Row],[Maakunta]],Ohj.lask.[Harkinnanvarainen korotus 8, €])</f>
        <v>0</v>
      </c>
      <c r="AO9" s="14">
        <f>SUM(Maakunt.[[#This Row],[Harkinnanvarainen korotus 8, €]],Maakunt.[[#This Row],[Harkinnanvarainen korotus 7, €]],Maakunt.[[#This Row],[Harkinnanvarainen korotus 6, €]],Maakunt.[[#This Row],[Harkinnanvarainen korotus 5, €]],Maakunt.[[#This Row],[Harkinnanvarainen korotus 4, €]],Maakunt.[[#This Row],[Harkinnanvarainen korotus 3, €]],Maakunt.[[#This Row],[Harkinnanvarainen korotus 2, €]],Maakunt.[[#This Row],[Harkinnanvarainen korotus 1, €]])</f>
        <v>68000</v>
      </c>
      <c r="AP9" s="15">
        <f>SUMIF(Ohj.lask.[Maakunta],Maakunt.[[#This Row],[Maakunta]],Ohj.lask.[Suoriteperusteinen (opiskelijavuosiin perustuva) sekä harkinnanvarainen korotus, €])</f>
        <v>20024781</v>
      </c>
      <c r="AQ9" s="15">
        <f>SUMIF(Ohj.lask.[Maakunta],Maakunt.[[#This Row],[Maakunta]],Ohj.lask.[Suoritusrahoitus, €])</f>
        <v>5758186</v>
      </c>
      <c r="AR9" s="15">
        <f>SUMIF(Ohj.lask.[Maakunta],Maakunt.[[#This Row],[Maakunta]],Ohj.lask.[Työllistymiseen ja jatko-opintoihin siirtymiseen, opiskelijapalautteiseen sekä työelämäpalautteeseen perustuva, €])</f>
        <v>3770880</v>
      </c>
      <c r="AS9" s="37">
        <f>SUMIF(Ohj.lask.[Maakunta],Maakunt.[[#This Row],[Maakunta]],Ohj.lask.[Perus-, suoritus- ja vaikuttavuusrahoitus yhteensä, €])</f>
        <v>29553847</v>
      </c>
      <c r="AT9" s="16">
        <f>Maakunt.[[#This Row],[Jaettava € 1]]/Maakunt.[[#This Row],[Perus-, suoritus- ja vaikuttavuusrahoitus yhteensä, €]]</f>
        <v>0.67526846843322974</v>
      </c>
      <c r="AU9" s="13">
        <f>Maakunt.[[#This Row],[Suoriteperusteinen (opiskelijavuosiin perustuva) sekä harkinnanvarainen korotus, €]]/Maakunt.[[#This Row],[Perus-, suoritus- ja vaikuttavuusrahoitus yhteensä, €]]</f>
        <v>0.67756935332310542</v>
      </c>
      <c r="AV9" s="46">
        <f>Maakunt.[[#This Row],[Suoritusrahoitus, €]]/Maakunt.[[#This Row],[Perus-, suoritus- ja vaikuttavuusrahoitus yhteensä, €]]</f>
        <v>0.19483710530138429</v>
      </c>
      <c r="AW9" s="13">
        <f>Maakunt.[[#This Row],[Työllistymiseen ja jatko-opintoihin siirtymiseen, opiskelijapalautteiseen sekä työelämäpalautteeseen perustuva, €]]/Maakunt.[[#This Row],[Perus-, suoritus- ja vaikuttavuusrahoitus yhteensä, €]]</f>
        <v>0.12759354137551027</v>
      </c>
      <c r="AX9" s="13">
        <f>SUMIF(Ohj.lask.[Maakunta],Maakunt.[[#This Row],[Maakunta]],Ohj.lask.[Jaettava € 3])/Maakunt.[[#This Row],[Perus-, suoritus- ja vaikuttavuusrahoitus yhteensä, €]]</f>
        <v>7.7030479314588049E-2</v>
      </c>
      <c r="AY9" s="13">
        <f>SUMIF(Ohj.lask.[Maakunta],Maakunt.[[#This Row],[Maakunta]],Ohj.lask.[Jaettava € 4])/Maakunt.[[#This Row],[Perus-, suoritus- ja vaikuttavuusrahoitus yhteensä, €]]</f>
        <v>4.4181388636139315E-3</v>
      </c>
      <c r="AZ9" s="13">
        <f>SUMIF(Ohj.lask.[Maakunta],Maakunt.[[#This Row],[Maakunta]],Ohj.lask.[Jaettava € 5])/Maakunt.[[#This Row],[Perus-, suoritus- ja vaikuttavuusrahoitus yhteensä, €]]</f>
        <v>1.3881001684822961E-2</v>
      </c>
      <c r="BA9" s="13">
        <f>SUMIF(Ohj.lask.[Maakunta],Maakunt.[[#This Row],[Maakunta]],Ohj.lask.[Jaettava € 6])/Maakunt.[[#This Row],[Perus-, suoritus- ja vaikuttavuusrahoitus yhteensä, €]]</f>
        <v>2.1742820824645941E-2</v>
      </c>
      <c r="BB9" s="38">
        <f>SUMIF(Ohj.lask.[Maakunta],Maakunt.[[#This Row],[Maakunta]],Ohj.lask.[Jaettava € 7])/Maakunt.[[#This Row],[Perus-, suoritus- ja vaikuttavuusrahoitus yhteensä, €]]</f>
        <v>1.0521100687839386E-2</v>
      </c>
      <c r="BC9" s="14">
        <f>SUMIF(Vertailu[Maakunta],Maakunt.[[#This Row],[Maakunta]],Vertailu[Rahoitus ml. hark. kor. 
2022 ilman alv, €])</f>
        <v>27333269</v>
      </c>
      <c r="BD9" s="15">
        <f>SUMIF(Vertailu[Maakunta],Maakunt.[[#This Row],[Maakunta]],Vertailu[Rahoitus ml. hark. kor. 
2023 ilman alv, €])</f>
        <v>29553847</v>
      </c>
      <c r="BE9" s="15">
        <f>SUMIF(Vertailu[Maakunta],Maakunt.[[#This Row],[Maakunta]],Vertailu[Muutos, € 2])</f>
        <v>2220578</v>
      </c>
      <c r="BF9" s="38">
        <f>IFERROR(Maakunt.[[#This Row],[Muutos, €]]/Maakunt.[[#This Row],[Rahoitus ml. hark. kor. 
2022 ilman alv, €]],0)</f>
        <v>8.1240849749804903E-2</v>
      </c>
    </row>
    <row r="10" spans="1:58" x14ac:dyDescent="0.3">
      <c r="A10" s="19" t="s">
        <v>265</v>
      </c>
      <c r="B10" s="19">
        <f>COUNTIF(Ohj.lask.[Maakunta],Maakunt.[[#This Row],[Maakunta]])</f>
        <v>6</v>
      </c>
      <c r="C10" s="19">
        <f>COUNTIFS(Ohj.lask.[Maakunta],Maakunt.[[#This Row],[Maakunta]],Ohj.lask.[Omistajatyyppi],"=yksityinen")</f>
        <v>4</v>
      </c>
      <c r="D10" s="19">
        <f>COUNTIFS(Ohj.lask.[Maakunta],Maakunt.[[#This Row],[Maakunta]],Ohj.lask.[Omistajatyyppi],"=kunta")</f>
        <v>0</v>
      </c>
      <c r="E10" s="19">
        <f>COUNTIFS(Ohj.lask.[Maakunta],Maakunt.[[#This Row],[Maakunta]],Ohj.lask.[Omistajatyyppi],"=kuntayhtymä")</f>
        <v>2</v>
      </c>
      <c r="F10" s="15">
        <f>SUMIF(Ohj.lask.[Maakunta],Maakunt.[[#This Row],[Maakunta]],Ohj.lask.[Järjestämisluvan opisk.vuosien vähimmäismäärä])</f>
        <v>4633</v>
      </c>
      <c r="G10" s="14">
        <f>SUMIF(Ohj.lask.[Maakunta],Maakunt.[[#This Row],[Maakunta]],Ohj.lask.[Suoritepäätöksellä jaettavat opisk.vuodet (luvan ylittävä osuus)])</f>
        <v>565</v>
      </c>
      <c r="H10" s="14">
        <f>SUMIF(Ohj.lask.[Maakunta],Maakunt.[[#This Row],[Maakunta]],Ohj.lask.[Tavoitteelliset opiskelija-vuodet])</f>
        <v>5198</v>
      </c>
      <c r="I10" s="77">
        <f>Maakunt.[[#This Row],[Painotetut opiskelija-vuodet]]/Maakunt.[[#This Row],[Tavoitteelliset opiske-lijavuodet]]</f>
        <v>1.7104848018468644</v>
      </c>
      <c r="J10" s="78">
        <f>SUMIF(Ohj.lask.[Maakunta],Maakunt.[[#This Row],[Maakunta]],Ohj.lask.[Painotetut opiskelija-vuodet])</f>
        <v>8891.1</v>
      </c>
      <c r="K10" s="13">
        <f>SUMIF(Ohj.lask.[Maakunta],Maakunt.[[#This Row],[Maakunta]],Ohj.lask.[%-osuus 1])</f>
        <v>4.1158079317406643E-2</v>
      </c>
      <c r="L10" s="14">
        <f>SUMIF(Ohj.lask.[Maakunta],Maakunt.[[#This Row],[Maakunta]],Ohj.lask.[Jaettava € 1])</f>
        <v>57770961</v>
      </c>
      <c r="M10" s="15">
        <f>SUMIF(Ohj.lask.[Maakunta],Maakunt.[[#This Row],[Maakunta]],Ohj.lask.[Painotetut pisteet 2])</f>
        <v>533515.79999999993</v>
      </c>
      <c r="N10" s="13">
        <f>SUMIF(Ohj.lask.[Maakunta],Maakunt.[[#This Row],[Maakunta]],Ohj.lask.[%-osuus 2])</f>
        <v>3.435653177792343E-2</v>
      </c>
      <c r="O10" s="14">
        <f>SUMIF(Ohj.lask.[Maakunta],Maakunt.[[#This Row],[Maakunta]],Ohj.lask.[Jaettava € 2])</f>
        <v>14071816</v>
      </c>
      <c r="P10" s="15">
        <f>SUMIF(Ohj.lask.[Maakunta],Maakunt.[[#This Row],[Maakunta]],Ohj.lask.[Painotetut pisteet 3])</f>
        <v>8297</v>
      </c>
      <c r="Q10" s="13">
        <f>SUMIF(Ohj.lask.[Maakunta],Maakunt.[[#This Row],[Maakunta]],Ohj.lask.[%-osuus 3])</f>
        <v>2.6640568734561752E-2</v>
      </c>
      <c r="R10" s="14">
        <f>SUMIF(Ohj.lask.[Maakunta],Maakunt.[[#This Row],[Maakunta]],Ohj.lask.[Jaettava € 3])</f>
        <v>3819024</v>
      </c>
      <c r="S10" s="15">
        <f>SUMIF(Ohj.lask.[Maakunta],Maakunt.[[#This Row],[Maakunta]],Ohj.lask.[Painotetut pisteet 4])</f>
        <v>40924</v>
      </c>
      <c r="T10" s="13">
        <f>SUMIF(Ohj.lask.[Maakunta],Maakunt.[[#This Row],[Maakunta]],Ohj.lask.[%-osuus 4])</f>
        <v>2.6091802032819408E-2</v>
      </c>
      <c r="U10" s="14">
        <f>SUMIF(Ohj.lask.[Maakunta],Maakunt.[[#This Row],[Maakunta]],Ohj.lask.[Jaettava € 4])</f>
        <v>200375</v>
      </c>
      <c r="V10" s="15">
        <f>SUMIF(Ohj.lask.[Maakunta],Maakunt.[[#This Row],[Maakunta]],Ohj.lask.[Painotetut pisteet 5])</f>
        <v>278186.69999999995</v>
      </c>
      <c r="W10" s="13">
        <f>SUMIF(Ohj.lask.[Maakunta],Maakunt.[[#This Row],[Maakunta]],Ohj.lask.[%-osuus 5])</f>
        <v>2.923309856519677E-2</v>
      </c>
      <c r="X10" s="20">
        <f>SUMIF(Ohj.lask.[Maakunta],Maakunt.[[#This Row],[Maakunta]],Ohj.lask.[Jaettava € 5])</f>
        <v>673500</v>
      </c>
      <c r="Y10" s="15">
        <f>SUMIF(Ohj.lask.[Maakunta],Maakunt.[[#This Row],[Maakunta]],Ohj.lask.[Painotetut pisteet 6])</f>
        <v>15574059.799999999</v>
      </c>
      <c r="Z10" s="13">
        <f>SUMIF(Ohj.lask.[Maakunta],Maakunt.[[#This Row],[Maakunta]],Ohj.lask.[%-osuus 6])</f>
        <v>3.8977220908101282E-2</v>
      </c>
      <c r="AA10" s="20">
        <f>SUMIF(Ohj.lask.[Maakunta],Maakunt.[[#This Row],[Maakunta]],Ohj.lask.[Jaettava € 6])</f>
        <v>897996</v>
      </c>
      <c r="AB10" s="14">
        <f>SUMIF(Ohj.lask.[Maakunta],Maakunt.[[#This Row],[Maakunta]],Ohj.lask.[Pisteet 7])</f>
        <v>9091232.5999999996</v>
      </c>
      <c r="AC10" s="13">
        <f>SUMIF(Ohj.lask.[Maakunta],Maakunt.[[#This Row],[Maakunta]],Ohj.lask.[%-osuus 7])</f>
        <v>4.7557117013746486E-2</v>
      </c>
      <c r="AD10" s="14">
        <f>SUMIF(Ohj.lask.[Maakunta],Maakunt.[[#This Row],[Maakunta]],Ohj.lask.[Jaettava € 7])</f>
        <v>365223</v>
      </c>
      <c r="AE10" s="16">
        <f>SUMIF(Ohj.lask.[Maakunta],Maakunt.[[#This Row],[Maakunta]],Ohj.lask.[%-osuus 8])</f>
        <v>3.8552303285069582E-2</v>
      </c>
      <c r="AF10" s="14">
        <f>SUMIF(Ohj.lask.[Maakunta],Maakunt.[[#This Row],[Maakunta]],Ohj.lask.[Jaettava € 8])</f>
        <v>77798895</v>
      </c>
      <c r="AG10" s="37">
        <f>SUMIF(Ohj.lask.[Maakunta],Maakunt.[[#This Row],[Maakunta]],Ohj.lask.[Harkinnanvarainen korotus 1, €])</f>
        <v>0</v>
      </c>
      <c r="AH10" s="37">
        <f>SUMIF(Ohj.lask.[Maakunta],Maakunt.[[#This Row],[Maakunta]],Ohj.lask.[Harkinnanvarainen korotus 2, €])</f>
        <v>220000</v>
      </c>
      <c r="AI10" s="37">
        <f>SUMIF(Ohj.lask.[Maakunta],Maakunt.[[#This Row],[Maakunta]],Ohj.lask.[Harkinnanvarainen korotus 3, €])</f>
        <v>0</v>
      </c>
      <c r="AJ10" s="37">
        <f>SUMIF(Ohj.lask.[Maakunta],Maakunt.[[#This Row],[Maakunta]],Ohj.lask.[Harkinnanvarainen korotus 4, €])</f>
        <v>0</v>
      </c>
      <c r="AK10" s="37">
        <f>SUMIF(Ohj.lask.[Maakunta],Maakunt.[[#This Row],[Maakunta]],Ohj.lask.[Harkinnanvarainen korotus 5, €])</f>
        <v>0</v>
      </c>
      <c r="AL10" s="37">
        <f>SUMIF(Ohj.lask.[Maakunta],Maakunt.[[#This Row],[Maakunta]],Ohj.lask.[Harkinnanvarainen korotus 6, €])</f>
        <v>0</v>
      </c>
      <c r="AM10" s="14">
        <f>SUMIF(Ohj.lask.[Maakunta],Maakunt.[[#This Row],[Maakunta]],Ohj.lask.[Harkinnanvarainen korotus 7, €])</f>
        <v>105000</v>
      </c>
      <c r="AN10" s="20">
        <f>SUMIF(Ohj.lask.[Maakunta],Maakunt.[[#This Row],[Maakunta]],Ohj.lask.[Harkinnanvarainen korotus 8, €])</f>
        <v>0</v>
      </c>
      <c r="AO10" s="14">
        <f>SUM(Maakunt.[[#This Row],[Harkinnanvarainen korotus 8, €]],Maakunt.[[#This Row],[Harkinnanvarainen korotus 7, €]],Maakunt.[[#This Row],[Harkinnanvarainen korotus 6, €]],Maakunt.[[#This Row],[Harkinnanvarainen korotus 5, €]],Maakunt.[[#This Row],[Harkinnanvarainen korotus 4, €]],Maakunt.[[#This Row],[Harkinnanvarainen korotus 3, €]],Maakunt.[[#This Row],[Harkinnanvarainen korotus 2, €]],Maakunt.[[#This Row],[Harkinnanvarainen korotus 1, €]])</f>
        <v>325000</v>
      </c>
      <c r="AP10" s="15">
        <f>SUMIF(Ohj.lask.[Maakunta],Maakunt.[[#This Row],[Maakunta]],Ohj.lask.[Suoriteperusteinen (opiskelijavuosiin perustuva) sekä harkinnanvarainen korotus, €])</f>
        <v>58095961</v>
      </c>
      <c r="AQ10" s="15">
        <f>SUMIF(Ohj.lask.[Maakunta],Maakunt.[[#This Row],[Maakunta]],Ohj.lask.[Suoritusrahoitus, €])</f>
        <v>14071816</v>
      </c>
      <c r="AR10" s="15">
        <f>SUMIF(Ohj.lask.[Maakunta],Maakunt.[[#This Row],[Maakunta]],Ohj.lask.[Työllistymiseen ja jatko-opintoihin siirtymiseen, opiskelijapalautteiseen sekä työelämäpalautteeseen perustuva, €])</f>
        <v>5956118</v>
      </c>
      <c r="AS10" s="37">
        <f>SUMIF(Ohj.lask.[Maakunta],Maakunt.[[#This Row],[Maakunta]],Ohj.lask.[Perus-, suoritus- ja vaikuttavuusrahoitus yhteensä, €])</f>
        <v>78123895</v>
      </c>
      <c r="AT10" s="16">
        <f>Maakunt.[[#This Row],[Jaettava € 1]]/Maakunt.[[#This Row],[Perus-, suoritus- ja vaikuttavuusrahoitus yhteensä, €]]</f>
        <v>0.73947875998758128</v>
      </c>
      <c r="AU10" s="13">
        <f>Maakunt.[[#This Row],[Suoriteperusteinen (opiskelijavuosiin perustuva) sekä harkinnanvarainen korotus, €]]/Maakunt.[[#This Row],[Perus-, suoritus- ja vaikuttavuusrahoitus yhteensä, €]]</f>
        <v>0.74363881882745353</v>
      </c>
      <c r="AV10" s="46">
        <f>Maakunt.[[#This Row],[Suoritusrahoitus, €]]/Maakunt.[[#This Row],[Perus-, suoritus- ja vaikuttavuusrahoitus yhteensä, €]]</f>
        <v>0.18012179244263229</v>
      </c>
      <c r="AW10" s="13">
        <f>Maakunt.[[#This Row],[Työllistymiseen ja jatko-opintoihin siirtymiseen, opiskelijapalautteiseen sekä työelämäpalautteeseen perustuva, €]]/Maakunt.[[#This Row],[Perus-, suoritus- ja vaikuttavuusrahoitus yhteensä, €]]</f>
        <v>7.623938872991419E-2</v>
      </c>
      <c r="AX10" s="13">
        <f>SUMIF(Ohj.lask.[Maakunta],Maakunt.[[#This Row],[Maakunta]],Ohj.lask.[Jaettava € 3])/Maakunt.[[#This Row],[Perus-, suoritus- ja vaikuttavuusrahoitus yhteensä, €]]</f>
        <v>4.8884198618105251E-2</v>
      </c>
      <c r="AY10" s="13">
        <f>SUMIF(Ohj.lask.[Maakunta],Maakunt.[[#This Row],[Maakunta]],Ohj.lask.[Jaettava € 4])/Maakunt.[[#This Row],[Perus-, suoritus- ja vaikuttavuusrahoitus yhteensä, €]]</f>
        <v>2.5648362770443025E-3</v>
      </c>
      <c r="AZ10" s="13">
        <f>SUMIF(Ohj.lask.[Maakunta],Maakunt.[[#This Row],[Maakunta]],Ohj.lask.[Jaettava € 5])/Maakunt.[[#This Row],[Perus-, suoritus- ja vaikuttavuusrahoitus yhteensä, €]]</f>
        <v>8.6209219343198387E-3</v>
      </c>
      <c r="BA10" s="13">
        <f>SUMIF(Ohj.lask.[Maakunta],Maakunt.[[#This Row],[Maakunta]],Ohj.lask.[Jaettava € 6])/Maakunt.[[#This Row],[Perus-, suoritus- ja vaikuttavuusrahoitus yhteensä, €]]</f>
        <v>1.1494511378368936E-2</v>
      </c>
      <c r="BB10" s="38">
        <f>SUMIF(Ohj.lask.[Maakunta],Maakunt.[[#This Row],[Maakunta]],Ohj.lask.[Jaettava € 7])/Maakunt.[[#This Row],[Perus-, suoritus- ja vaikuttavuusrahoitus yhteensä, €]]</f>
        <v>4.6749205220758643E-3</v>
      </c>
      <c r="BC10" s="14">
        <f>SUMIF(Vertailu[Maakunta],Maakunt.[[#This Row],[Maakunta]],Vertailu[Rahoitus ml. hark. kor. 
2022 ilman alv, €])</f>
        <v>71975586</v>
      </c>
      <c r="BD10" s="15">
        <f>SUMIF(Vertailu[Maakunta],Maakunt.[[#This Row],[Maakunta]],Vertailu[Rahoitus ml. hark. kor. 
2023 ilman alv, €])</f>
        <v>78123895</v>
      </c>
      <c r="BE10" s="15">
        <f>SUMIF(Vertailu[Maakunta],Maakunt.[[#This Row],[Maakunta]],Vertailu[Muutos, € 2])</f>
        <v>6148309</v>
      </c>
      <c r="BF10" s="38">
        <f>IFERROR(Maakunt.[[#This Row],[Muutos, €]]/Maakunt.[[#This Row],[Rahoitus ml. hark. kor. 
2022 ilman alv, €]],0)</f>
        <v>8.5422145781487629E-2</v>
      </c>
    </row>
    <row r="11" spans="1:58" x14ac:dyDescent="0.3">
      <c r="A11" s="19" t="s">
        <v>275</v>
      </c>
      <c r="B11" s="19">
        <f>COUNTIF(Ohj.lask.[Maakunta],Maakunt.[[#This Row],[Maakunta]])</f>
        <v>2</v>
      </c>
      <c r="C11" s="19">
        <f>COUNTIFS(Ohj.lask.[Maakunta],Maakunt.[[#This Row],[Maakunta]],Ohj.lask.[Omistajatyyppi],"=yksityinen")</f>
        <v>1</v>
      </c>
      <c r="D11" s="19">
        <f>COUNTIFS(Ohj.lask.[Maakunta],Maakunt.[[#This Row],[Maakunta]],Ohj.lask.[Omistajatyyppi],"=kunta")</f>
        <v>0</v>
      </c>
      <c r="E11" s="19">
        <f>COUNTIFS(Ohj.lask.[Maakunta],Maakunt.[[#This Row],[Maakunta]],Ohj.lask.[Omistajatyyppi],"=kuntayhtymä")</f>
        <v>1</v>
      </c>
      <c r="F11" s="15">
        <f>SUMIF(Ohj.lask.[Maakunta],Maakunt.[[#This Row],[Maakunta]],Ohj.lask.[Järjestämisluvan opisk.vuosien vähimmäismäärä])</f>
        <v>2615</v>
      </c>
      <c r="G11" s="14">
        <f>SUMIF(Ohj.lask.[Maakunta],Maakunt.[[#This Row],[Maakunta]],Ohj.lask.[Suoritepäätöksellä jaettavat opisk.vuodet (luvan ylittävä osuus)])</f>
        <v>77</v>
      </c>
      <c r="H11" s="14">
        <f>SUMIF(Ohj.lask.[Maakunta],Maakunt.[[#This Row],[Maakunta]],Ohj.lask.[Tavoitteelliset opiskelija-vuodet])</f>
        <v>2692</v>
      </c>
      <c r="I11" s="77">
        <f>Maakunt.[[#This Row],[Painotetut opiskelija-vuodet]]/Maakunt.[[#This Row],[Tavoitteelliset opiske-lijavuodet]]</f>
        <v>1.2229940564635959</v>
      </c>
      <c r="J11" s="78">
        <f>SUMIF(Ohj.lask.[Maakunta],Maakunt.[[#This Row],[Maakunta]],Ohj.lask.[Painotetut opiskelija-vuodet])</f>
        <v>3292.3</v>
      </c>
      <c r="K11" s="13">
        <f>SUMIF(Ohj.lask.[Maakunta],Maakunt.[[#This Row],[Maakunta]],Ohj.lask.[%-osuus 1])</f>
        <v>1.5240492687822413E-2</v>
      </c>
      <c r="L11" s="14">
        <f>SUMIF(Ohj.lask.[Maakunta],Maakunt.[[#This Row],[Maakunta]],Ohj.lask.[Jaettava € 1])</f>
        <v>21392104</v>
      </c>
      <c r="M11" s="15">
        <f>SUMIF(Ohj.lask.[Maakunta],Maakunt.[[#This Row],[Maakunta]],Ohj.lask.[Painotetut pisteet 2])</f>
        <v>271041.3</v>
      </c>
      <c r="N11" s="13">
        <f>SUMIF(Ohj.lask.[Maakunta],Maakunt.[[#This Row],[Maakunta]],Ohj.lask.[%-osuus 2])</f>
        <v>1.7454101709039688E-2</v>
      </c>
      <c r="O11" s="14">
        <f>SUMIF(Ohj.lask.[Maakunta],Maakunt.[[#This Row],[Maakunta]],Ohj.lask.[Jaettava € 2])</f>
        <v>7148886</v>
      </c>
      <c r="P11" s="15">
        <f>SUMIF(Ohj.lask.[Maakunta],Maakunt.[[#This Row],[Maakunta]],Ohj.lask.[Painotetut pisteet 3])</f>
        <v>5372.4</v>
      </c>
      <c r="Q11" s="13">
        <f>SUMIF(Ohj.lask.[Maakunta],Maakunt.[[#This Row],[Maakunta]],Ohj.lask.[%-osuus 3])</f>
        <v>1.7250065260884601E-2</v>
      </c>
      <c r="R11" s="14">
        <f>SUMIF(Ohj.lask.[Maakunta],Maakunt.[[#This Row],[Maakunta]],Ohj.lask.[Jaettava € 3])</f>
        <v>2472860</v>
      </c>
      <c r="S11" s="15">
        <f>SUMIF(Ohj.lask.[Maakunta],Maakunt.[[#This Row],[Maakunta]],Ohj.lask.[Painotetut pisteet 4])</f>
        <v>24014.3</v>
      </c>
      <c r="T11" s="13">
        <f>SUMIF(Ohj.lask.[Maakunta],Maakunt.[[#This Row],[Maakunta]],Ohj.lask.[%-osuus 4])</f>
        <v>1.5310731149367979E-2</v>
      </c>
      <c r="U11" s="14">
        <f>SUMIF(Ohj.lask.[Maakunta],Maakunt.[[#This Row],[Maakunta]],Ohj.lask.[Jaettava € 4])</f>
        <v>117581</v>
      </c>
      <c r="V11" s="15">
        <f>SUMIF(Ohj.lask.[Maakunta],Maakunt.[[#This Row],[Maakunta]],Ohj.lask.[Painotetut pisteet 5])</f>
        <v>157797.6</v>
      </c>
      <c r="W11" s="13">
        <f>SUMIF(Ohj.lask.[Maakunta],Maakunt.[[#This Row],[Maakunta]],Ohj.lask.[%-osuus 5])</f>
        <v>1.6582075254321985E-2</v>
      </c>
      <c r="X11" s="20">
        <f>SUMIF(Ohj.lask.[Maakunta],Maakunt.[[#This Row],[Maakunta]],Ohj.lask.[Jaettava € 5])</f>
        <v>382034</v>
      </c>
      <c r="Y11" s="15">
        <f>SUMIF(Ohj.lask.[Maakunta],Maakunt.[[#This Row],[Maakunta]],Ohj.lask.[Painotetut pisteet 6])</f>
        <v>12461074.699999999</v>
      </c>
      <c r="Z11" s="13">
        <f>SUMIF(Ohj.lask.[Maakunta],Maakunt.[[#This Row],[Maakunta]],Ohj.lask.[%-osuus 6])</f>
        <v>3.1186348811518747E-2</v>
      </c>
      <c r="AA11" s="20">
        <f>SUMIF(Ohj.lask.[Maakunta],Maakunt.[[#This Row],[Maakunta]],Ohj.lask.[Jaettava € 6])</f>
        <v>718502</v>
      </c>
      <c r="AB11" s="14">
        <f>SUMIF(Ohj.lask.[Maakunta],Maakunt.[[#This Row],[Maakunta]],Ohj.lask.[Pisteet 7])</f>
        <v>11575962.300000001</v>
      </c>
      <c r="AC11" s="13">
        <f>SUMIF(Ohj.lask.[Maakunta],Maakunt.[[#This Row],[Maakunta]],Ohj.lask.[%-osuus 7])</f>
        <v>6.0554978391798922E-2</v>
      </c>
      <c r="AD11" s="14">
        <f>SUMIF(Ohj.lask.[Maakunta],Maakunt.[[#This Row],[Maakunta]],Ohj.lask.[Jaettava € 7])</f>
        <v>465042</v>
      </c>
      <c r="AE11" s="16">
        <f>SUMIF(Ohj.lask.[Maakunta],Maakunt.[[#This Row],[Maakunta]],Ohj.lask.[%-osuus 8])</f>
        <v>1.6202608115226447E-2</v>
      </c>
      <c r="AF11" s="14">
        <f>SUMIF(Ohj.lask.[Maakunta],Maakunt.[[#This Row],[Maakunta]],Ohj.lask.[Jaettava € 8])</f>
        <v>32697009</v>
      </c>
      <c r="AG11" s="37">
        <f>SUMIF(Ohj.lask.[Maakunta],Maakunt.[[#This Row],[Maakunta]],Ohj.lask.[Harkinnanvarainen korotus 1, €])</f>
        <v>0</v>
      </c>
      <c r="AH11" s="37">
        <f>SUMIF(Ohj.lask.[Maakunta],Maakunt.[[#This Row],[Maakunta]],Ohj.lask.[Harkinnanvarainen korotus 2, €])</f>
        <v>0</v>
      </c>
      <c r="AI11" s="37">
        <f>SUMIF(Ohj.lask.[Maakunta],Maakunt.[[#This Row],[Maakunta]],Ohj.lask.[Harkinnanvarainen korotus 3, €])</f>
        <v>0</v>
      </c>
      <c r="AJ11" s="37">
        <f>SUMIF(Ohj.lask.[Maakunta],Maakunt.[[#This Row],[Maakunta]],Ohj.lask.[Harkinnanvarainen korotus 4, €])</f>
        <v>0</v>
      </c>
      <c r="AK11" s="37">
        <f>SUMIF(Ohj.lask.[Maakunta],Maakunt.[[#This Row],[Maakunta]],Ohj.lask.[Harkinnanvarainen korotus 5, €])</f>
        <v>0</v>
      </c>
      <c r="AL11" s="37">
        <f>SUMIF(Ohj.lask.[Maakunta],Maakunt.[[#This Row],[Maakunta]],Ohj.lask.[Harkinnanvarainen korotus 6, €])</f>
        <v>0</v>
      </c>
      <c r="AM11" s="14">
        <f>SUMIF(Ohj.lask.[Maakunta],Maakunt.[[#This Row],[Maakunta]],Ohj.lask.[Harkinnanvarainen korotus 7, €])</f>
        <v>33000</v>
      </c>
      <c r="AN11" s="20">
        <f>SUMIF(Ohj.lask.[Maakunta],Maakunt.[[#This Row],[Maakunta]],Ohj.lask.[Harkinnanvarainen korotus 8, €])</f>
        <v>5000</v>
      </c>
      <c r="AO11" s="14">
        <f>SUM(Maakunt.[[#This Row],[Harkinnanvarainen korotus 8, €]],Maakunt.[[#This Row],[Harkinnanvarainen korotus 7, €]],Maakunt.[[#This Row],[Harkinnanvarainen korotus 6, €]],Maakunt.[[#This Row],[Harkinnanvarainen korotus 5, €]],Maakunt.[[#This Row],[Harkinnanvarainen korotus 4, €]],Maakunt.[[#This Row],[Harkinnanvarainen korotus 3, €]],Maakunt.[[#This Row],[Harkinnanvarainen korotus 2, €]],Maakunt.[[#This Row],[Harkinnanvarainen korotus 1, €]])</f>
        <v>38000</v>
      </c>
      <c r="AP11" s="15">
        <f>SUMIF(Ohj.lask.[Maakunta],Maakunt.[[#This Row],[Maakunta]],Ohj.lask.[Suoriteperusteinen (opiskelijavuosiin perustuva) sekä harkinnanvarainen korotus, €])</f>
        <v>21430104</v>
      </c>
      <c r="AQ11" s="15">
        <f>SUMIF(Ohj.lask.[Maakunta],Maakunt.[[#This Row],[Maakunta]],Ohj.lask.[Suoritusrahoitus, €])</f>
        <v>7148886</v>
      </c>
      <c r="AR11" s="15">
        <f>SUMIF(Ohj.lask.[Maakunta],Maakunt.[[#This Row],[Maakunta]],Ohj.lask.[Työllistymiseen ja jatko-opintoihin siirtymiseen, opiskelijapalautteiseen sekä työelämäpalautteeseen perustuva, €])</f>
        <v>4156019</v>
      </c>
      <c r="AS11" s="37">
        <f>SUMIF(Ohj.lask.[Maakunta],Maakunt.[[#This Row],[Maakunta]],Ohj.lask.[Perus-, suoritus- ja vaikuttavuusrahoitus yhteensä, €])</f>
        <v>32735009</v>
      </c>
      <c r="AT11" s="16">
        <f>Maakunt.[[#This Row],[Jaettava € 1]]/Maakunt.[[#This Row],[Perus-, suoritus- ja vaikuttavuusrahoitus yhteensä, €]]</f>
        <v>0.65349314551891524</v>
      </c>
      <c r="AU11" s="13">
        <f>Maakunt.[[#This Row],[Suoriteperusteinen (opiskelijavuosiin perustuva) sekä harkinnanvarainen korotus, €]]/Maakunt.[[#This Row],[Perus-, suoritus- ja vaikuttavuusrahoitus yhteensä, €]]</f>
        <v>0.65465398222435189</v>
      </c>
      <c r="AV11" s="46">
        <f>Maakunt.[[#This Row],[Suoritusrahoitus, €]]/Maakunt.[[#This Row],[Perus-, suoritus- ja vaikuttavuusrahoitus yhteensä, €]]</f>
        <v>0.21838655978374713</v>
      </c>
      <c r="AW11" s="13">
        <f>Maakunt.[[#This Row],[Työllistymiseen ja jatko-opintoihin siirtymiseen, opiskelijapalautteiseen sekä työelämäpalautteeseen perustuva, €]]/Maakunt.[[#This Row],[Perus-, suoritus- ja vaikuttavuusrahoitus yhteensä, €]]</f>
        <v>0.12695945799190098</v>
      </c>
      <c r="AX11" s="13">
        <f>SUMIF(Ohj.lask.[Maakunta],Maakunt.[[#This Row],[Maakunta]],Ohj.lask.[Jaettava € 3])/Maakunt.[[#This Row],[Perus-, suoritus- ja vaikuttavuusrahoitus yhteensä, €]]</f>
        <v>7.5541754089635343E-2</v>
      </c>
      <c r="AY11" s="13">
        <f>SUMIF(Ohj.lask.[Maakunta],Maakunt.[[#This Row],[Maakunta]],Ohj.lask.[Jaettava € 4])/Maakunt.[[#This Row],[Perus-, suoritus- ja vaikuttavuusrahoitus yhteensä, €]]</f>
        <v>3.5919037016302639E-3</v>
      </c>
      <c r="AZ11" s="13">
        <f>SUMIF(Ohj.lask.[Maakunta],Maakunt.[[#This Row],[Maakunta]],Ohj.lask.[Jaettava € 5])/Maakunt.[[#This Row],[Perus-, suoritus- ja vaikuttavuusrahoitus yhteensä, €]]</f>
        <v>1.1670502366441994E-2</v>
      </c>
      <c r="BA11" s="13">
        <f>SUMIF(Ohj.lask.[Maakunta],Maakunt.[[#This Row],[Maakunta]],Ohj.lask.[Jaettava € 6])/Maakunt.[[#This Row],[Perus-, suoritus- ja vaikuttavuusrahoitus yhteensä, €]]</f>
        <v>2.1949039329727998E-2</v>
      </c>
      <c r="BB11" s="38">
        <f>SUMIF(Ohj.lask.[Maakunta],Maakunt.[[#This Row],[Maakunta]],Ohj.lask.[Jaettava € 7])/Maakunt.[[#This Row],[Perus-, suoritus- ja vaikuttavuusrahoitus yhteensä, €]]</f>
        <v>1.4206258504465358E-2</v>
      </c>
      <c r="BC11" s="14">
        <f>SUMIF(Vertailu[Maakunta],Maakunt.[[#This Row],[Maakunta]],Vertailu[Rahoitus ml. hark. kor. 
2022 ilman alv, €])</f>
        <v>29358158</v>
      </c>
      <c r="BD11" s="15">
        <f>SUMIF(Vertailu[Maakunta],Maakunt.[[#This Row],[Maakunta]],Vertailu[Rahoitus ml. hark. kor. 
2023 ilman alv, €])</f>
        <v>32735009</v>
      </c>
      <c r="BE11" s="15">
        <f>SUMIF(Vertailu[Maakunta],Maakunt.[[#This Row],[Maakunta]],Vertailu[Muutos, € 2])</f>
        <v>3376851</v>
      </c>
      <c r="BF11" s="38">
        <f>IFERROR(Maakunt.[[#This Row],[Muutos, €]]/Maakunt.[[#This Row],[Rahoitus ml. hark. kor. 
2022 ilman alv, €]],0)</f>
        <v>0.115022577370147</v>
      </c>
    </row>
    <row r="12" spans="1:58" x14ac:dyDescent="0.3">
      <c r="A12" s="19" t="s">
        <v>182</v>
      </c>
      <c r="B12" s="19">
        <f>COUNTIF(Ohj.lask.[Maakunta],Maakunt.[[#This Row],[Maakunta]])</f>
        <v>5</v>
      </c>
      <c r="C12" s="19">
        <f>COUNTIFS(Ohj.lask.[Maakunta],Maakunt.[[#This Row],[Maakunta]],Ohj.lask.[Omistajatyyppi],"=yksityinen")</f>
        <v>3</v>
      </c>
      <c r="D12" s="19">
        <f>COUNTIFS(Ohj.lask.[Maakunta],Maakunt.[[#This Row],[Maakunta]],Ohj.lask.[Omistajatyyppi],"=kunta")</f>
        <v>0</v>
      </c>
      <c r="E12" s="19">
        <f>COUNTIFS(Ohj.lask.[Maakunta],Maakunt.[[#This Row],[Maakunta]],Ohj.lask.[Omistajatyyppi],"=kuntayhtymä")</f>
        <v>2</v>
      </c>
      <c r="F12" s="15">
        <f>SUMIF(Ohj.lask.[Maakunta],Maakunt.[[#This Row],[Maakunta]],Ohj.lask.[Järjestämisluvan opisk.vuosien vähimmäismäärä])</f>
        <v>8093</v>
      </c>
      <c r="G12" s="14">
        <f>SUMIF(Ohj.lask.[Maakunta],Maakunt.[[#This Row],[Maakunta]],Ohj.lask.[Suoritepäätöksellä jaettavat opisk.vuodet (luvan ylittävä osuus)])</f>
        <v>280</v>
      </c>
      <c r="H12" s="14">
        <f>SUMIF(Ohj.lask.[Maakunta],Maakunt.[[#This Row],[Maakunta]],Ohj.lask.[Tavoitteelliset opiskelija-vuodet])</f>
        <v>8373</v>
      </c>
      <c r="I12" s="77">
        <f>Maakunt.[[#This Row],[Painotetut opiskelija-vuodet]]/Maakunt.[[#This Row],[Tavoitteelliset opiske-lijavuodet]]</f>
        <v>1.1044428520243641</v>
      </c>
      <c r="J12" s="78">
        <f>SUMIF(Ohj.lask.[Maakunta],Maakunt.[[#This Row],[Maakunta]],Ohj.lask.[Painotetut opiskelija-vuodet])</f>
        <v>9247.5</v>
      </c>
      <c r="K12" s="13">
        <f>SUMIF(Ohj.lask.[Maakunta],Maakunt.[[#This Row],[Maakunta]],Ohj.lask.[%-osuus 1])</f>
        <v>4.2807902114217346E-2</v>
      </c>
      <c r="L12" s="14">
        <f>SUMIF(Ohj.lask.[Maakunta],Maakunt.[[#This Row],[Maakunta]],Ohj.lask.[Jaettava € 1])</f>
        <v>60086712</v>
      </c>
      <c r="M12" s="15">
        <f>SUMIF(Ohj.lask.[Maakunta],Maakunt.[[#This Row],[Maakunta]],Ohj.lask.[Painotetut pisteet 2])</f>
        <v>724127.9</v>
      </c>
      <c r="N12" s="13">
        <f>SUMIF(Ohj.lask.[Maakunta],Maakunt.[[#This Row],[Maakunta]],Ohj.lask.[%-osuus 2])</f>
        <v>4.6631277288565698E-2</v>
      </c>
      <c r="O12" s="14">
        <f>SUMIF(Ohj.lask.[Maakunta],Maakunt.[[#This Row],[Maakunta]],Ohj.lask.[Jaettava € 2])</f>
        <v>19099333</v>
      </c>
      <c r="P12" s="15">
        <f>SUMIF(Ohj.lask.[Maakunta],Maakunt.[[#This Row],[Maakunta]],Ohj.lask.[Painotetut pisteet 3])</f>
        <v>15598.7</v>
      </c>
      <c r="Q12" s="13">
        <f>SUMIF(Ohj.lask.[Maakunta],Maakunt.[[#This Row],[Maakunta]],Ohj.lask.[%-osuus 3])</f>
        <v>5.0085360915970635E-2</v>
      </c>
      <c r="R12" s="14">
        <f>SUMIF(Ohj.lask.[Maakunta],Maakunt.[[#This Row],[Maakunta]],Ohj.lask.[Jaettava € 3])</f>
        <v>7179922</v>
      </c>
      <c r="S12" s="15">
        <f>SUMIF(Ohj.lask.[Maakunta],Maakunt.[[#This Row],[Maakunta]],Ohj.lask.[Painotetut pisteet 4])</f>
        <v>66682.399999999994</v>
      </c>
      <c r="T12" s="13">
        <f>SUMIF(Ohj.lask.[Maakunta],Maakunt.[[#This Row],[Maakunta]],Ohj.lask.[%-osuus 4])</f>
        <v>4.2514514218387187E-2</v>
      </c>
      <c r="U12" s="14">
        <f>SUMIF(Ohj.lask.[Maakunta],Maakunt.[[#This Row],[Maakunta]],Ohj.lask.[Jaettava € 4])</f>
        <v>326498</v>
      </c>
      <c r="V12" s="15">
        <f>SUMIF(Ohj.lask.[Maakunta],Maakunt.[[#This Row],[Maakunta]],Ohj.lask.[Painotetut pisteet 5])</f>
        <v>460867.39999999997</v>
      </c>
      <c r="W12" s="13">
        <f>SUMIF(Ohj.lask.[Maakunta],Maakunt.[[#This Row],[Maakunta]],Ohj.lask.[%-osuus 5])</f>
        <v>4.8430000893953475E-2</v>
      </c>
      <c r="X12" s="20">
        <f>SUMIF(Ohj.lask.[Maakunta],Maakunt.[[#This Row],[Maakunta]],Ohj.lask.[Jaettava € 5])</f>
        <v>1115778</v>
      </c>
      <c r="Y12" s="15">
        <f>SUMIF(Ohj.lask.[Maakunta],Maakunt.[[#This Row],[Maakunta]],Ohj.lask.[Painotetut pisteet 6])</f>
        <v>19218556.899999999</v>
      </c>
      <c r="Z12" s="13">
        <f>SUMIF(Ohj.lask.[Maakunta],Maakunt.[[#This Row],[Maakunta]],Ohj.lask.[%-osuus 6])</f>
        <v>4.8098308819015466E-2</v>
      </c>
      <c r="AA12" s="20">
        <f>SUMIF(Ohj.lask.[Maakunta],Maakunt.[[#This Row],[Maakunta]],Ohj.lask.[Jaettava € 6])</f>
        <v>1108136</v>
      </c>
      <c r="AB12" s="14">
        <f>SUMIF(Ohj.lask.[Maakunta],Maakunt.[[#This Row],[Maakunta]],Ohj.lask.[Pisteet 7])</f>
        <v>10142300.300000001</v>
      </c>
      <c r="AC12" s="13">
        <f>SUMIF(Ohj.lask.[Maakunta],Maakunt.[[#This Row],[Maakunta]],Ohj.lask.[%-osuus 7])</f>
        <v>5.3055353809301507E-2</v>
      </c>
      <c r="AD12" s="14">
        <f>SUMIF(Ohj.lask.[Maakunta],Maakunt.[[#This Row],[Maakunta]],Ohj.lask.[Jaettava € 7])</f>
        <v>407448</v>
      </c>
      <c r="AE12" s="16">
        <f>SUMIF(Ohj.lask.[Maakunta],Maakunt.[[#This Row],[Maakunta]],Ohj.lask.[%-osuus 8])</f>
        <v>4.4263344216998041E-2</v>
      </c>
      <c r="AF12" s="14">
        <f>SUMIF(Ohj.lask.[Maakunta],Maakunt.[[#This Row],[Maakunta]],Ohj.lask.[Jaettava € 8])</f>
        <v>89323827</v>
      </c>
      <c r="AG12" s="37">
        <f>SUMIF(Ohj.lask.[Maakunta],Maakunt.[[#This Row],[Maakunta]],Ohj.lask.[Harkinnanvarainen korotus 1, €])</f>
        <v>0</v>
      </c>
      <c r="AH12" s="37">
        <f>SUMIF(Ohj.lask.[Maakunta],Maakunt.[[#This Row],[Maakunta]],Ohj.lask.[Harkinnanvarainen korotus 2, €])</f>
        <v>0</v>
      </c>
      <c r="AI12" s="37">
        <f>SUMIF(Ohj.lask.[Maakunta],Maakunt.[[#This Row],[Maakunta]],Ohj.lask.[Harkinnanvarainen korotus 3, €])</f>
        <v>0</v>
      </c>
      <c r="AJ12" s="37">
        <f>SUMIF(Ohj.lask.[Maakunta],Maakunt.[[#This Row],[Maakunta]],Ohj.lask.[Harkinnanvarainen korotus 4, €])</f>
        <v>0</v>
      </c>
      <c r="AK12" s="37">
        <f>SUMIF(Ohj.lask.[Maakunta],Maakunt.[[#This Row],[Maakunta]],Ohj.lask.[Harkinnanvarainen korotus 5, €])</f>
        <v>0</v>
      </c>
      <c r="AL12" s="37">
        <f>SUMIF(Ohj.lask.[Maakunta],Maakunt.[[#This Row],[Maakunta]],Ohj.lask.[Harkinnanvarainen korotus 6, €])</f>
        <v>0</v>
      </c>
      <c r="AM12" s="14">
        <f>SUMIF(Ohj.lask.[Maakunta],Maakunt.[[#This Row],[Maakunta]],Ohj.lask.[Harkinnanvarainen korotus 7, €])</f>
        <v>96000</v>
      </c>
      <c r="AN12" s="20">
        <f>SUMIF(Ohj.lask.[Maakunta],Maakunt.[[#This Row],[Maakunta]],Ohj.lask.[Harkinnanvarainen korotus 8, €])</f>
        <v>37000</v>
      </c>
      <c r="AO12" s="14">
        <f>SUM(Maakunt.[[#This Row],[Harkinnanvarainen korotus 8, €]],Maakunt.[[#This Row],[Harkinnanvarainen korotus 7, €]],Maakunt.[[#This Row],[Harkinnanvarainen korotus 6, €]],Maakunt.[[#This Row],[Harkinnanvarainen korotus 5, €]],Maakunt.[[#This Row],[Harkinnanvarainen korotus 4, €]],Maakunt.[[#This Row],[Harkinnanvarainen korotus 3, €]],Maakunt.[[#This Row],[Harkinnanvarainen korotus 2, €]],Maakunt.[[#This Row],[Harkinnanvarainen korotus 1, €]])</f>
        <v>133000</v>
      </c>
      <c r="AP12" s="15">
        <f>SUMIF(Ohj.lask.[Maakunta],Maakunt.[[#This Row],[Maakunta]],Ohj.lask.[Suoriteperusteinen (opiskelijavuosiin perustuva) sekä harkinnanvarainen korotus, €])</f>
        <v>60219712</v>
      </c>
      <c r="AQ12" s="15">
        <f>SUMIF(Ohj.lask.[Maakunta],Maakunt.[[#This Row],[Maakunta]],Ohj.lask.[Suoritusrahoitus, €])</f>
        <v>19099333</v>
      </c>
      <c r="AR12" s="15">
        <f>SUMIF(Ohj.lask.[Maakunta],Maakunt.[[#This Row],[Maakunta]],Ohj.lask.[Työllistymiseen ja jatko-opintoihin siirtymiseen, opiskelijapalautteiseen sekä työelämäpalautteeseen perustuva, €])</f>
        <v>10137782</v>
      </c>
      <c r="AS12" s="37">
        <f>SUMIF(Ohj.lask.[Maakunta],Maakunt.[[#This Row],[Maakunta]],Ohj.lask.[Perus-, suoritus- ja vaikuttavuusrahoitus yhteensä, €])</f>
        <v>89456827</v>
      </c>
      <c r="AT12" s="16">
        <f>Maakunt.[[#This Row],[Jaettava € 1]]/Maakunt.[[#This Row],[Perus-, suoritus- ja vaikuttavuusrahoitus yhteensä, €]]</f>
        <v>0.67168391742756539</v>
      </c>
      <c r="AU12" s="13">
        <f>Maakunt.[[#This Row],[Suoriteperusteinen (opiskelijavuosiin perustuva) sekä harkinnanvarainen korotus, €]]/Maakunt.[[#This Row],[Perus-, suoritus- ja vaikuttavuusrahoitus yhteensä, €]]</f>
        <v>0.6731706681257541</v>
      </c>
      <c r="AV12" s="46">
        <f>Maakunt.[[#This Row],[Suoritusrahoitus, €]]/Maakunt.[[#This Row],[Perus-, suoritus- ja vaikuttavuusrahoitus yhteensä, €]]</f>
        <v>0.21350335844127358</v>
      </c>
      <c r="AW12" s="13">
        <f>Maakunt.[[#This Row],[Työllistymiseen ja jatko-opintoihin siirtymiseen, opiskelijapalautteiseen sekä työelämäpalautteeseen perustuva, €]]/Maakunt.[[#This Row],[Perus-, suoritus- ja vaikuttavuusrahoitus yhteensä, €]]</f>
        <v>0.11332597343297231</v>
      </c>
      <c r="AX12" s="13">
        <f>SUMIF(Ohj.lask.[Maakunta],Maakunt.[[#This Row],[Maakunta]],Ohj.lask.[Jaettava € 3])/Maakunt.[[#This Row],[Perus-, suoritus- ja vaikuttavuusrahoitus yhteensä, €]]</f>
        <v>8.0261308619855254E-2</v>
      </c>
      <c r="AY12" s="13">
        <f>SUMIF(Ohj.lask.[Maakunta],Maakunt.[[#This Row],[Maakunta]],Ohj.lask.[Jaettava € 4])/Maakunt.[[#This Row],[Perus-, suoritus- ja vaikuttavuusrahoitus yhteensä, €]]</f>
        <v>3.6497829282498471E-3</v>
      </c>
      <c r="AZ12" s="13">
        <f>SUMIF(Ohj.lask.[Maakunta],Maakunt.[[#This Row],[Maakunta]],Ohj.lask.[Jaettava € 5])/Maakunt.[[#This Row],[Perus-, suoritus- ja vaikuttavuusrahoitus yhteensä, €]]</f>
        <v>1.2472809928749206E-2</v>
      </c>
      <c r="BA12" s="13">
        <f>SUMIF(Ohj.lask.[Maakunta],Maakunt.[[#This Row],[Maakunta]],Ohj.lask.[Jaettava € 6])/Maakunt.[[#This Row],[Perus-, suoritus- ja vaikuttavuusrahoitus yhteensä, €]]</f>
        <v>1.2387383245775083E-2</v>
      </c>
      <c r="BB12" s="38">
        <f>SUMIF(Ohj.lask.[Maakunta],Maakunt.[[#This Row],[Maakunta]],Ohj.lask.[Jaettava € 7])/Maakunt.[[#This Row],[Perus-, suoritus- ja vaikuttavuusrahoitus yhteensä, €]]</f>
        <v>4.5546887103429237E-3</v>
      </c>
      <c r="BC12" s="14">
        <f>SUMIF(Vertailu[Maakunta],Maakunt.[[#This Row],[Maakunta]],Vertailu[Rahoitus ml. hark. kor. 
2022 ilman alv, €])</f>
        <v>84135653</v>
      </c>
      <c r="BD12" s="15">
        <f>SUMIF(Vertailu[Maakunta],Maakunt.[[#This Row],[Maakunta]],Vertailu[Rahoitus ml. hark. kor. 
2023 ilman alv, €])</f>
        <v>89456827</v>
      </c>
      <c r="BE12" s="15">
        <f>SUMIF(Vertailu[Maakunta],Maakunt.[[#This Row],[Maakunta]],Vertailu[Muutos, € 2])</f>
        <v>5321174</v>
      </c>
      <c r="BF12" s="38">
        <f>IFERROR(Maakunt.[[#This Row],[Muutos, €]]/Maakunt.[[#This Row],[Rahoitus ml. hark. kor. 
2022 ilman alv, €]],0)</f>
        <v>6.3245173838491514E-2</v>
      </c>
    </row>
    <row r="13" spans="1:58" x14ac:dyDescent="0.3">
      <c r="A13" s="19" t="s">
        <v>196</v>
      </c>
      <c r="B13" s="19">
        <f>COUNTIF(Ohj.lask.[Maakunta],Maakunt.[[#This Row],[Maakunta]])</f>
        <v>4</v>
      </c>
      <c r="C13" s="19">
        <f>COUNTIFS(Ohj.lask.[Maakunta],Maakunt.[[#This Row],[Maakunta]],Ohj.lask.[Omistajatyyppi],"=yksityinen")</f>
        <v>3</v>
      </c>
      <c r="D13" s="19">
        <f>COUNTIFS(Ohj.lask.[Maakunta],Maakunt.[[#This Row],[Maakunta]],Ohj.lask.[Omistajatyyppi],"=kunta")</f>
        <v>0</v>
      </c>
      <c r="E13" s="19">
        <f>COUNTIFS(Ohj.lask.[Maakunta],Maakunt.[[#This Row],[Maakunta]],Ohj.lask.[Omistajatyyppi],"=kuntayhtymä")</f>
        <v>1</v>
      </c>
      <c r="F13" s="15">
        <f>SUMIF(Ohj.lask.[Maakunta],Maakunt.[[#This Row],[Maakunta]],Ohj.lask.[Järjestämisluvan opisk.vuosien vähimmäismäärä])</f>
        <v>4849</v>
      </c>
      <c r="G13" s="14">
        <f>SUMIF(Ohj.lask.[Maakunta],Maakunt.[[#This Row],[Maakunta]],Ohj.lask.[Suoritepäätöksellä jaettavat opisk.vuodet (luvan ylittävä osuus)])</f>
        <v>531</v>
      </c>
      <c r="H13" s="14">
        <f>SUMIF(Ohj.lask.[Maakunta],Maakunt.[[#This Row],[Maakunta]],Ohj.lask.[Tavoitteelliset opiskelija-vuodet])</f>
        <v>5380</v>
      </c>
      <c r="I13" s="77">
        <f>Maakunt.[[#This Row],[Painotetut opiskelija-vuodet]]/Maakunt.[[#This Row],[Tavoitteelliset opiske-lijavuodet]]</f>
        <v>1.1173605947955392</v>
      </c>
      <c r="J13" s="78">
        <f>SUMIF(Ohj.lask.[Maakunta],Maakunt.[[#This Row],[Maakunta]],Ohj.lask.[Painotetut opiskelija-vuodet])</f>
        <v>6011.4000000000005</v>
      </c>
      <c r="K13" s="13">
        <f>SUMIF(Ohj.lask.[Maakunta],Maakunt.[[#This Row],[Maakunta]],Ohj.lask.[%-osuus 1])</f>
        <v>2.7827566668765197E-2</v>
      </c>
      <c r="L13" s="14">
        <f>SUMIF(Ohj.lask.[Maakunta],Maakunt.[[#This Row],[Maakunta]],Ohj.lask.[Jaettava € 1])</f>
        <v>39059775</v>
      </c>
      <c r="M13" s="15">
        <f>SUMIF(Ohj.lask.[Maakunta],Maakunt.[[#This Row],[Maakunta]],Ohj.lask.[Painotetut pisteet 2])</f>
        <v>409160.9</v>
      </c>
      <c r="N13" s="13">
        <f>SUMIF(Ohj.lask.[Maakunta],Maakunt.[[#This Row],[Maakunta]],Ohj.lask.[%-osuus 2])</f>
        <v>2.634851575742227E-2</v>
      </c>
      <c r="O13" s="14">
        <f>SUMIF(Ohj.lask.[Maakunta],Maakunt.[[#This Row],[Maakunta]],Ohj.lask.[Jaettava € 2])</f>
        <v>10791878</v>
      </c>
      <c r="P13" s="15">
        <f>SUMIF(Ohj.lask.[Maakunta],Maakunt.[[#This Row],[Maakunta]],Ohj.lask.[Painotetut pisteet 3])</f>
        <v>8355.9000000000015</v>
      </c>
      <c r="Q13" s="13">
        <f>SUMIF(Ohj.lask.[Maakunta],Maakunt.[[#This Row],[Maakunta]],Ohj.lask.[%-osuus 3])</f>
        <v>2.6829688838028748E-2</v>
      </c>
      <c r="R13" s="14">
        <f>SUMIF(Ohj.lask.[Maakunta],Maakunt.[[#This Row],[Maakunta]],Ohj.lask.[Jaettava € 3])</f>
        <v>3846134</v>
      </c>
      <c r="S13" s="15">
        <f>SUMIF(Ohj.lask.[Maakunta],Maakunt.[[#This Row],[Maakunta]],Ohj.lask.[Painotetut pisteet 4])</f>
        <v>41633.800000000003</v>
      </c>
      <c r="T13" s="13">
        <f>SUMIF(Ohj.lask.[Maakunta],Maakunt.[[#This Row],[Maakunta]],Ohj.lask.[%-osuus 4])</f>
        <v>2.654434726502778E-2</v>
      </c>
      <c r="U13" s="14">
        <f>SUMIF(Ohj.lask.[Maakunta],Maakunt.[[#This Row],[Maakunta]],Ohj.lask.[Jaettava € 4])</f>
        <v>203852</v>
      </c>
      <c r="V13" s="15">
        <f>SUMIF(Ohj.lask.[Maakunta],Maakunt.[[#This Row],[Maakunta]],Ohj.lask.[Painotetut pisteet 5])</f>
        <v>227344.40000000002</v>
      </c>
      <c r="W13" s="13">
        <f>SUMIF(Ohj.lask.[Maakunta],Maakunt.[[#This Row],[Maakunta]],Ohj.lask.[%-osuus 5])</f>
        <v>2.3890363031178419E-2</v>
      </c>
      <c r="X13" s="20">
        <f>SUMIF(Ohj.lask.[Maakunta],Maakunt.[[#This Row],[Maakunta]],Ohj.lask.[Jaettava € 5])</f>
        <v>550410</v>
      </c>
      <c r="Y13" s="15">
        <f>SUMIF(Ohj.lask.[Maakunta],Maakunt.[[#This Row],[Maakunta]],Ohj.lask.[Painotetut pisteet 6])</f>
        <v>10838140.5</v>
      </c>
      <c r="Z13" s="13">
        <f>SUMIF(Ohj.lask.[Maakunta],Maakunt.[[#This Row],[Maakunta]],Ohj.lask.[%-osuus 6])</f>
        <v>2.7124629154277376E-2</v>
      </c>
      <c r="AA13" s="20">
        <f>SUMIF(Ohj.lask.[Maakunta],Maakunt.[[#This Row],[Maakunta]],Ohj.lask.[Jaettava € 6])</f>
        <v>624924</v>
      </c>
      <c r="AB13" s="14">
        <f>SUMIF(Ohj.lask.[Maakunta],Maakunt.[[#This Row],[Maakunta]],Ohj.lask.[Pisteet 7])</f>
        <v>7341402.2999999998</v>
      </c>
      <c r="AC13" s="13">
        <f>SUMIF(Ohj.lask.[Maakunta],Maakunt.[[#This Row],[Maakunta]],Ohj.lask.[%-osuus 7])</f>
        <v>3.8403585474876926E-2</v>
      </c>
      <c r="AD13" s="14">
        <f>SUMIF(Ohj.lask.[Maakunta],Maakunt.[[#This Row],[Maakunta]],Ohj.lask.[Jaettava € 7])</f>
        <v>294927</v>
      </c>
      <c r="AE13" s="16">
        <f>SUMIF(Ohj.lask.[Maakunta],Maakunt.[[#This Row],[Maakunta]],Ohj.lask.[%-osuus 8])</f>
        <v>2.743887663533711E-2</v>
      </c>
      <c r="AF13" s="14">
        <f>SUMIF(Ohj.lask.[Maakunta],Maakunt.[[#This Row],[Maakunta]],Ohj.lask.[Jaettava € 8])</f>
        <v>55371900</v>
      </c>
      <c r="AG13" s="37">
        <f>SUMIF(Ohj.lask.[Maakunta],Maakunt.[[#This Row],[Maakunta]],Ohj.lask.[Harkinnanvarainen korotus 1, €])</f>
        <v>0</v>
      </c>
      <c r="AH13" s="37">
        <f>SUMIF(Ohj.lask.[Maakunta],Maakunt.[[#This Row],[Maakunta]],Ohj.lask.[Harkinnanvarainen korotus 2, €])</f>
        <v>0</v>
      </c>
      <c r="AI13" s="37">
        <f>SUMIF(Ohj.lask.[Maakunta],Maakunt.[[#This Row],[Maakunta]],Ohj.lask.[Harkinnanvarainen korotus 3, €])</f>
        <v>0</v>
      </c>
      <c r="AJ13" s="37">
        <f>SUMIF(Ohj.lask.[Maakunta],Maakunt.[[#This Row],[Maakunta]],Ohj.lask.[Harkinnanvarainen korotus 4, €])</f>
        <v>0</v>
      </c>
      <c r="AK13" s="37">
        <f>SUMIF(Ohj.lask.[Maakunta],Maakunt.[[#This Row],[Maakunta]],Ohj.lask.[Harkinnanvarainen korotus 5, €])</f>
        <v>0</v>
      </c>
      <c r="AL13" s="37">
        <f>SUMIF(Ohj.lask.[Maakunta],Maakunt.[[#This Row],[Maakunta]],Ohj.lask.[Harkinnanvarainen korotus 6, €])</f>
        <v>0</v>
      </c>
      <c r="AM13" s="14">
        <f>SUMIF(Ohj.lask.[Maakunta],Maakunt.[[#This Row],[Maakunta]],Ohj.lask.[Harkinnanvarainen korotus 7, €])</f>
        <v>83000</v>
      </c>
      <c r="AN13" s="20">
        <f>SUMIF(Ohj.lask.[Maakunta],Maakunt.[[#This Row],[Maakunta]],Ohj.lask.[Harkinnanvarainen korotus 8, €])</f>
        <v>7000</v>
      </c>
      <c r="AO13" s="14">
        <f>SUM(Maakunt.[[#This Row],[Harkinnanvarainen korotus 8, €]],Maakunt.[[#This Row],[Harkinnanvarainen korotus 7, €]],Maakunt.[[#This Row],[Harkinnanvarainen korotus 6, €]],Maakunt.[[#This Row],[Harkinnanvarainen korotus 5, €]],Maakunt.[[#This Row],[Harkinnanvarainen korotus 4, €]],Maakunt.[[#This Row],[Harkinnanvarainen korotus 3, €]],Maakunt.[[#This Row],[Harkinnanvarainen korotus 2, €]],Maakunt.[[#This Row],[Harkinnanvarainen korotus 1, €]])</f>
        <v>90000</v>
      </c>
      <c r="AP13" s="15">
        <f>SUMIF(Ohj.lask.[Maakunta],Maakunt.[[#This Row],[Maakunta]],Ohj.lask.[Suoriteperusteinen (opiskelijavuosiin perustuva) sekä harkinnanvarainen korotus, €])</f>
        <v>39149775</v>
      </c>
      <c r="AQ13" s="15">
        <f>SUMIF(Ohj.lask.[Maakunta],Maakunt.[[#This Row],[Maakunta]],Ohj.lask.[Suoritusrahoitus, €])</f>
        <v>10791878</v>
      </c>
      <c r="AR13" s="15">
        <f>SUMIF(Ohj.lask.[Maakunta],Maakunt.[[#This Row],[Maakunta]],Ohj.lask.[Työllistymiseen ja jatko-opintoihin siirtymiseen, opiskelijapalautteiseen sekä työelämäpalautteeseen perustuva, €])</f>
        <v>5520247</v>
      </c>
      <c r="AS13" s="37">
        <f>SUMIF(Ohj.lask.[Maakunta],Maakunt.[[#This Row],[Maakunta]],Ohj.lask.[Perus-, suoritus- ja vaikuttavuusrahoitus yhteensä, €])</f>
        <v>55461900</v>
      </c>
      <c r="AT13" s="16">
        <f>Maakunt.[[#This Row],[Jaettava € 1]]/Maakunt.[[#This Row],[Perus-, suoritus- ja vaikuttavuusrahoitus yhteensä, €]]</f>
        <v>0.70426319689732952</v>
      </c>
      <c r="AU13" s="13">
        <f>Maakunt.[[#This Row],[Suoriteperusteinen (opiskelijavuosiin perustuva) sekä harkinnanvarainen korotus, €]]/Maakunt.[[#This Row],[Perus-, suoritus- ja vaikuttavuusrahoitus yhteensä, €]]</f>
        <v>0.70588593250501697</v>
      </c>
      <c r="AV13" s="46">
        <f>Maakunt.[[#This Row],[Suoritusrahoitus, €]]/Maakunt.[[#This Row],[Perus-, suoritus- ja vaikuttavuusrahoitus yhteensä, €]]</f>
        <v>0.19458183004909677</v>
      </c>
      <c r="AW13" s="13">
        <f>Maakunt.[[#This Row],[Työllistymiseen ja jatko-opintoihin siirtymiseen, opiskelijapalautteiseen sekä työelämäpalautteeseen perustuva, €]]/Maakunt.[[#This Row],[Perus-, suoritus- ja vaikuttavuusrahoitus yhteensä, €]]</f>
        <v>9.9532237445886282E-2</v>
      </c>
      <c r="AX13" s="13">
        <f>SUMIF(Ohj.lask.[Maakunta],Maakunt.[[#This Row],[Maakunta]],Ohj.lask.[Jaettava € 3])/Maakunt.[[#This Row],[Perus-, suoritus- ja vaikuttavuusrahoitus yhteensä, €]]</f>
        <v>6.9347317708192469E-2</v>
      </c>
      <c r="AY13" s="13">
        <f>SUMIF(Ohj.lask.[Maakunta],Maakunt.[[#This Row],[Maakunta]],Ohj.lask.[Jaettava € 4])/Maakunt.[[#This Row],[Perus-, suoritus- ja vaikuttavuusrahoitus yhteensä, €]]</f>
        <v>3.6755322122033322E-3</v>
      </c>
      <c r="AZ13" s="13">
        <f>SUMIF(Ohj.lask.[Maakunta],Maakunt.[[#This Row],[Maakunta]],Ohj.lask.[Jaettava € 5])/Maakunt.[[#This Row],[Perus-, suoritus- ja vaikuttavuusrahoitus yhteensä, €]]</f>
        <v>9.9241100647471502E-3</v>
      </c>
      <c r="BA13" s="13">
        <f>SUMIF(Ohj.lask.[Maakunta],Maakunt.[[#This Row],[Maakunta]],Ohj.lask.[Jaettava € 6])/Maakunt.[[#This Row],[Perus-, suoritus- ja vaikuttavuusrahoitus yhteensä, €]]</f>
        <v>1.1267626965538504E-2</v>
      </c>
      <c r="BB13" s="38">
        <f>SUMIF(Ohj.lask.[Maakunta],Maakunt.[[#This Row],[Maakunta]],Ohj.lask.[Jaettava € 7])/Maakunt.[[#This Row],[Perus-, suoritus- ja vaikuttavuusrahoitus yhteensä, €]]</f>
        <v>5.3176504952048165E-3</v>
      </c>
      <c r="BC13" s="14">
        <f>SUMIF(Vertailu[Maakunta],Maakunt.[[#This Row],[Maakunta]],Vertailu[Rahoitus ml. hark. kor. 
2022 ilman alv, €])</f>
        <v>52961479</v>
      </c>
      <c r="BD13" s="15">
        <f>SUMIF(Vertailu[Maakunta],Maakunt.[[#This Row],[Maakunta]],Vertailu[Rahoitus ml. hark. kor. 
2023 ilman alv, €])</f>
        <v>55461900</v>
      </c>
      <c r="BE13" s="15">
        <f>SUMIF(Vertailu[Maakunta],Maakunt.[[#This Row],[Maakunta]],Vertailu[Muutos, € 2])</f>
        <v>2500421</v>
      </c>
      <c r="BF13" s="38">
        <f>IFERROR(Maakunt.[[#This Row],[Muutos, €]]/Maakunt.[[#This Row],[Rahoitus ml. hark. kor. 
2022 ilman alv, €]],0)</f>
        <v>4.7212068983194369E-2</v>
      </c>
    </row>
    <row r="14" spans="1:58" x14ac:dyDescent="0.3">
      <c r="A14" s="19" t="s">
        <v>232</v>
      </c>
      <c r="B14" s="19">
        <f>COUNTIF(Ohj.lask.[Maakunta],Maakunt.[[#This Row],[Maakunta]])</f>
        <v>4</v>
      </c>
      <c r="C14" s="19">
        <f>COUNTIFS(Ohj.lask.[Maakunta],Maakunt.[[#This Row],[Maakunta]],Ohj.lask.[Omistajatyyppi],"=yksityinen")</f>
        <v>2</v>
      </c>
      <c r="D14" s="19">
        <f>COUNTIFS(Ohj.lask.[Maakunta],Maakunt.[[#This Row],[Maakunta]],Ohj.lask.[Omistajatyyppi],"=kunta")</f>
        <v>0</v>
      </c>
      <c r="E14" s="19">
        <f>COUNTIFS(Ohj.lask.[Maakunta],Maakunt.[[#This Row],[Maakunta]],Ohj.lask.[Omistajatyyppi],"=kuntayhtymä")</f>
        <v>2</v>
      </c>
      <c r="F14" s="15">
        <f>SUMIF(Ohj.lask.[Maakunta],Maakunt.[[#This Row],[Maakunta]],Ohj.lask.[Järjestämisluvan opisk.vuosien vähimmäismäärä])</f>
        <v>5651</v>
      </c>
      <c r="G14" s="14">
        <f>SUMIF(Ohj.lask.[Maakunta],Maakunt.[[#This Row],[Maakunta]],Ohj.lask.[Suoritepäätöksellä jaettavat opisk.vuodet (luvan ylittävä osuus)])</f>
        <v>205</v>
      </c>
      <c r="H14" s="14">
        <f>SUMIF(Ohj.lask.[Maakunta],Maakunt.[[#This Row],[Maakunta]],Ohj.lask.[Tavoitteelliset opiskelija-vuodet])</f>
        <v>5856</v>
      </c>
      <c r="I14" s="77">
        <f>Maakunt.[[#This Row],[Painotetut opiskelija-vuodet]]/Maakunt.[[#This Row],[Tavoitteelliset opiske-lijavuodet]]</f>
        <v>1.1973531420765029</v>
      </c>
      <c r="J14" s="78">
        <f>SUMIF(Ohj.lask.[Maakunta],Maakunt.[[#This Row],[Maakunta]],Ohj.lask.[Painotetut opiskelija-vuodet])</f>
        <v>7011.7000000000007</v>
      </c>
      <c r="K14" s="13">
        <f>SUMIF(Ohj.lask.[Maakunta],Maakunt.[[#This Row],[Maakunta]],Ohj.lask.[%-osuus 1])</f>
        <v>3.2458087835010301E-2</v>
      </c>
      <c r="L14" s="14">
        <f>SUMIF(Ohj.lask.[Maakunta],Maakunt.[[#This Row],[Maakunta]],Ohj.lask.[Jaettava € 1])</f>
        <v>45559341</v>
      </c>
      <c r="M14" s="15">
        <f>SUMIF(Ohj.lask.[Maakunta],Maakunt.[[#This Row],[Maakunta]],Ohj.lask.[Painotetut pisteet 2])</f>
        <v>494021.69999999995</v>
      </c>
      <c r="N14" s="13">
        <f>SUMIF(Ohj.lask.[Maakunta],Maakunt.[[#This Row],[Maakunta]],Ohj.lask.[%-osuus 2])</f>
        <v>3.1813251332076298E-2</v>
      </c>
      <c r="O14" s="14">
        <f>SUMIF(Ohj.lask.[Maakunta],Maakunt.[[#This Row],[Maakunta]],Ohj.lask.[Jaettava € 2])</f>
        <v>13030134</v>
      </c>
      <c r="P14" s="15">
        <f>SUMIF(Ohj.lask.[Maakunta],Maakunt.[[#This Row],[Maakunta]],Ohj.lask.[Painotetut pisteet 3])</f>
        <v>9666.1</v>
      </c>
      <c r="Q14" s="13">
        <f>SUMIF(Ohj.lask.[Maakunta],Maakunt.[[#This Row],[Maakunta]],Ohj.lask.[%-osuus 3])</f>
        <v>3.1036567608189385E-2</v>
      </c>
      <c r="R14" s="14">
        <f>SUMIF(Ohj.lask.[Maakunta],Maakunt.[[#This Row],[Maakunta]],Ohj.lask.[Jaettava € 3])</f>
        <v>4449207</v>
      </c>
      <c r="S14" s="15">
        <f>SUMIF(Ohj.lask.[Maakunta],Maakunt.[[#This Row],[Maakunta]],Ohj.lask.[Painotetut pisteet 4])</f>
        <v>57998.399999999994</v>
      </c>
      <c r="T14" s="13">
        <f>SUMIF(Ohj.lask.[Maakunta],Maakunt.[[#This Row],[Maakunta]],Ohj.lask.[%-osuus 4])</f>
        <v>3.6977880241918518E-2</v>
      </c>
      <c r="U14" s="14">
        <f>SUMIF(Ohj.lask.[Maakunta],Maakunt.[[#This Row],[Maakunta]],Ohj.lask.[Jaettava € 4])</f>
        <v>283977</v>
      </c>
      <c r="V14" s="15">
        <f>SUMIF(Ohj.lask.[Maakunta],Maakunt.[[#This Row],[Maakunta]],Ohj.lask.[Painotetut pisteet 5])</f>
        <v>310083.90000000002</v>
      </c>
      <c r="W14" s="13">
        <f>SUMIF(Ohj.lask.[Maakunta],Maakunt.[[#This Row],[Maakunta]],Ohj.lask.[%-osuus 5])</f>
        <v>3.2584998535805702E-2</v>
      </c>
      <c r="X14" s="20">
        <f>SUMIF(Ohj.lask.[Maakunta],Maakunt.[[#This Row],[Maakunta]],Ohj.lask.[Jaettava € 5])</f>
        <v>750725</v>
      </c>
      <c r="Y14" s="15">
        <f>SUMIF(Ohj.lask.[Maakunta],Maakunt.[[#This Row],[Maakunta]],Ohj.lask.[Painotetut pisteet 6])</f>
        <v>13698248.6</v>
      </c>
      <c r="Z14" s="13">
        <f>SUMIF(Ohj.lask.[Maakunta],Maakunt.[[#This Row],[Maakunta]],Ohj.lask.[%-osuus 6])</f>
        <v>3.4282625634729433E-2</v>
      </c>
      <c r="AA14" s="20">
        <f>SUMIF(Ohj.lask.[Maakunta],Maakunt.[[#This Row],[Maakunta]],Ohj.lask.[Jaettava € 6])</f>
        <v>789837</v>
      </c>
      <c r="AB14" s="14">
        <f>SUMIF(Ohj.lask.[Maakunta],Maakunt.[[#This Row],[Maakunta]],Ohj.lask.[Pisteet 7])</f>
        <v>6420519.7999999998</v>
      </c>
      <c r="AC14" s="13">
        <f>SUMIF(Ohj.lask.[Maakunta],Maakunt.[[#This Row],[Maakunta]],Ohj.lask.[%-osuus 7])</f>
        <v>3.3586360051735584E-2</v>
      </c>
      <c r="AD14" s="14">
        <f>SUMIF(Ohj.lask.[Maakunta],Maakunt.[[#This Row],[Maakunta]],Ohj.lask.[Jaettava € 7])</f>
        <v>257932</v>
      </c>
      <c r="AE14" s="16">
        <f>SUMIF(Ohj.lask.[Maakunta],Maakunt.[[#This Row],[Maakunta]],Ohj.lask.[%-osuus 8])</f>
        <v>3.2270001273532474E-2</v>
      </c>
      <c r="AF14" s="14">
        <f>SUMIF(Ohj.lask.[Maakunta],Maakunt.[[#This Row],[Maakunta]],Ohj.lask.[Jaettava € 8])</f>
        <v>65121153</v>
      </c>
      <c r="AG14" s="37">
        <f>SUMIF(Ohj.lask.[Maakunta],Maakunt.[[#This Row],[Maakunta]],Ohj.lask.[Harkinnanvarainen korotus 1, €])</f>
        <v>0</v>
      </c>
      <c r="AH14" s="37">
        <f>SUMIF(Ohj.lask.[Maakunta],Maakunt.[[#This Row],[Maakunta]],Ohj.lask.[Harkinnanvarainen korotus 2, €])</f>
        <v>0</v>
      </c>
      <c r="AI14" s="37">
        <f>SUMIF(Ohj.lask.[Maakunta],Maakunt.[[#This Row],[Maakunta]],Ohj.lask.[Harkinnanvarainen korotus 3, €])</f>
        <v>0</v>
      </c>
      <c r="AJ14" s="37">
        <f>SUMIF(Ohj.lask.[Maakunta],Maakunt.[[#This Row],[Maakunta]],Ohj.lask.[Harkinnanvarainen korotus 4, €])</f>
        <v>0</v>
      </c>
      <c r="AK14" s="37">
        <f>SUMIF(Ohj.lask.[Maakunta],Maakunt.[[#This Row],[Maakunta]],Ohj.lask.[Harkinnanvarainen korotus 5, €])</f>
        <v>0</v>
      </c>
      <c r="AL14" s="37">
        <f>SUMIF(Ohj.lask.[Maakunta],Maakunt.[[#This Row],[Maakunta]],Ohj.lask.[Harkinnanvarainen korotus 6, €])</f>
        <v>0</v>
      </c>
      <c r="AM14" s="14">
        <f>SUMIF(Ohj.lask.[Maakunta],Maakunt.[[#This Row],[Maakunta]],Ohj.lask.[Harkinnanvarainen korotus 7, €])</f>
        <v>85000</v>
      </c>
      <c r="AN14" s="20">
        <f>SUMIF(Ohj.lask.[Maakunta],Maakunt.[[#This Row],[Maakunta]],Ohj.lask.[Harkinnanvarainen korotus 8, €])</f>
        <v>24000</v>
      </c>
      <c r="AO14" s="14">
        <f>SUM(Maakunt.[[#This Row],[Harkinnanvarainen korotus 8, €]],Maakunt.[[#This Row],[Harkinnanvarainen korotus 7, €]],Maakunt.[[#This Row],[Harkinnanvarainen korotus 6, €]],Maakunt.[[#This Row],[Harkinnanvarainen korotus 5, €]],Maakunt.[[#This Row],[Harkinnanvarainen korotus 4, €]],Maakunt.[[#This Row],[Harkinnanvarainen korotus 3, €]],Maakunt.[[#This Row],[Harkinnanvarainen korotus 2, €]],Maakunt.[[#This Row],[Harkinnanvarainen korotus 1, €]])</f>
        <v>109000</v>
      </c>
      <c r="AP14" s="15">
        <f>SUMIF(Ohj.lask.[Maakunta],Maakunt.[[#This Row],[Maakunta]],Ohj.lask.[Suoriteperusteinen (opiskelijavuosiin perustuva) sekä harkinnanvarainen korotus, €])</f>
        <v>45668341</v>
      </c>
      <c r="AQ14" s="15">
        <f>SUMIF(Ohj.lask.[Maakunta],Maakunt.[[#This Row],[Maakunta]],Ohj.lask.[Suoritusrahoitus, €])</f>
        <v>13030134</v>
      </c>
      <c r="AR14" s="15">
        <f>SUMIF(Ohj.lask.[Maakunta],Maakunt.[[#This Row],[Maakunta]],Ohj.lask.[Työllistymiseen ja jatko-opintoihin siirtymiseen, opiskelijapalautteiseen sekä työelämäpalautteeseen perustuva, €])</f>
        <v>6531678</v>
      </c>
      <c r="AS14" s="37">
        <f>SUMIF(Ohj.lask.[Maakunta],Maakunt.[[#This Row],[Maakunta]],Ohj.lask.[Perus-, suoritus- ja vaikuttavuusrahoitus yhteensä, €])</f>
        <v>65230153</v>
      </c>
      <c r="AT14" s="16">
        <f>Maakunt.[[#This Row],[Jaettava € 1]]/Maakunt.[[#This Row],[Perus-, suoritus- ja vaikuttavuusrahoitus yhteensä, €]]</f>
        <v>0.69843989174760945</v>
      </c>
      <c r="AU14" s="13">
        <f>Maakunt.[[#This Row],[Suoriteperusteinen (opiskelijavuosiin perustuva) sekä harkinnanvarainen korotus, €]]/Maakunt.[[#This Row],[Perus-, suoritus- ja vaikuttavuusrahoitus yhteensä, €]]</f>
        <v>0.70011089809953386</v>
      </c>
      <c r="AV14" s="46">
        <f>Maakunt.[[#This Row],[Suoritusrahoitus, €]]/Maakunt.[[#This Row],[Perus-, suoritus- ja vaikuttavuusrahoitus yhteensä, €]]</f>
        <v>0.19975629982042201</v>
      </c>
      <c r="AW14" s="13">
        <f>Maakunt.[[#This Row],[Työllistymiseen ja jatko-opintoihin siirtymiseen, opiskelijapalautteiseen sekä työelämäpalautteeseen perustuva, €]]/Maakunt.[[#This Row],[Perus-, suoritus- ja vaikuttavuusrahoitus yhteensä, €]]</f>
        <v>0.10013280208004417</v>
      </c>
      <c r="AX14" s="13">
        <f>SUMIF(Ohj.lask.[Maakunta],Maakunt.[[#This Row],[Maakunta]],Ohj.lask.[Jaettava € 3])/Maakunt.[[#This Row],[Perus-, suoritus- ja vaikuttavuusrahoitus yhteensä, €]]</f>
        <v>6.8207827137857543E-2</v>
      </c>
      <c r="AY14" s="13">
        <f>SUMIF(Ohj.lask.[Maakunta],Maakunt.[[#This Row],[Maakunta]],Ohj.lask.[Jaettava € 4])/Maakunt.[[#This Row],[Perus-, suoritus- ja vaikuttavuusrahoitus yhteensä, €]]</f>
        <v>4.3534621174351681E-3</v>
      </c>
      <c r="AZ14" s="13">
        <f>SUMIF(Ohj.lask.[Maakunta],Maakunt.[[#This Row],[Maakunta]],Ohj.lask.[Jaettava € 5])/Maakunt.[[#This Row],[Perus-, suoritus- ja vaikuttavuusrahoitus yhteensä, €]]</f>
        <v>1.1508864619710459E-2</v>
      </c>
      <c r="BA14" s="13">
        <f>SUMIF(Ohj.lask.[Maakunta],Maakunt.[[#This Row],[Maakunta]],Ohj.lask.[Jaettava € 6])/Maakunt.[[#This Row],[Perus-, suoritus- ja vaikuttavuusrahoitus yhteensä, €]]</f>
        <v>1.2108464623714741E-2</v>
      </c>
      <c r="BB14" s="38">
        <f>SUMIF(Ohj.lask.[Maakunta],Maakunt.[[#This Row],[Maakunta]],Ohj.lask.[Jaettava € 7])/Maakunt.[[#This Row],[Perus-, suoritus- ja vaikuttavuusrahoitus yhteensä, €]]</f>
        <v>3.9541835813262614E-3</v>
      </c>
      <c r="BC14" s="14">
        <f>SUMIF(Vertailu[Maakunta],Maakunt.[[#This Row],[Maakunta]],Vertailu[Rahoitus ml. hark. kor. 
2022 ilman alv, €])</f>
        <v>60483185</v>
      </c>
      <c r="BD14" s="15">
        <f>SUMIF(Vertailu[Maakunta],Maakunt.[[#This Row],[Maakunta]],Vertailu[Rahoitus ml. hark. kor. 
2023 ilman alv, €])</f>
        <v>65230153</v>
      </c>
      <c r="BE14" s="15">
        <f>SUMIF(Vertailu[Maakunta],Maakunt.[[#This Row],[Maakunta]],Vertailu[Muutos, € 2])</f>
        <v>4746968</v>
      </c>
      <c r="BF14" s="38">
        <f>IFERROR(Maakunt.[[#This Row],[Muutos, €]]/Maakunt.[[#This Row],[Rahoitus ml. hark. kor. 
2022 ilman alv, €]],0)</f>
        <v>7.8484094380942407E-2</v>
      </c>
    </row>
    <row r="15" spans="1:58" x14ac:dyDescent="0.3">
      <c r="A15" s="19" t="s">
        <v>189</v>
      </c>
      <c r="B15" s="19">
        <f>COUNTIF(Ohj.lask.[Maakunta],Maakunt.[[#This Row],[Maakunta]])</f>
        <v>9</v>
      </c>
      <c r="C15" s="19">
        <f>COUNTIFS(Ohj.lask.[Maakunta],Maakunt.[[#This Row],[Maakunta]],Ohj.lask.[Omistajatyyppi],"=yksityinen")</f>
        <v>6</v>
      </c>
      <c r="D15" s="19">
        <f>COUNTIFS(Ohj.lask.[Maakunta],Maakunt.[[#This Row],[Maakunta]],Ohj.lask.[Omistajatyyppi],"=kunta")</f>
        <v>1</v>
      </c>
      <c r="E15" s="19">
        <f>COUNTIFS(Ohj.lask.[Maakunta],Maakunt.[[#This Row],[Maakunta]],Ohj.lask.[Omistajatyyppi],"=kuntayhtymä")</f>
        <v>2</v>
      </c>
      <c r="F15" s="15">
        <f>SUMIF(Ohj.lask.[Maakunta],Maakunt.[[#This Row],[Maakunta]],Ohj.lask.[Järjestämisluvan opisk.vuosien vähimmäismäärä])</f>
        <v>13965</v>
      </c>
      <c r="G15" s="14">
        <f>SUMIF(Ohj.lask.[Maakunta],Maakunt.[[#This Row],[Maakunta]],Ohj.lask.[Suoritepäätöksellä jaettavat opisk.vuodet (luvan ylittävä osuus)])</f>
        <v>2865</v>
      </c>
      <c r="H15" s="14">
        <f>SUMIF(Ohj.lask.[Maakunta],Maakunt.[[#This Row],[Maakunta]],Ohj.lask.[Tavoitteelliset opiskelija-vuodet])</f>
        <v>16830</v>
      </c>
      <c r="I15" s="77">
        <f>Maakunt.[[#This Row],[Painotetut opiskelija-vuodet]]/Maakunt.[[#This Row],[Tavoitteelliset opiske-lijavuodet]]</f>
        <v>1.1104337492572789</v>
      </c>
      <c r="J15" s="78">
        <f>SUMIF(Ohj.lask.[Maakunta],Maakunt.[[#This Row],[Maakunta]],Ohj.lask.[Painotetut opiskelija-vuodet])</f>
        <v>18688.600000000002</v>
      </c>
      <c r="K15" s="13">
        <f>SUMIF(Ohj.lask.[Maakunta],Maakunt.[[#This Row],[Maakunta]],Ohj.lask.[%-osuus 1])</f>
        <v>8.651200426620842E-2</v>
      </c>
      <c r="L15" s="14">
        <f>SUMIF(Ohj.lask.[Maakunta],Maakunt.[[#This Row],[Maakunta]],Ohj.lask.[Jaettava € 1])</f>
        <v>121431364</v>
      </c>
      <c r="M15" s="15">
        <f>SUMIF(Ohj.lask.[Maakunta],Maakunt.[[#This Row],[Maakunta]],Ohj.lask.[Painotetut pisteet 2])</f>
        <v>1456659</v>
      </c>
      <c r="N15" s="13">
        <f>SUMIF(Ohj.lask.[Maakunta],Maakunt.[[#This Row],[Maakunta]],Ohj.lask.[%-osuus 2])</f>
        <v>9.3803690955540864E-2</v>
      </c>
      <c r="O15" s="14">
        <f>SUMIF(Ohj.lask.[Maakunta],Maakunt.[[#This Row],[Maakunta]],Ohj.lask.[Jaettava € 2])</f>
        <v>38420305</v>
      </c>
      <c r="P15" s="15">
        <f>SUMIF(Ohj.lask.[Maakunta],Maakunt.[[#This Row],[Maakunta]],Ohj.lask.[Painotetut pisteet 3])</f>
        <v>29945.699999999997</v>
      </c>
      <c r="Q15" s="13">
        <f>SUMIF(Ohj.lask.[Maakunta],Maakunt.[[#This Row],[Maakunta]],Ohj.lask.[%-osuus 3])</f>
        <v>9.615167881819521E-2</v>
      </c>
      <c r="R15" s="14">
        <f>SUMIF(Ohj.lask.[Maakunta],Maakunt.[[#This Row],[Maakunta]],Ohj.lask.[Jaettava € 3])</f>
        <v>13783700</v>
      </c>
      <c r="S15" s="15">
        <f>SUMIF(Ohj.lask.[Maakunta],Maakunt.[[#This Row],[Maakunta]],Ohj.lask.[Painotetut pisteet 4])</f>
        <v>131492</v>
      </c>
      <c r="T15" s="13">
        <f>SUMIF(Ohj.lask.[Maakunta],Maakunt.[[#This Row],[Maakunta]],Ohj.lask.[%-osuus 4])</f>
        <v>8.3834992495833496E-2</v>
      </c>
      <c r="U15" s="14">
        <f>SUMIF(Ohj.lask.[Maakunta],Maakunt.[[#This Row],[Maakunta]],Ohj.lask.[Jaettava € 4])</f>
        <v>643824</v>
      </c>
      <c r="V15" s="15">
        <f>SUMIF(Ohj.lask.[Maakunta],Maakunt.[[#This Row],[Maakunta]],Ohj.lask.[Painotetut pisteet 5])</f>
        <v>857651.10000000009</v>
      </c>
      <c r="W15" s="13">
        <f>SUMIF(Ohj.lask.[Maakunta],Maakunt.[[#This Row],[Maakunta]],Ohj.lask.[%-osuus 5])</f>
        <v>9.0125800913017889E-2</v>
      </c>
      <c r="X15" s="20">
        <f>SUMIF(Ohj.lask.[Maakunta],Maakunt.[[#This Row],[Maakunta]],Ohj.lask.[Jaettava € 5])</f>
        <v>2076407</v>
      </c>
      <c r="Y15" s="15">
        <f>SUMIF(Ohj.lask.[Maakunta],Maakunt.[[#This Row],[Maakunta]],Ohj.lask.[Painotetut pisteet 6])</f>
        <v>38574042.700000003</v>
      </c>
      <c r="Z15" s="13">
        <f>SUMIF(Ohj.lask.[Maakunta],Maakunt.[[#This Row],[Maakunta]],Ohj.lask.[%-osuus 6])</f>
        <v>9.6539309784622232E-2</v>
      </c>
      <c r="AA15" s="20">
        <f>SUMIF(Ohj.lask.[Maakunta],Maakunt.[[#This Row],[Maakunta]],Ohj.lask.[Jaettava € 6])</f>
        <v>2224169</v>
      </c>
      <c r="AB15" s="14">
        <f>SUMIF(Ohj.lask.[Maakunta],Maakunt.[[#This Row],[Maakunta]],Ohj.lask.[Pisteet 7])</f>
        <v>14245395.9</v>
      </c>
      <c r="AC15" s="13">
        <f>SUMIF(Ohj.lask.[Maakunta],Maakunt.[[#This Row],[Maakunta]],Ohj.lask.[%-osuus 7])</f>
        <v>7.4519043734888532E-2</v>
      </c>
      <c r="AD15" s="14">
        <f>SUMIF(Ohj.lask.[Maakunta],Maakunt.[[#This Row],[Maakunta]],Ohj.lask.[Jaettava € 7])</f>
        <v>572283</v>
      </c>
      <c r="AE15" s="16">
        <f>SUMIF(Ohj.lask.[Maakunta],Maakunt.[[#This Row],[Maakunta]],Ohj.lask.[%-osuus 8])</f>
        <v>8.8776636774167014E-2</v>
      </c>
      <c r="AF15" s="14">
        <f>SUMIF(Ohj.lask.[Maakunta],Maakunt.[[#This Row],[Maakunta]],Ohj.lask.[Jaettava € 8])</f>
        <v>179152052</v>
      </c>
      <c r="AG15" s="37">
        <f>SUMIF(Ohj.lask.[Maakunta],Maakunt.[[#This Row],[Maakunta]],Ohj.lask.[Harkinnanvarainen korotus 1, €])</f>
        <v>0</v>
      </c>
      <c r="AH15" s="37">
        <f>SUMIF(Ohj.lask.[Maakunta],Maakunt.[[#This Row],[Maakunta]],Ohj.lask.[Harkinnanvarainen korotus 2, €])</f>
        <v>215000</v>
      </c>
      <c r="AI15" s="37">
        <f>SUMIF(Ohj.lask.[Maakunta],Maakunt.[[#This Row],[Maakunta]],Ohj.lask.[Harkinnanvarainen korotus 3, €])</f>
        <v>0</v>
      </c>
      <c r="AJ15" s="37">
        <f>SUMIF(Ohj.lask.[Maakunta],Maakunt.[[#This Row],[Maakunta]],Ohj.lask.[Harkinnanvarainen korotus 4, €])</f>
        <v>0</v>
      </c>
      <c r="AK15" s="37">
        <f>SUMIF(Ohj.lask.[Maakunta],Maakunt.[[#This Row],[Maakunta]],Ohj.lask.[Harkinnanvarainen korotus 5, €])</f>
        <v>0</v>
      </c>
      <c r="AL15" s="37">
        <f>SUMIF(Ohj.lask.[Maakunta],Maakunt.[[#This Row],[Maakunta]],Ohj.lask.[Harkinnanvarainen korotus 6, €])</f>
        <v>0</v>
      </c>
      <c r="AM15" s="14">
        <f>SUMIF(Ohj.lask.[Maakunta],Maakunt.[[#This Row],[Maakunta]],Ohj.lask.[Harkinnanvarainen korotus 7, €])</f>
        <v>337000</v>
      </c>
      <c r="AN15" s="20">
        <f>SUMIF(Ohj.lask.[Maakunta],Maakunt.[[#This Row],[Maakunta]],Ohj.lask.[Harkinnanvarainen korotus 8, €])</f>
        <v>107000</v>
      </c>
      <c r="AO15" s="14">
        <f>SUM(Maakunt.[[#This Row],[Harkinnanvarainen korotus 8, €]],Maakunt.[[#This Row],[Harkinnanvarainen korotus 7, €]],Maakunt.[[#This Row],[Harkinnanvarainen korotus 6, €]],Maakunt.[[#This Row],[Harkinnanvarainen korotus 5, €]],Maakunt.[[#This Row],[Harkinnanvarainen korotus 4, €]],Maakunt.[[#This Row],[Harkinnanvarainen korotus 3, €]],Maakunt.[[#This Row],[Harkinnanvarainen korotus 2, €]],Maakunt.[[#This Row],[Harkinnanvarainen korotus 1, €]])</f>
        <v>659000</v>
      </c>
      <c r="AP15" s="15">
        <f>SUMIF(Ohj.lask.[Maakunta],Maakunt.[[#This Row],[Maakunta]],Ohj.lask.[Suoriteperusteinen (opiskelijavuosiin perustuva) sekä harkinnanvarainen korotus, €])</f>
        <v>122090364</v>
      </c>
      <c r="AQ15" s="15">
        <f>SUMIF(Ohj.lask.[Maakunta],Maakunt.[[#This Row],[Maakunta]],Ohj.lask.[Suoritusrahoitus, €])</f>
        <v>38420305</v>
      </c>
      <c r="AR15" s="15">
        <f>SUMIF(Ohj.lask.[Maakunta],Maakunt.[[#This Row],[Maakunta]],Ohj.lask.[Työllistymiseen ja jatko-opintoihin siirtymiseen, opiskelijapalautteiseen sekä työelämäpalautteeseen perustuva, €])</f>
        <v>19300383</v>
      </c>
      <c r="AS15" s="37">
        <f>SUMIF(Ohj.lask.[Maakunta],Maakunt.[[#This Row],[Maakunta]],Ohj.lask.[Perus-, suoritus- ja vaikuttavuusrahoitus yhteensä, €])</f>
        <v>179811052</v>
      </c>
      <c r="AT15" s="16">
        <f>Maakunt.[[#This Row],[Jaettava € 1]]/Maakunt.[[#This Row],[Perus-, suoritus- ja vaikuttavuusrahoitus yhteensä, €]]</f>
        <v>0.67532758776140189</v>
      </c>
      <c r="AU15" s="13">
        <f>Maakunt.[[#This Row],[Suoriteperusteinen (opiskelijavuosiin perustuva) sekä harkinnanvarainen korotus, €]]/Maakunt.[[#This Row],[Perus-, suoritus- ja vaikuttavuusrahoitus yhteensä, €]]</f>
        <v>0.67899254601991876</v>
      </c>
      <c r="AV15" s="46">
        <f>Maakunt.[[#This Row],[Suoritusrahoitus, €]]/Maakunt.[[#This Row],[Perus-, suoritus- ja vaikuttavuusrahoitus yhteensä, €]]</f>
        <v>0.21367043111454573</v>
      </c>
      <c r="AW15" s="13">
        <f>Maakunt.[[#This Row],[Työllistymiseen ja jatko-opintoihin siirtymiseen, opiskelijapalautteiseen sekä työelämäpalautteeseen perustuva, €]]/Maakunt.[[#This Row],[Perus-, suoritus- ja vaikuttavuusrahoitus yhteensä, €]]</f>
        <v>0.10733702286553554</v>
      </c>
      <c r="AX15" s="13">
        <f>SUMIF(Ohj.lask.[Maakunta],Maakunt.[[#This Row],[Maakunta]],Ohj.lask.[Jaettava € 3])/Maakunt.[[#This Row],[Perus-, suoritus- ja vaikuttavuusrahoitus yhteensä, €]]</f>
        <v>7.6656578373169193E-2</v>
      </c>
      <c r="AY15" s="13">
        <f>SUMIF(Ohj.lask.[Maakunta],Maakunt.[[#This Row],[Maakunta]],Ohj.lask.[Jaettava € 4])/Maakunt.[[#This Row],[Perus-, suoritus- ja vaikuttavuusrahoitus yhteensä, €]]</f>
        <v>3.580558552096119E-3</v>
      </c>
      <c r="AZ15" s="13">
        <f>SUMIF(Ohj.lask.[Maakunta],Maakunt.[[#This Row],[Maakunta]],Ohj.lask.[Jaettava € 5])/Maakunt.[[#This Row],[Perus-, suoritus- ja vaikuttavuusrahoitus yhteensä, €]]</f>
        <v>1.154771621045852E-2</v>
      </c>
      <c r="BA15" s="13">
        <f>SUMIF(Ohj.lask.[Maakunta],Maakunt.[[#This Row],[Maakunta]],Ohj.lask.[Jaettava € 6])/Maakunt.[[#This Row],[Perus-, suoritus- ja vaikuttavuusrahoitus yhteensä, €]]</f>
        <v>1.2369478823804446E-2</v>
      </c>
      <c r="BB15" s="38">
        <f>SUMIF(Ohj.lask.[Maakunta],Maakunt.[[#This Row],[Maakunta]],Ohj.lask.[Jaettava € 7])/Maakunt.[[#This Row],[Perus-, suoritus- ja vaikuttavuusrahoitus yhteensä, €]]</f>
        <v>3.1826909060072681E-3</v>
      </c>
      <c r="BC15" s="14">
        <f>SUMIF(Vertailu[Maakunta],Maakunt.[[#This Row],[Maakunta]],Vertailu[Rahoitus ml. hark. kor. 
2022 ilman alv, €])</f>
        <v>165988822</v>
      </c>
      <c r="BD15" s="15">
        <f>SUMIF(Vertailu[Maakunta],Maakunt.[[#This Row],[Maakunta]],Vertailu[Rahoitus ml. hark. kor. 
2023 ilman alv, €])</f>
        <v>179811052</v>
      </c>
      <c r="BE15" s="15">
        <f>SUMIF(Vertailu[Maakunta],Maakunt.[[#This Row],[Maakunta]],Vertailu[Muutos, € 2])</f>
        <v>13822230</v>
      </c>
      <c r="BF15" s="38">
        <f>IFERROR(Maakunt.[[#This Row],[Muutos, €]]/Maakunt.[[#This Row],[Rahoitus ml. hark. kor. 
2022 ilman alv, €]],0)</f>
        <v>8.3272053102467339E-2</v>
      </c>
    </row>
    <row r="16" spans="1:58" x14ac:dyDescent="0.3">
      <c r="A16" s="19" t="s">
        <v>186</v>
      </c>
      <c r="B16" s="19">
        <f>COUNTIF(Ohj.lask.[Maakunta],Maakunt.[[#This Row],[Maakunta]])</f>
        <v>5</v>
      </c>
      <c r="C16" s="19">
        <f>COUNTIFS(Ohj.lask.[Maakunta],Maakunt.[[#This Row],[Maakunta]],Ohj.lask.[Omistajatyyppi],"=yksityinen")</f>
        <v>1</v>
      </c>
      <c r="D16" s="19">
        <f>COUNTIFS(Ohj.lask.[Maakunta],Maakunt.[[#This Row],[Maakunta]],Ohj.lask.[Omistajatyyppi],"=kunta")</f>
        <v>1</v>
      </c>
      <c r="E16" s="19">
        <f>COUNTIFS(Ohj.lask.[Maakunta],Maakunt.[[#This Row],[Maakunta]],Ohj.lask.[Omistajatyyppi],"=kuntayhtymä")</f>
        <v>3</v>
      </c>
      <c r="F16" s="15">
        <f>SUMIF(Ohj.lask.[Maakunta],Maakunt.[[#This Row],[Maakunta]],Ohj.lask.[Järjestämisluvan opisk.vuosien vähimmäismäärä])</f>
        <v>5007</v>
      </c>
      <c r="G16" s="14">
        <f>SUMIF(Ohj.lask.[Maakunta],Maakunt.[[#This Row],[Maakunta]],Ohj.lask.[Suoritepäätöksellä jaettavat opisk.vuodet (luvan ylittävä osuus)])</f>
        <v>326</v>
      </c>
      <c r="H16" s="14">
        <f>SUMIF(Ohj.lask.[Maakunta],Maakunt.[[#This Row],[Maakunta]],Ohj.lask.[Tavoitteelliset opiskelija-vuodet])</f>
        <v>5333</v>
      </c>
      <c r="I16" s="77">
        <f>Maakunt.[[#This Row],[Painotetut opiskelija-vuodet]]/Maakunt.[[#This Row],[Tavoitteelliset opiske-lijavuodet]]</f>
        <v>1.1815300956309769</v>
      </c>
      <c r="J16" s="78">
        <f>SUMIF(Ohj.lask.[Maakunta],Maakunt.[[#This Row],[Maakunta]],Ohj.lask.[Painotetut opiskelija-vuodet])</f>
        <v>6301.0999999999995</v>
      </c>
      <c r="K16" s="13">
        <f>SUMIF(Ohj.lask.[Maakunta],Maakunt.[[#This Row],[Maakunta]],Ohj.lask.[%-osuus 1])</f>
        <v>2.9168626332727217E-2</v>
      </c>
      <c r="L16" s="14">
        <f>SUMIF(Ohj.lask.[Maakunta],Maakunt.[[#This Row],[Maakunta]],Ohj.lask.[Jaettava € 1])</f>
        <v>40942134</v>
      </c>
      <c r="M16" s="15">
        <f>SUMIF(Ohj.lask.[Maakunta],Maakunt.[[#This Row],[Maakunta]],Ohj.lask.[Painotetut pisteet 2])</f>
        <v>448756.80000000005</v>
      </c>
      <c r="N16" s="13">
        <f>SUMIF(Ohj.lask.[Maakunta],Maakunt.[[#This Row],[Maakunta]],Ohj.lask.[%-osuus 2])</f>
        <v>2.8898351763451478E-2</v>
      </c>
      <c r="O16" s="14">
        <f>SUMIF(Ohj.lask.[Maakunta],Maakunt.[[#This Row],[Maakunta]],Ohj.lask.[Jaettava € 2])</f>
        <v>11836245</v>
      </c>
      <c r="P16" s="15">
        <f>SUMIF(Ohj.lask.[Maakunta],Maakunt.[[#This Row],[Maakunta]],Ohj.lask.[Painotetut pisteet 3])</f>
        <v>10174.299999999999</v>
      </c>
      <c r="Q16" s="13">
        <f>SUMIF(Ohj.lask.[Maakunta],Maakunt.[[#This Row],[Maakunta]],Ohj.lask.[%-osuus 3])</f>
        <v>3.266833053827306E-2</v>
      </c>
      <c r="R16" s="14">
        <f>SUMIF(Ohj.lask.[Maakunta],Maakunt.[[#This Row],[Maakunta]],Ohj.lask.[Jaettava € 3])</f>
        <v>4683126</v>
      </c>
      <c r="S16" s="15">
        <f>SUMIF(Ohj.lask.[Maakunta],Maakunt.[[#This Row],[Maakunta]],Ohj.lask.[Painotetut pisteet 4])</f>
        <v>36876.200000000004</v>
      </c>
      <c r="T16" s="13">
        <f>SUMIF(Ohj.lask.[Maakunta],Maakunt.[[#This Row],[Maakunta]],Ohj.lask.[%-osuus 4])</f>
        <v>2.3511057328771751E-2</v>
      </c>
      <c r="U16" s="14">
        <f>SUMIF(Ohj.lask.[Maakunta],Maakunt.[[#This Row],[Maakunta]],Ohj.lask.[Jaettava € 4])</f>
        <v>180557</v>
      </c>
      <c r="V16" s="15">
        <f>SUMIF(Ohj.lask.[Maakunta],Maakunt.[[#This Row],[Maakunta]],Ohj.lask.[Painotetut pisteet 5])</f>
        <v>230651.1</v>
      </c>
      <c r="W16" s="13">
        <f>SUMIF(Ohj.lask.[Maakunta],Maakunt.[[#This Row],[Maakunta]],Ohj.lask.[%-osuus 5])</f>
        <v>2.4237845808124749E-2</v>
      </c>
      <c r="X16" s="20">
        <f>SUMIF(Ohj.lask.[Maakunta],Maakunt.[[#This Row],[Maakunta]],Ohj.lask.[Jaettava € 5])</f>
        <v>558416</v>
      </c>
      <c r="Y16" s="15">
        <f>SUMIF(Ohj.lask.[Maakunta],Maakunt.[[#This Row],[Maakunta]],Ohj.lask.[Painotetut pisteet 6])</f>
        <v>11847976.5</v>
      </c>
      <c r="Z16" s="13">
        <f>SUMIF(Ohj.lask.[Maakunta],Maakunt.[[#This Row],[Maakunta]],Ohj.lask.[%-osuus 6])</f>
        <v>2.9651947102096822E-2</v>
      </c>
      <c r="AA16" s="20">
        <f>SUMIF(Ohj.lask.[Maakunta],Maakunt.[[#This Row],[Maakunta]],Ohj.lask.[Jaettava € 6])</f>
        <v>683151</v>
      </c>
      <c r="AB16" s="14">
        <f>SUMIF(Ohj.lask.[Maakunta],Maakunt.[[#This Row],[Maakunta]],Ohj.lask.[Pisteet 7])</f>
        <v>4398177.0999999996</v>
      </c>
      <c r="AC16" s="13">
        <f>SUMIF(Ohj.lask.[Maakunta],Maakunt.[[#This Row],[Maakunta]],Ohj.lask.[%-osuus 7])</f>
        <v>2.3007289791692295E-2</v>
      </c>
      <c r="AD16" s="14">
        <f>SUMIF(Ohj.lask.[Maakunta],Maakunt.[[#This Row],[Maakunta]],Ohj.lask.[Jaettava € 7])</f>
        <v>176689</v>
      </c>
      <c r="AE16" s="16">
        <f>SUMIF(Ohj.lask.[Maakunta],Maakunt.[[#This Row],[Maakunta]],Ohj.lask.[%-osuus 8])</f>
        <v>2.9266627651313746E-2</v>
      </c>
      <c r="AF16" s="14">
        <f>SUMIF(Ohj.lask.[Maakunta],Maakunt.[[#This Row],[Maakunta]],Ohj.lask.[Jaettava € 8])</f>
        <v>59060318</v>
      </c>
      <c r="AG16" s="37">
        <f>SUMIF(Ohj.lask.[Maakunta],Maakunt.[[#This Row],[Maakunta]],Ohj.lask.[Harkinnanvarainen korotus 1, €])</f>
        <v>0</v>
      </c>
      <c r="AH16" s="37">
        <f>SUMIF(Ohj.lask.[Maakunta],Maakunt.[[#This Row],[Maakunta]],Ohj.lask.[Harkinnanvarainen korotus 2, €])</f>
        <v>0</v>
      </c>
      <c r="AI16" s="37">
        <f>SUMIF(Ohj.lask.[Maakunta],Maakunt.[[#This Row],[Maakunta]],Ohj.lask.[Harkinnanvarainen korotus 3, €])</f>
        <v>0</v>
      </c>
      <c r="AJ16" s="37">
        <f>SUMIF(Ohj.lask.[Maakunta],Maakunt.[[#This Row],[Maakunta]],Ohj.lask.[Harkinnanvarainen korotus 4, €])</f>
        <v>0</v>
      </c>
      <c r="AK16" s="37">
        <f>SUMIF(Ohj.lask.[Maakunta],Maakunt.[[#This Row],[Maakunta]],Ohj.lask.[Harkinnanvarainen korotus 5, €])</f>
        <v>0</v>
      </c>
      <c r="AL16" s="37">
        <f>SUMIF(Ohj.lask.[Maakunta],Maakunt.[[#This Row],[Maakunta]],Ohj.lask.[Harkinnanvarainen korotus 6, €])</f>
        <v>0</v>
      </c>
      <c r="AM16" s="14">
        <f>SUMIF(Ohj.lask.[Maakunta],Maakunt.[[#This Row],[Maakunta]],Ohj.lask.[Harkinnanvarainen korotus 7, €])</f>
        <v>95000</v>
      </c>
      <c r="AN16" s="20">
        <f>SUMIF(Ohj.lask.[Maakunta],Maakunt.[[#This Row],[Maakunta]],Ohj.lask.[Harkinnanvarainen korotus 8, €])</f>
        <v>8000</v>
      </c>
      <c r="AO16" s="14">
        <f>SUM(Maakunt.[[#This Row],[Harkinnanvarainen korotus 8, €]],Maakunt.[[#This Row],[Harkinnanvarainen korotus 7, €]],Maakunt.[[#This Row],[Harkinnanvarainen korotus 6, €]],Maakunt.[[#This Row],[Harkinnanvarainen korotus 5, €]],Maakunt.[[#This Row],[Harkinnanvarainen korotus 4, €]],Maakunt.[[#This Row],[Harkinnanvarainen korotus 3, €]],Maakunt.[[#This Row],[Harkinnanvarainen korotus 2, €]],Maakunt.[[#This Row],[Harkinnanvarainen korotus 1, €]])</f>
        <v>103000</v>
      </c>
      <c r="AP16" s="15">
        <f>SUMIF(Ohj.lask.[Maakunta],Maakunt.[[#This Row],[Maakunta]],Ohj.lask.[Suoriteperusteinen (opiskelijavuosiin perustuva) sekä harkinnanvarainen korotus, €])</f>
        <v>41045134</v>
      </c>
      <c r="AQ16" s="15">
        <f>SUMIF(Ohj.lask.[Maakunta],Maakunt.[[#This Row],[Maakunta]],Ohj.lask.[Suoritusrahoitus, €])</f>
        <v>11836245</v>
      </c>
      <c r="AR16" s="15">
        <f>SUMIF(Ohj.lask.[Maakunta],Maakunt.[[#This Row],[Maakunta]],Ohj.lask.[Työllistymiseen ja jatko-opintoihin siirtymiseen, opiskelijapalautteiseen sekä työelämäpalautteeseen perustuva, €])</f>
        <v>6281939</v>
      </c>
      <c r="AS16" s="37">
        <f>SUMIF(Ohj.lask.[Maakunta],Maakunt.[[#This Row],[Maakunta]],Ohj.lask.[Perus-, suoritus- ja vaikuttavuusrahoitus yhteensä, €])</f>
        <v>59163318</v>
      </c>
      <c r="AT16" s="16">
        <f>Maakunt.[[#This Row],[Jaettava € 1]]/Maakunt.[[#This Row],[Perus-, suoritus- ja vaikuttavuusrahoitus yhteensä, €]]</f>
        <v>0.69201889589762355</v>
      </c>
      <c r="AU16" s="13">
        <f>Maakunt.[[#This Row],[Suoriteperusteinen (opiskelijavuosiin perustuva) sekä harkinnanvarainen korotus, €]]/Maakunt.[[#This Row],[Perus-, suoritus- ja vaikuttavuusrahoitus yhteensä, €]]</f>
        <v>0.69375983950054998</v>
      </c>
      <c r="AV16" s="46">
        <f>Maakunt.[[#This Row],[Suoritusrahoitus, €]]/Maakunt.[[#This Row],[Perus-, suoritus- ja vaikuttavuusrahoitus yhteensä, €]]</f>
        <v>0.2000605341302866</v>
      </c>
      <c r="AW16" s="13">
        <f>Maakunt.[[#This Row],[Työllistymiseen ja jatko-opintoihin siirtymiseen, opiskelijapalautteiseen sekä työelämäpalautteeseen perustuva, €]]/Maakunt.[[#This Row],[Perus-, suoritus- ja vaikuttavuusrahoitus yhteensä, €]]</f>
        <v>0.10617962636916341</v>
      </c>
      <c r="AX16" s="13">
        <f>SUMIF(Ohj.lask.[Maakunta],Maakunt.[[#This Row],[Maakunta]],Ohj.lask.[Jaettava € 3])/Maakunt.[[#This Row],[Perus-, suoritus- ja vaikuttavuusrahoitus yhteensä, €]]</f>
        <v>7.9155905353381295E-2</v>
      </c>
      <c r="AY16" s="13">
        <f>SUMIF(Ohj.lask.[Maakunta],Maakunt.[[#This Row],[Maakunta]],Ohj.lask.[Jaettava € 4])/Maakunt.[[#This Row],[Perus-, suoritus- ja vaikuttavuusrahoitus yhteensä, €]]</f>
        <v>3.0518403311998155E-3</v>
      </c>
      <c r="AZ16" s="13">
        <f>SUMIF(Ohj.lask.[Maakunta],Maakunt.[[#This Row],[Maakunta]],Ohj.lask.[Jaettava € 5])/Maakunt.[[#This Row],[Perus-, suoritus- ja vaikuttavuusrahoitus yhteensä, €]]</f>
        <v>9.4385510968130627E-3</v>
      </c>
      <c r="BA16" s="13">
        <f>SUMIF(Ohj.lask.[Maakunta],Maakunt.[[#This Row],[Maakunta]],Ohj.lask.[Jaettava € 6])/Maakunt.[[#This Row],[Perus-, suoritus- ja vaikuttavuusrahoitus yhteensä, €]]</f>
        <v>1.1546867604687081E-2</v>
      </c>
      <c r="BB16" s="38">
        <f>SUMIF(Ohj.lask.[Maakunta],Maakunt.[[#This Row],[Maakunta]],Ohj.lask.[Jaettava € 7])/Maakunt.[[#This Row],[Perus-, suoritus- ja vaikuttavuusrahoitus yhteensä, €]]</f>
        <v>2.9864619830821523E-3</v>
      </c>
      <c r="BC16" s="14">
        <f>SUMIF(Vertailu[Maakunta],Maakunt.[[#This Row],[Maakunta]],Vertailu[Rahoitus ml. hark. kor. 
2022 ilman alv, €])</f>
        <v>54815441</v>
      </c>
      <c r="BD16" s="15">
        <f>SUMIF(Vertailu[Maakunta],Maakunt.[[#This Row],[Maakunta]],Vertailu[Rahoitus ml. hark. kor. 
2023 ilman alv, €])</f>
        <v>59163318</v>
      </c>
      <c r="BE16" s="15">
        <f>SUMIF(Vertailu[Maakunta],Maakunt.[[#This Row],[Maakunta]],Vertailu[Muutos, € 2])</f>
        <v>4347877</v>
      </c>
      <c r="BF16" s="38">
        <f>IFERROR(Maakunt.[[#This Row],[Muutos, €]]/Maakunt.[[#This Row],[Rahoitus ml. hark. kor. 
2022 ilman alv, €]],0)</f>
        <v>7.9318471596351844E-2</v>
      </c>
    </row>
    <row r="17" spans="1:58" x14ac:dyDescent="0.3">
      <c r="A17" s="19" t="s">
        <v>251</v>
      </c>
      <c r="B17" s="19">
        <f>COUNTIF(Ohj.lask.[Maakunta],Maakunt.[[#This Row],[Maakunta]])</f>
        <v>4</v>
      </c>
      <c r="C17" s="19">
        <f>COUNTIFS(Ohj.lask.[Maakunta],Maakunt.[[#This Row],[Maakunta]],Ohj.lask.[Omistajatyyppi],"=yksityinen")</f>
        <v>2</v>
      </c>
      <c r="D17" s="19">
        <f>COUNTIFS(Ohj.lask.[Maakunta],Maakunt.[[#This Row],[Maakunta]],Ohj.lask.[Omistajatyyppi],"=kunta")</f>
        <v>1</v>
      </c>
      <c r="E17" s="19">
        <f>COUNTIFS(Ohj.lask.[Maakunta],Maakunt.[[#This Row],[Maakunta]],Ohj.lask.[Omistajatyyppi],"=kuntayhtymä")</f>
        <v>1</v>
      </c>
      <c r="F17" s="15">
        <f>SUMIF(Ohj.lask.[Maakunta],Maakunt.[[#This Row],[Maakunta]],Ohj.lask.[Järjestämisluvan opisk.vuosien vähimmäismäärä])</f>
        <v>4948</v>
      </c>
      <c r="G17" s="14">
        <f>SUMIF(Ohj.lask.[Maakunta],Maakunt.[[#This Row],[Maakunta]],Ohj.lask.[Suoritepäätöksellä jaettavat opisk.vuodet (luvan ylittävä osuus)])</f>
        <v>680</v>
      </c>
      <c r="H17" s="14">
        <f>SUMIF(Ohj.lask.[Maakunta],Maakunt.[[#This Row],[Maakunta]],Ohj.lask.[Tavoitteelliset opiskelija-vuodet])</f>
        <v>5628</v>
      </c>
      <c r="I17" s="77">
        <f>Maakunt.[[#This Row],[Painotetut opiskelija-vuodet]]/Maakunt.[[#This Row],[Tavoitteelliset opiske-lijavuodet]]</f>
        <v>1.1647654584221749</v>
      </c>
      <c r="J17" s="78">
        <f>SUMIF(Ohj.lask.[Maakunta],Maakunt.[[#This Row],[Maakunta]],Ohj.lask.[Painotetut opiskelija-vuodet])</f>
        <v>6555.3</v>
      </c>
      <c r="K17" s="13">
        <f>SUMIF(Ohj.lask.[Maakunta],Maakunt.[[#This Row],[Maakunta]],Ohj.lask.[%-osuus 1])</f>
        <v>3.0345351795547874E-2</v>
      </c>
      <c r="L17" s="14">
        <f>SUMIF(Ohj.lask.[Maakunta],Maakunt.[[#This Row],[Maakunta]],Ohj.lask.[Jaettava € 1])</f>
        <v>42593829</v>
      </c>
      <c r="M17" s="15">
        <f>SUMIF(Ohj.lask.[Maakunta],Maakunt.[[#This Row],[Maakunta]],Ohj.lask.[Painotetut pisteet 2])</f>
        <v>446891.8</v>
      </c>
      <c r="N17" s="13">
        <f>SUMIF(Ohj.lask.[Maakunta],Maakunt.[[#This Row],[Maakunta]],Ohj.lask.[%-osuus 2])</f>
        <v>2.8778252355400529E-2</v>
      </c>
      <c r="O17" s="14">
        <f>SUMIF(Ohj.lask.[Maakunta],Maakunt.[[#This Row],[Maakunta]],Ohj.lask.[Jaettava € 2])</f>
        <v>11787054</v>
      </c>
      <c r="P17" s="15">
        <f>SUMIF(Ohj.lask.[Maakunta],Maakunt.[[#This Row],[Maakunta]],Ohj.lask.[Painotetut pisteet 3])</f>
        <v>10121.9</v>
      </c>
      <c r="Q17" s="13">
        <f>SUMIF(Ohj.lask.[Maakunta],Maakunt.[[#This Row],[Maakunta]],Ohj.lask.[%-osuus 3])</f>
        <v>3.2500081074407688E-2</v>
      </c>
      <c r="R17" s="14">
        <f>SUMIF(Ohj.lask.[Maakunta],Maakunt.[[#This Row],[Maakunta]],Ohj.lask.[Jaettava € 3])</f>
        <v>4659007</v>
      </c>
      <c r="S17" s="15">
        <f>SUMIF(Ohj.lask.[Maakunta],Maakunt.[[#This Row],[Maakunta]],Ohj.lask.[Painotetut pisteet 4])</f>
        <v>50839.799999999996</v>
      </c>
      <c r="T17" s="13">
        <f>SUMIF(Ohj.lask.[Maakunta],Maakunt.[[#This Row],[Maakunta]],Ohj.lask.[%-osuus 4])</f>
        <v>3.2413791344642076E-2</v>
      </c>
      <c r="U17" s="14">
        <f>SUMIF(Ohj.lask.[Maakunta],Maakunt.[[#This Row],[Maakunta]],Ohj.lask.[Jaettava € 4])</f>
        <v>248927</v>
      </c>
      <c r="V17" s="15">
        <f>SUMIF(Ohj.lask.[Maakunta],Maakunt.[[#This Row],[Maakunta]],Ohj.lask.[Painotetut pisteet 5])</f>
        <v>316457.59999999998</v>
      </c>
      <c r="W17" s="13">
        <f>SUMIF(Ohj.lask.[Maakunta],Maakunt.[[#This Row],[Maakunta]],Ohj.lask.[%-osuus 5])</f>
        <v>3.3254775345139126E-2</v>
      </c>
      <c r="X17" s="20">
        <f>SUMIF(Ohj.lask.[Maakunta],Maakunt.[[#This Row],[Maakunta]],Ohj.lask.[Jaettava € 5])</f>
        <v>766156</v>
      </c>
      <c r="Y17" s="15">
        <f>SUMIF(Ohj.lask.[Maakunta],Maakunt.[[#This Row],[Maakunta]],Ohj.lask.[Painotetut pisteet 6])</f>
        <v>13555776.6</v>
      </c>
      <c r="Z17" s="13">
        <f>SUMIF(Ohj.lask.[Maakunta],Maakunt.[[#This Row],[Maakunta]],Ohj.lask.[%-osuus 6])</f>
        <v>3.3926060764134867E-2</v>
      </c>
      <c r="AA17" s="20">
        <f>SUMIF(Ohj.lask.[Maakunta],Maakunt.[[#This Row],[Maakunta]],Ohj.lask.[Jaettava € 6])</f>
        <v>781623</v>
      </c>
      <c r="AB17" s="14">
        <f>SUMIF(Ohj.lask.[Maakunta],Maakunt.[[#This Row],[Maakunta]],Ohj.lask.[Pisteet 7])</f>
        <v>3534060.9</v>
      </c>
      <c r="AC17" s="13">
        <f>SUMIF(Ohj.lask.[Maakunta],Maakunt.[[#This Row],[Maakunta]],Ohj.lask.[%-osuus 7])</f>
        <v>1.8487014374157163E-2</v>
      </c>
      <c r="AD17" s="14">
        <f>SUMIF(Ohj.lask.[Maakunta],Maakunt.[[#This Row],[Maakunta]],Ohj.lask.[Jaettava € 7])</f>
        <v>141974</v>
      </c>
      <c r="AE17" s="16">
        <f>SUMIF(Ohj.lask.[Maakunta],Maakunt.[[#This Row],[Maakunta]],Ohj.lask.[%-osuus 8])</f>
        <v>3.0217194274158341E-2</v>
      </c>
      <c r="AF17" s="14">
        <f>SUMIF(Ohj.lask.[Maakunta],Maakunt.[[#This Row],[Maakunta]],Ohj.lask.[Jaettava € 8])</f>
        <v>60978570</v>
      </c>
      <c r="AG17" s="37">
        <f>SUMIF(Ohj.lask.[Maakunta],Maakunt.[[#This Row],[Maakunta]],Ohj.lask.[Harkinnanvarainen korotus 1, €])</f>
        <v>0</v>
      </c>
      <c r="AH17" s="37">
        <f>SUMIF(Ohj.lask.[Maakunta],Maakunt.[[#This Row],[Maakunta]],Ohj.lask.[Harkinnanvarainen korotus 2, €])</f>
        <v>0</v>
      </c>
      <c r="AI17" s="37">
        <f>SUMIF(Ohj.lask.[Maakunta],Maakunt.[[#This Row],[Maakunta]],Ohj.lask.[Harkinnanvarainen korotus 3, €])</f>
        <v>0</v>
      </c>
      <c r="AJ17" s="37">
        <f>SUMIF(Ohj.lask.[Maakunta],Maakunt.[[#This Row],[Maakunta]],Ohj.lask.[Harkinnanvarainen korotus 4, €])</f>
        <v>0</v>
      </c>
      <c r="AK17" s="37">
        <f>SUMIF(Ohj.lask.[Maakunta],Maakunt.[[#This Row],[Maakunta]],Ohj.lask.[Harkinnanvarainen korotus 5, €])</f>
        <v>0</v>
      </c>
      <c r="AL17" s="37">
        <f>SUMIF(Ohj.lask.[Maakunta],Maakunt.[[#This Row],[Maakunta]],Ohj.lask.[Harkinnanvarainen korotus 6, €])</f>
        <v>0</v>
      </c>
      <c r="AM17" s="14">
        <f>SUMIF(Ohj.lask.[Maakunta],Maakunt.[[#This Row],[Maakunta]],Ohj.lask.[Harkinnanvarainen korotus 7, €])</f>
        <v>105000</v>
      </c>
      <c r="AN17" s="20">
        <f>SUMIF(Ohj.lask.[Maakunta],Maakunt.[[#This Row],[Maakunta]],Ohj.lask.[Harkinnanvarainen korotus 8, €])</f>
        <v>0</v>
      </c>
      <c r="AO17" s="14">
        <f>SUM(Maakunt.[[#This Row],[Harkinnanvarainen korotus 8, €]],Maakunt.[[#This Row],[Harkinnanvarainen korotus 7, €]],Maakunt.[[#This Row],[Harkinnanvarainen korotus 6, €]],Maakunt.[[#This Row],[Harkinnanvarainen korotus 5, €]],Maakunt.[[#This Row],[Harkinnanvarainen korotus 4, €]],Maakunt.[[#This Row],[Harkinnanvarainen korotus 3, €]],Maakunt.[[#This Row],[Harkinnanvarainen korotus 2, €]],Maakunt.[[#This Row],[Harkinnanvarainen korotus 1, €]])</f>
        <v>105000</v>
      </c>
      <c r="AP17" s="15">
        <f>SUMIF(Ohj.lask.[Maakunta],Maakunt.[[#This Row],[Maakunta]],Ohj.lask.[Suoriteperusteinen (opiskelijavuosiin perustuva) sekä harkinnanvarainen korotus, €])</f>
        <v>42698829</v>
      </c>
      <c r="AQ17" s="15">
        <f>SUMIF(Ohj.lask.[Maakunta],Maakunt.[[#This Row],[Maakunta]],Ohj.lask.[Suoritusrahoitus, €])</f>
        <v>11787054</v>
      </c>
      <c r="AR17" s="15">
        <f>SUMIF(Ohj.lask.[Maakunta],Maakunt.[[#This Row],[Maakunta]],Ohj.lask.[Työllistymiseen ja jatko-opintoihin siirtymiseen, opiskelijapalautteiseen sekä työelämäpalautteeseen perustuva, €])</f>
        <v>6597687</v>
      </c>
      <c r="AS17" s="37">
        <f>SUMIF(Ohj.lask.[Maakunta],Maakunt.[[#This Row],[Maakunta]],Ohj.lask.[Perus-, suoritus- ja vaikuttavuusrahoitus yhteensä, €])</f>
        <v>61083570</v>
      </c>
      <c r="AT17" s="16">
        <f>Maakunt.[[#This Row],[Jaettava € 1]]/Maakunt.[[#This Row],[Perus-, suoritus- ja vaikuttavuusrahoitus yhteensä, €]]</f>
        <v>0.69730418506973313</v>
      </c>
      <c r="AU17" s="13">
        <f>Maakunt.[[#This Row],[Suoriteperusteinen (opiskelijavuosiin perustuva) sekä harkinnanvarainen korotus, €]]/Maakunt.[[#This Row],[Perus-, suoritus- ja vaikuttavuusrahoitus yhteensä, €]]</f>
        <v>0.69902314157473111</v>
      </c>
      <c r="AV17" s="46">
        <f>Maakunt.[[#This Row],[Suoritusrahoitus, €]]/Maakunt.[[#This Row],[Perus-, suoritus- ja vaikuttavuusrahoitus yhteensä, €]]</f>
        <v>0.19296602998154824</v>
      </c>
      <c r="AW17" s="13">
        <f>Maakunt.[[#This Row],[Työllistymiseen ja jatko-opintoihin siirtymiseen, opiskelijapalautteiseen sekä työelämäpalautteeseen perustuva, €]]/Maakunt.[[#This Row],[Perus-, suoritus- ja vaikuttavuusrahoitus yhteensä, €]]</f>
        <v>0.10801082844372063</v>
      </c>
      <c r="AX17" s="13">
        <f>SUMIF(Ohj.lask.[Maakunta],Maakunt.[[#This Row],[Maakunta]],Ohj.lask.[Jaettava € 3])/Maakunt.[[#This Row],[Perus-, suoritus- ja vaikuttavuusrahoitus yhteensä, €]]</f>
        <v>7.6272670376011098E-2</v>
      </c>
      <c r="AY17" s="13">
        <f>SUMIF(Ohj.lask.[Maakunta],Maakunt.[[#This Row],[Maakunta]],Ohj.lask.[Jaettava € 4])/Maakunt.[[#This Row],[Perus-, suoritus- ja vaikuttavuusrahoitus yhteensä, €]]</f>
        <v>4.0751874849488988E-3</v>
      </c>
      <c r="AZ17" s="13">
        <f>SUMIF(Ohj.lask.[Maakunta],Maakunt.[[#This Row],[Maakunta]],Ohj.lask.[Jaettava € 5])/Maakunt.[[#This Row],[Perus-, suoritus- ja vaikuttavuusrahoitus yhteensä, €]]</f>
        <v>1.2542750857554658E-2</v>
      </c>
      <c r="BA17" s="13">
        <f>SUMIF(Ohj.lask.[Maakunta],Maakunt.[[#This Row],[Maakunta]],Ohj.lask.[Jaettava € 6])/Maakunt.[[#This Row],[Perus-, suoritus- ja vaikuttavuusrahoitus yhteensä, €]]</f>
        <v>1.2795961336248029E-2</v>
      </c>
      <c r="BB17" s="38">
        <f>SUMIF(Ohj.lask.[Maakunta],Maakunt.[[#This Row],[Maakunta]],Ohj.lask.[Jaettava € 7])/Maakunt.[[#This Row],[Perus-, suoritus- ja vaikuttavuusrahoitus yhteensä, €]]</f>
        <v>2.3242583889579475E-3</v>
      </c>
      <c r="BC17" s="14">
        <f>SUMIF(Vertailu[Maakunta],Maakunt.[[#This Row],[Maakunta]],Vertailu[Rahoitus ml. hark. kor. 
2022 ilman alv, €])</f>
        <v>55342256</v>
      </c>
      <c r="BD17" s="15">
        <f>SUMIF(Vertailu[Maakunta],Maakunt.[[#This Row],[Maakunta]],Vertailu[Rahoitus ml. hark. kor. 
2023 ilman alv, €])</f>
        <v>61083570</v>
      </c>
      <c r="BE17" s="15">
        <f>SUMIF(Vertailu[Maakunta],Maakunt.[[#This Row],[Maakunta]],Vertailu[Muutos, € 2])</f>
        <v>5741314</v>
      </c>
      <c r="BF17" s="38">
        <f>IFERROR(Maakunt.[[#This Row],[Muutos, €]]/Maakunt.[[#This Row],[Rahoitus ml. hark. kor. 
2022 ilman alv, €]],0)</f>
        <v>0.10374195804377762</v>
      </c>
    </row>
    <row r="18" spans="1:58" x14ac:dyDescent="0.3">
      <c r="A18" s="19" t="s">
        <v>187</v>
      </c>
      <c r="B18" s="19">
        <f>COUNTIF(Ohj.lask.[Maakunta],Maakunt.[[#This Row],[Maakunta]])</f>
        <v>11</v>
      </c>
      <c r="C18" s="19">
        <f>COUNTIFS(Ohj.lask.[Maakunta],Maakunt.[[#This Row],[Maakunta]],Ohj.lask.[Omistajatyyppi],"=yksityinen")</f>
        <v>7</v>
      </c>
      <c r="D18" s="19">
        <f>COUNTIFS(Ohj.lask.[Maakunta],Maakunt.[[#This Row],[Maakunta]],Ohj.lask.[Omistajatyyppi],"=kunta")</f>
        <v>1</v>
      </c>
      <c r="E18" s="19">
        <f>COUNTIFS(Ohj.lask.[Maakunta],Maakunt.[[#This Row],[Maakunta]],Ohj.lask.[Omistajatyyppi],"=kuntayhtymä")</f>
        <v>3</v>
      </c>
      <c r="F18" s="15">
        <f>SUMIF(Ohj.lask.[Maakunta],Maakunt.[[#This Row],[Maakunta]],Ohj.lask.[Järjestämisluvan opisk.vuosien vähimmäismäärä])</f>
        <v>10967</v>
      </c>
      <c r="G18" s="14">
        <f>SUMIF(Ohj.lask.[Maakunta],Maakunt.[[#This Row],[Maakunta]],Ohj.lask.[Suoritepäätöksellä jaettavat opisk.vuodet (luvan ylittävä osuus)])</f>
        <v>536</v>
      </c>
      <c r="H18" s="14">
        <f>SUMIF(Ohj.lask.[Maakunta],Maakunt.[[#This Row],[Maakunta]],Ohj.lask.[Tavoitteelliset opiskelija-vuodet])</f>
        <v>11503</v>
      </c>
      <c r="I18" s="77">
        <f>Maakunt.[[#This Row],[Painotetut opiskelija-vuodet]]/Maakunt.[[#This Row],[Tavoitteelliset opiske-lijavuodet]]</f>
        <v>1.1435277753629487</v>
      </c>
      <c r="J18" s="78">
        <f>SUMIF(Ohj.lask.[Maakunta],Maakunt.[[#This Row],[Maakunta]],Ohj.lask.[Painotetut opiskelija-vuodet])</f>
        <v>13154</v>
      </c>
      <c r="K18" s="13">
        <f>SUMIF(Ohj.lask.[Maakunta],Maakunt.[[#This Row],[Maakunta]],Ohj.lask.[%-osuus 1])</f>
        <v>6.0891607938406596E-2</v>
      </c>
      <c r="L18" s="14">
        <f>SUMIF(Ohj.lask.[Maakunta],Maakunt.[[#This Row],[Maakunta]],Ohj.lask.[Jaettava € 1])</f>
        <v>85469652</v>
      </c>
      <c r="M18" s="15">
        <f>SUMIF(Ohj.lask.[Maakunta],Maakunt.[[#This Row],[Maakunta]],Ohj.lask.[Painotetut pisteet 2])</f>
        <v>1021513.6000000001</v>
      </c>
      <c r="N18" s="13">
        <f>SUMIF(Ohj.lask.[Maakunta],Maakunt.[[#This Row],[Maakunta]],Ohj.lask.[%-osuus 2])</f>
        <v>6.5781865241818449E-2</v>
      </c>
      <c r="O18" s="14">
        <f>SUMIF(Ohj.lask.[Maakunta],Maakunt.[[#This Row],[Maakunta]],Ohj.lask.[Jaettava € 2])</f>
        <v>26943069</v>
      </c>
      <c r="P18" s="15">
        <f>SUMIF(Ohj.lask.[Maakunta],Maakunt.[[#This Row],[Maakunta]],Ohj.lask.[Painotetut pisteet 3])</f>
        <v>21806.500000000004</v>
      </c>
      <c r="Q18" s="13">
        <f>SUMIF(Ohj.lask.[Maakunta],Maakunt.[[#This Row],[Maakunta]],Ohj.lask.[%-osuus 3])</f>
        <v>7.0017784995808213E-2</v>
      </c>
      <c r="R18" s="14">
        <f>SUMIF(Ohj.lask.[Maakunta],Maakunt.[[#This Row],[Maakunta]],Ohj.lask.[Jaettava € 3])</f>
        <v>10037309</v>
      </c>
      <c r="S18" s="15">
        <f>SUMIF(Ohj.lask.[Maakunta],Maakunt.[[#This Row],[Maakunta]],Ohj.lask.[Painotetut pisteet 4])</f>
        <v>110967.4</v>
      </c>
      <c r="T18" s="13">
        <f>SUMIF(Ohj.lask.[Maakunta],Maakunt.[[#This Row],[Maakunta]],Ohj.lask.[%-osuus 4])</f>
        <v>7.0749179769736215E-2</v>
      </c>
      <c r="U18" s="14">
        <f>SUMIF(Ohj.lask.[Maakunta],Maakunt.[[#This Row],[Maakunta]],Ohj.lask.[Jaettava € 4])</f>
        <v>543331</v>
      </c>
      <c r="V18" s="15">
        <f>SUMIF(Ohj.lask.[Maakunta],Maakunt.[[#This Row],[Maakunta]],Ohj.lask.[Painotetut pisteet 5])</f>
        <v>622691.19999999995</v>
      </c>
      <c r="W18" s="13">
        <f>SUMIF(Ohj.lask.[Maakunta],Maakunt.[[#This Row],[Maakunta]],Ohj.lask.[%-osuus 5])</f>
        <v>6.543516719268265E-2</v>
      </c>
      <c r="X18" s="20">
        <f>SUMIF(Ohj.lask.[Maakunta],Maakunt.[[#This Row],[Maakunta]],Ohj.lask.[Jaettava € 5])</f>
        <v>1507560</v>
      </c>
      <c r="Y18" s="15">
        <f>SUMIF(Ohj.lask.[Maakunta],Maakunt.[[#This Row],[Maakunta]],Ohj.lask.[Painotetut pisteet 6])</f>
        <v>29557572.300000001</v>
      </c>
      <c r="Z18" s="13">
        <f>SUMIF(Ohj.lask.[Maakunta],Maakunt.[[#This Row],[Maakunta]],Ohj.lask.[%-osuus 6])</f>
        <v>7.397377689819036E-2</v>
      </c>
      <c r="AA18" s="20">
        <f>SUMIF(Ohj.lask.[Maakunta],Maakunt.[[#This Row],[Maakunta]],Ohj.lask.[Jaettava € 6])</f>
        <v>1704281</v>
      </c>
      <c r="AB18" s="14">
        <f>SUMIF(Ohj.lask.[Maakunta],Maakunt.[[#This Row],[Maakunta]],Ohj.lask.[Pisteet 7])</f>
        <v>15463035.5</v>
      </c>
      <c r="AC18" s="13">
        <f>SUMIF(Ohj.lask.[Maakunta],Maakunt.[[#This Row],[Maakunta]],Ohj.lask.[%-osuus 7])</f>
        <v>8.0888634249795324E-2</v>
      </c>
      <c r="AD18" s="14">
        <f>SUMIF(Ohj.lask.[Maakunta],Maakunt.[[#This Row],[Maakunta]],Ohj.lask.[Jaettava € 7])</f>
        <v>621198</v>
      </c>
      <c r="AE18" s="16">
        <f>SUMIF(Ohj.lask.[Maakunta],Maakunt.[[#This Row],[Maakunta]],Ohj.lask.[%-osuus 8])</f>
        <v>6.2847291563119898E-2</v>
      </c>
      <c r="AF18" s="14">
        <f>SUMIF(Ohj.lask.[Maakunta],Maakunt.[[#This Row],[Maakunta]],Ohj.lask.[Jaettava € 8])</f>
        <v>126826400</v>
      </c>
      <c r="AG18" s="37">
        <f>SUMIF(Ohj.lask.[Maakunta],Maakunt.[[#This Row],[Maakunta]],Ohj.lask.[Harkinnanvarainen korotus 1, €])</f>
        <v>0</v>
      </c>
      <c r="AH18" s="37">
        <f>SUMIF(Ohj.lask.[Maakunta],Maakunt.[[#This Row],[Maakunta]],Ohj.lask.[Harkinnanvarainen korotus 2, €])</f>
        <v>0</v>
      </c>
      <c r="AI18" s="37">
        <f>SUMIF(Ohj.lask.[Maakunta],Maakunt.[[#This Row],[Maakunta]],Ohj.lask.[Harkinnanvarainen korotus 3, €])</f>
        <v>0</v>
      </c>
      <c r="AJ18" s="37">
        <f>SUMIF(Ohj.lask.[Maakunta],Maakunt.[[#This Row],[Maakunta]],Ohj.lask.[Harkinnanvarainen korotus 4, €])</f>
        <v>0</v>
      </c>
      <c r="AK18" s="37">
        <f>SUMIF(Ohj.lask.[Maakunta],Maakunt.[[#This Row],[Maakunta]],Ohj.lask.[Harkinnanvarainen korotus 5, €])</f>
        <v>0</v>
      </c>
      <c r="AL18" s="37">
        <f>SUMIF(Ohj.lask.[Maakunta],Maakunt.[[#This Row],[Maakunta]],Ohj.lask.[Harkinnanvarainen korotus 6, €])</f>
        <v>0</v>
      </c>
      <c r="AM18" s="14">
        <f>SUMIF(Ohj.lask.[Maakunta],Maakunt.[[#This Row],[Maakunta]],Ohj.lask.[Harkinnanvarainen korotus 7, €])</f>
        <v>203000</v>
      </c>
      <c r="AN18" s="20">
        <f>SUMIF(Ohj.lask.[Maakunta],Maakunt.[[#This Row],[Maakunta]],Ohj.lask.[Harkinnanvarainen korotus 8, €])</f>
        <v>44000</v>
      </c>
      <c r="AO18" s="14">
        <f>SUM(Maakunt.[[#This Row],[Harkinnanvarainen korotus 8, €]],Maakunt.[[#This Row],[Harkinnanvarainen korotus 7, €]],Maakunt.[[#This Row],[Harkinnanvarainen korotus 6, €]],Maakunt.[[#This Row],[Harkinnanvarainen korotus 5, €]],Maakunt.[[#This Row],[Harkinnanvarainen korotus 4, €]],Maakunt.[[#This Row],[Harkinnanvarainen korotus 3, €]],Maakunt.[[#This Row],[Harkinnanvarainen korotus 2, €]],Maakunt.[[#This Row],[Harkinnanvarainen korotus 1, €]])</f>
        <v>247000</v>
      </c>
      <c r="AP18" s="15">
        <f>SUMIF(Ohj.lask.[Maakunta],Maakunt.[[#This Row],[Maakunta]],Ohj.lask.[Suoriteperusteinen (opiskelijavuosiin perustuva) sekä harkinnanvarainen korotus, €])</f>
        <v>85716652</v>
      </c>
      <c r="AQ18" s="15">
        <f>SUMIF(Ohj.lask.[Maakunta],Maakunt.[[#This Row],[Maakunta]],Ohj.lask.[Suoritusrahoitus, €])</f>
        <v>26943069</v>
      </c>
      <c r="AR18" s="15">
        <f>SUMIF(Ohj.lask.[Maakunta],Maakunt.[[#This Row],[Maakunta]],Ohj.lask.[Työllistymiseen ja jatko-opintoihin siirtymiseen, opiskelijapalautteiseen sekä työelämäpalautteeseen perustuva, €])</f>
        <v>14413679</v>
      </c>
      <c r="AS18" s="37">
        <f>SUMIF(Ohj.lask.[Maakunta],Maakunt.[[#This Row],[Maakunta]],Ohj.lask.[Perus-, suoritus- ja vaikuttavuusrahoitus yhteensä, €])</f>
        <v>127073400</v>
      </c>
      <c r="AT18" s="16">
        <f>Maakunt.[[#This Row],[Jaettava € 1]]/Maakunt.[[#This Row],[Perus-, suoritus- ja vaikuttavuusrahoitus yhteensä, €]]</f>
        <v>0.67260065442492289</v>
      </c>
      <c r="AU18" s="13">
        <f>Maakunt.[[#This Row],[Suoriteperusteinen (opiskelijavuosiin perustuva) sekä harkinnanvarainen korotus, €]]/Maakunt.[[#This Row],[Perus-, suoritus- ja vaikuttavuusrahoitus yhteensä, €]]</f>
        <v>0.67454441291411105</v>
      </c>
      <c r="AV18" s="46">
        <f>Maakunt.[[#This Row],[Suoritusrahoitus, €]]/Maakunt.[[#This Row],[Perus-, suoritus- ja vaikuttavuusrahoitus yhteensä, €]]</f>
        <v>0.21202760766612053</v>
      </c>
      <c r="AW18" s="13">
        <f>Maakunt.[[#This Row],[Työllistymiseen ja jatko-opintoihin siirtymiseen, opiskelijapalautteiseen sekä työelämäpalautteeseen perustuva, €]]/Maakunt.[[#This Row],[Perus-, suoritus- ja vaikuttavuusrahoitus yhteensä, €]]</f>
        <v>0.11342797941976841</v>
      </c>
      <c r="AX18" s="13">
        <f>SUMIF(Ohj.lask.[Maakunta],Maakunt.[[#This Row],[Maakunta]],Ohj.lask.[Jaettava € 3])/Maakunt.[[#This Row],[Perus-, suoritus- ja vaikuttavuusrahoitus yhteensä, €]]</f>
        <v>7.8988277641111354E-2</v>
      </c>
      <c r="AY18" s="13">
        <f>SUMIF(Ohj.lask.[Maakunta],Maakunt.[[#This Row],[Maakunta]],Ohj.lask.[Jaettava € 4])/Maakunt.[[#This Row],[Perus-, suoritus- ja vaikuttavuusrahoitus yhteensä, €]]</f>
        <v>4.2757256829517431E-3</v>
      </c>
      <c r="AZ18" s="13">
        <f>SUMIF(Ohj.lask.[Maakunta],Maakunt.[[#This Row],[Maakunta]],Ohj.lask.[Jaettava € 5])/Maakunt.[[#This Row],[Perus-, suoritus- ja vaikuttavuusrahoitus yhteensä, €]]</f>
        <v>1.186369452615575E-2</v>
      </c>
      <c r="BA18" s="13">
        <f>SUMIF(Ohj.lask.[Maakunta],Maakunt.[[#This Row],[Maakunta]],Ohj.lask.[Jaettava € 6])/Maakunt.[[#This Row],[Perus-, suoritus- ja vaikuttavuusrahoitus yhteensä, €]]</f>
        <v>1.3411784055514372E-2</v>
      </c>
      <c r="BB18" s="38">
        <f>SUMIF(Ohj.lask.[Maakunta],Maakunt.[[#This Row],[Maakunta]],Ohj.lask.[Jaettava € 7])/Maakunt.[[#This Row],[Perus-, suoritus- ja vaikuttavuusrahoitus yhteensä, €]]</f>
        <v>4.8884975140351958E-3</v>
      </c>
      <c r="BC18" s="14">
        <f>SUMIF(Vertailu[Maakunta],Maakunt.[[#This Row],[Maakunta]],Vertailu[Rahoitus ml. hark. kor. 
2022 ilman alv, €])</f>
        <v>118908092</v>
      </c>
      <c r="BD18" s="15">
        <f>SUMIF(Vertailu[Maakunta],Maakunt.[[#This Row],[Maakunta]],Vertailu[Rahoitus ml. hark. kor. 
2023 ilman alv, €])</f>
        <v>127073400</v>
      </c>
      <c r="BE18" s="15">
        <f>SUMIF(Vertailu[Maakunta],Maakunt.[[#This Row],[Maakunta]],Vertailu[Muutos, € 2])</f>
        <v>8165308</v>
      </c>
      <c r="BF18" s="38">
        <f>IFERROR(Maakunt.[[#This Row],[Muutos, €]]/Maakunt.[[#This Row],[Rahoitus ml. hark. kor. 
2022 ilman alv, €]],0)</f>
        <v>6.8669069216920911E-2</v>
      </c>
    </row>
    <row r="19" spans="1:58" x14ac:dyDescent="0.3">
      <c r="A19" s="19" t="s">
        <v>184</v>
      </c>
      <c r="B19" s="19">
        <f>COUNTIF(Ohj.lask.[Maakunta],Maakunt.[[#This Row],[Maakunta]])</f>
        <v>8</v>
      </c>
      <c r="C19" s="19">
        <f>COUNTIFS(Ohj.lask.[Maakunta],Maakunt.[[#This Row],[Maakunta]],Ohj.lask.[Omistajatyyppi],"=yksityinen")</f>
        <v>6</v>
      </c>
      <c r="D19" s="19">
        <f>COUNTIFS(Ohj.lask.[Maakunta],Maakunt.[[#This Row],[Maakunta]],Ohj.lask.[Omistajatyyppi],"=kunta")</f>
        <v>0</v>
      </c>
      <c r="E19" s="19">
        <f>COUNTIFS(Ohj.lask.[Maakunta],Maakunt.[[#This Row],[Maakunta]],Ohj.lask.[Omistajatyyppi],"=kuntayhtymä")</f>
        <v>2</v>
      </c>
      <c r="F19" s="15">
        <f>SUMIF(Ohj.lask.[Maakunta],Maakunt.[[#This Row],[Maakunta]],Ohj.lask.[Järjestämisluvan opisk.vuosien vähimmäismäärä])</f>
        <v>7376</v>
      </c>
      <c r="G19" s="14">
        <f>SUMIF(Ohj.lask.[Maakunta],Maakunt.[[#This Row],[Maakunta]],Ohj.lask.[Suoritepäätöksellä jaettavat opisk.vuodet (luvan ylittävä osuus)])</f>
        <v>821</v>
      </c>
      <c r="H19" s="14">
        <f>SUMIF(Ohj.lask.[Maakunta],Maakunt.[[#This Row],[Maakunta]],Ohj.lask.[Tavoitteelliset opiskelija-vuodet])</f>
        <v>8197</v>
      </c>
      <c r="I19" s="77">
        <f>Maakunt.[[#This Row],[Painotetut opiskelija-vuodet]]/Maakunt.[[#This Row],[Tavoitteelliset opiske-lijavuodet]]</f>
        <v>1.1454922532633891</v>
      </c>
      <c r="J19" s="78">
        <f>SUMIF(Ohj.lask.[Maakunta],Maakunt.[[#This Row],[Maakunta]],Ohj.lask.[Painotetut opiskelija-vuodet])</f>
        <v>9389.6</v>
      </c>
      <c r="K19" s="13">
        <f>SUMIF(Ohj.lask.[Maakunta],Maakunt.[[#This Row],[Maakunta]],Ohj.lask.[%-osuus 1])</f>
        <v>4.346570183202543E-2</v>
      </c>
      <c r="L19" s="14">
        <f>SUMIF(Ohj.lask.[Maakunta],Maakunt.[[#This Row],[Maakunta]],Ohj.lask.[Jaettava € 1])</f>
        <v>61010025</v>
      </c>
      <c r="M19" s="15">
        <f>SUMIF(Ohj.lask.[Maakunta],Maakunt.[[#This Row],[Maakunta]],Ohj.lask.[Painotetut pisteet 2])</f>
        <v>674366.5</v>
      </c>
      <c r="N19" s="13">
        <f>SUMIF(Ohj.lask.[Maakunta],Maakunt.[[#This Row],[Maakunta]],Ohj.lask.[%-osuus 2])</f>
        <v>4.3426819013077017E-2</v>
      </c>
      <c r="O19" s="14">
        <f>SUMIF(Ohj.lask.[Maakunta],Maakunt.[[#This Row],[Maakunta]],Ohj.lask.[Jaettava € 2])</f>
        <v>17786843</v>
      </c>
      <c r="P19" s="15">
        <f>SUMIF(Ohj.lask.[Maakunta],Maakunt.[[#This Row],[Maakunta]],Ohj.lask.[Painotetut pisteet 3])</f>
        <v>14380.2</v>
      </c>
      <c r="Q19" s="13">
        <f>SUMIF(Ohj.lask.[Maakunta],Maakunt.[[#This Row],[Maakunta]],Ohj.lask.[%-osuus 3])</f>
        <v>4.6172918707574416E-2</v>
      </c>
      <c r="R19" s="14">
        <f>SUMIF(Ohj.lask.[Maakunta],Maakunt.[[#This Row],[Maakunta]],Ohj.lask.[Jaettava € 3])</f>
        <v>6619058</v>
      </c>
      <c r="S19" s="15">
        <f>SUMIF(Ohj.lask.[Maakunta],Maakunt.[[#This Row],[Maakunta]],Ohj.lask.[Painotetut pisteet 4])</f>
        <v>94312</v>
      </c>
      <c r="T19" s="13">
        <f>SUMIF(Ohj.lask.[Maakunta],Maakunt.[[#This Row],[Maakunta]],Ohj.lask.[%-osuus 4])</f>
        <v>6.0130242237299972E-2</v>
      </c>
      <c r="U19" s="14">
        <f>SUMIF(Ohj.lask.[Maakunta],Maakunt.[[#This Row],[Maakunta]],Ohj.lask.[Jaettava € 4])</f>
        <v>461781</v>
      </c>
      <c r="V19" s="15">
        <f>SUMIF(Ohj.lask.[Maakunta],Maakunt.[[#This Row],[Maakunta]],Ohj.lask.[Painotetut pisteet 5])</f>
        <v>474340.20000000007</v>
      </c>
      <c r="W19" s="13">
        <f>SUMIF(Ohj.lask.[Maakunta],Maakunt.[[#This Row],[Maakunta]],Ohj.lask.[%-osuus 5])</f>
        <v>4.9845782778382829E-2</v>
      </c>
      <c r="X19" s="20">
        <f>SUMIF(Ohj.lask.[Maakunta],Maakunt.[[#This Row],[Maakunta]],Ohj.lask.[Jaettava € 5])</f>
        <v>1148396</v>
      </c>
      <c r="Y19" s="15">
        <f>SUMIF(Ohj.lask.[Maakunta],Maakunt.[[#This Row],[Maakunta]],Ohj.lask.[Painotetut pisteet 6])</f>
        <v>27898611.100000001</v>
      </c>
      <c r="Z19" s="13">
        <f>SUMIF(Ohj.lask.[Maakunta],Maakunt.[[#This Row],[Maakunta]],Ohj.lask.[%-osuus 6])</f>
        <v>6.9821892418437129E-2</v>
      </c>
      <c r="AA19" s="20">
        <f>SUMIF(Ohj.lask.[Maakunta],Maakunt.[[#This Row],[Maakunta]],Ohj.lask.[Jaettava € 6])</f>
        <v>1608627</v>
      </c>
      <c r="AB19" s="14">
        <f>SUMIF(Ohj.lask.[Maakunta],Maakunt.[[#This Row],[Maakunta]],Ohj.lask.[Pisteet 7])</f>
        <v>15051641.6</v>
      </c>
      <c r="AC19" s="13">
        <f>SUMIF(Ohj.lask.[Maakunta],Maakunt.[[#This Row],[Maakunta]],Ohj.lask.[%-osuus 7])</f>
        <v>7.8736592969821745E-2</v>
      </c>
      <c r="AD19" s="14">
        <f>SUMIF(Ohj.lask.[Maakunta],Maakunt.[[#This Row],[Maakunta]],Ohj.lask.[Jaettava € 7])</f>
        <v>604670</v>
      </c>
      <c r="AE19" s="16">
        <f>SUMIF(Ohj.lask.[Maakunta],Maakunt.[[#This Row],[Maakunta]],Ohj.lask.[%-osuus 8])</f>
        <v>4.4221507436289928E-2</v>
      </c>
      <c r="AF19" s="14">
        <f>SUMIF(Ohj.lask.[Maakunta],Maakunt.[[#This Row],[Maakunta]],Ohj.lask.[Jaettava € 8])</f>
        <v>89239400</v>
      </c>
      <c r="AG19" s="37">
        <f>SUMIF(Ohj.lask.[Maakunta],Maakunt.[[#This Row],[Maakunta]],Ohj.lask.[Harkinnanvarainen korotus 1, €])</f>
        <v>0</v>
      </c>
      <c r="AH19" s="37">
        <f>SUMIF(Ohj.lask.[Maakunta],Maakunt.[[#This Row],[Maakunta]],Ohj.lask.[Harkinnanvarainen korotus 2, €])</f>
        <v>0</v>
      </c>
      <c r="AI19" s="37">
        <f>SUMIF(Ohj.lask.[Maakunta],Maakunt.[[#This Row],[Maakunta]],Ohj.lask.[Harkinnanvarainen korotus 3, €])</f>
        <v>0</v>
      </c>
      <c r="AJ19" s="37">
        <f>SUMIF(Ohj.lask.[Maakunta],Maakunt.[[#This Row],[Maakunta]],Ohj.lask.[Harkinnanvarainen korotus 4, €])</f>
        <v>0</v>
      </c>
      <c r="AK19" s="37">
        <f>SUMIF(Ohj.lask.[Maakunta],Maakunt.[[#This Row],[Maakunta]],Ohj.lask.[Harkinnanvarainen korotus 5, €])</f>
        <v>0</v>
      </c>
      <c r="AL19" s="37">
        <f>SUMIF(Ohj.lask.[Maakunta],Maakunt.[[#This Row],[Maakunta]],Ohj.lask.[Harkinnanvarainen korotus 6, €])</f>
        <v>0</v>
      </c>
      <c r="AM19" s="14">
        <f>SUMIF(Ohj.lask.[Maakunta],Maakunt.[[#This Row],[Maakunta]],Ohj.lask.[Harkinnanvarainen korotus 7, €])</f>
        <v>115000</v>
      </c>
      <c r="AN19" s="20">
        <f>SUMIF(Ohj.lask.[Maakunta],Maakunt.[[#This Row],[Maakunta]],Ohj.lask.[Harkinnanvarainen korotus 8, €])</f>
        <v>42000</v>
      </c>
      <c r="AO19" s="14">
        <f>SUM(Maakunt.[[#This Row],[Harkinnanvarainen korotus 8, €]],Maakunt.[[#This Row],[Harkinnanvarainen korotus 7, €]],Maakunt.[[#This Row],[Harkinnanvarainen korotus 6, €]],Maakunt.[[#This Row],[Harkinnanvarainen korotus 5, €]],Maakunt.[[#This Row],[Harkinnanvarainen korotus 4, €]],Maakunt.[[#This Row],[Harkinnanvarainen korotus 3, €]],Maakunt.[[#This Row],[Harkinnanvarainen korotus 2, €]],Maakunt.[[#This Row],[Harkinnanvarainen korotus 1, €]])</f>
        <v>157000</v>
      </c>
      <c r="AP19" s="15">
        <f>SUMIF(Ohj.lask.[Maakunta],Maakunt.[[#This Row],[Maakunta]],Ohj.lask.[Suoriteperusteinen (opiskelijavuosiin perustuva) sekä harkinnanvarainen korotus, €])</f>
        <v>61167025</v>
      </c>
      <c r="AQ19" s="15">
        <f>SUMIF(Ohj.lask.[Maakunta],Maakunt.[[#This Row],[Maakunta]],Ohj.lask.[Suoritusrahoitus, €])</f>
        <v>17786843</v>
      </c>
      <c r="AR19" s="15">
        <f>SUMIF(Ohj.lask.[Maakunta],Maakunt.[[#This Row],[Maakunta]],Ohj.lask.[Työllistymiseen ja jatko-opintoihin siirtymiseen, opiskelijapalautteiseen sekä työelämäpalautteeseen perustuva, €])</f>
        <v>10442532</v>
      </c>
      <c r="AS19" s="37">
        <f>SUMIF(Ohj.lask.[Maakunta],Maakunt.[[#This Row],[Maakunta]],Ohj.lask.[Perus-, suoritus- ja vaikuttavuusrahoitus yhteensä, €])</f>
        <v>89396400</v>
      </c>
      <c r="AT19" s="16">
        <f>Maakunt.[[#This Row],[Jaettava € 1]]/Maakunt.[[#This Row],[Perus-, suoritus- ja vaikuttavuusrahoitus yhteensä, €]]</f>
        <v>0.68246624025128533</v>
      </c>
      <c r="AU19" s="13">
        <f>Maakunt.[[#This Row],[Suoriteperusteinen (opiskelijavuosiin perustuva) sekä harkinnanvarainen korotus, €]]/Maakunt.[[#This Row],[Perus-, suoritus- ja vaikuttavuusrahoitus yhteensä, €]]</f>
        <v>0.68422246309694801</v>
      </c>
      <c r="AV19" s="46">
        <f>Maakunt.[[#This Row],[Suoritusrahoitus, €]]/Maakunt.[[#This Row],[Perus-, suoritus- ja vaikuttavuusrahoitus yhteensä, €]]</f>
        <v>0.19896598744468458</v>
      </c>
      <c r="AW19" s="13">
        <f>Maakunt.[[#This Row],[Työllistymiseen ja jatko-opintoihin siirtymiseen, opiskelijapalautteiseen sekä työelämäpalautteeseen perustuva, €]]/Maakunt.[[#This Row],[Perus-, suoritus- ja vaikuttavuusrahoitus yhteensä, €]]</f>
        <v>0.11681154945836746</v>
      </c>
      <c r="AX19" s="13">
        <f>SUMIF(Ohj.lask.[Maakunta],Maakunt.[[#This Row],[Maakunta]],Ohj.lask.[Jaettava € 3])/Maakunt.[[#This Row],[Perus-, suoritus- ja vaikuttavuusrahoitus yhteensä, €]]</f>
        <v>7.4041661632906916E-2</v>
      </c>
      <c r="AY19" s="13">
        <f>SUMIF(Ohj.lask.[Maakunta],Maakunt.[[#This Row],[Maakunta]],Ohj.lask.[Jaettava € 4])/Maakunt.[[#This Row],[Perus-, suoritus- ja vaikuttavuusrahoitus yhteensä, €]]</f>
        <v>5.1655435789360648E-3</v>
      </c>
      <c r="AZ19" s="13">
        <f>SUMIF(Ohj.lask.[Maakunta],Maakunt.[[#This Row],[Maakunta]],Ohj.lask.[Jaettava € 5])/Maakunt.[[#This Row],[Perus-, suoritus- ja vaikuttavuusrahoitus yhteensä, €]]</f>
        <v>1.2846110134188848E-2</v>
      </c>
      <c r="BA19" s="13">
        <f>SUMIF(Ohj.lask.[Maakunta],Maakunt.[[#This Row],[Maakunta]],Ohj.lask.[Jaettava € 6])/Maakunt.[[#This Row],[Perus-, suoritus- ja vaikuttavuusrahoitus yhteensä, €]]</f>
        <v>1.7994315207323783E-2</v>
      </c>
      <c r="BB19" s="38">
        <f>SUMIF(Ohj.lask.[Maakunta],Maakunt.[[#This Row],[Maakunta]],Ohj.lask.[Jaettava € 7])/Maakunt.[[#This Row],[Perus-, suoritus- ja vaikuttavuusrahoitus yhteensä, €]]</f>
        <v>6.7639189050118353E-3</v>
      </c>
      <c r="BC19" s="14">
        <f>SUMIF(Vertailu[Maakunta],Maakunt.[[#This Row],[Maakunta]],Vertailu[Rahoitus ml. hark. kor. 
2022 ilman alv, €])</f>
        <v>81741720</v>
      </c>
      <c r="BD19" s="15">
        <f>SUMIF(Vertailu[Maakunta],Maakunt.[[#This Row],[Maakunta]],Vertailu[Rahoitus ml. hark. kor. 
2023 ilman alv, €])</f>
        <v>89396400</v>
      </c>
      <c r="BE19" s="15">
        <f>SUMIF(Vertailu[Maakunta],Maakunt.[[#This Row],[Maakunta]],Vertailu[Muutos, € 2])</f>
        <v>7654680</v>
      </c>
      <c r="BF19" s="38">
        <f>IFERROR(Maakunt.[[#This Row],[Muutos, €]]/Maakunt.[[#This Row],[Rahoitus ml. hark. kor. 
2022 ilman alv, €]],0)</f>
        <v>9.364471410682329E-2</v>
      </c>
    </row>
    <row r="20" spans="1:58" x14ac:dyDescent="0.3">
      <c r="A20" s="19" t="s">
        <v>192</v>
      </c>
      <c r="B20" s="19">
        <f>COUNTIF(Ohj.lask.[Maakunta],Maakunt.[[#This Row],[Maakunta]])</f>
        <v>4</v>
      </c>
      <c r="C20" s="19">
        <f>COUNTIFS(Ohj.lask.[Maakunta],Maakunt.[[#This Row],[Maakunta]],Ohj.lask.[Omistajatyyppi],"=yksityinen")</f>
        <v>3</v>
      </c>
      <c r="D20" s="19">
        <f>COUNTIFS(Ohj.lask.[Maakunta],Maakunt.[[#This Row],[Maakunta]],Ohj.lask.[Omistajatyyppi],"=kunta")</f>
        <v>0</v>
      </c>
      <c r="E20" s="19">
        <f>COUNTIFS(Ohj.lask.[Maakunta],Maakunt.[[#This Row],[Maakunta]],Ohj.lask.[Omistajatyyppi],"=kuntayhtymä")</f>
        <v>1</v>
      </c>
      <c r="F20" s="15">
        <f>SUMIF(Ohj.lask.[Maakunta],Maakunt.[[#This Row],[Maakunta]],Ohj.lask.[Järjestämisluvan opisk.vuosien vähimmäismäärä])</f>
        <v>5750</v>
      </c>
      <c r="G20" s="14">
        <f>SUMIF(Ohj.lask.[Maakunta],Maakunt.[[#This Row],[Maakunta]],Ohj.lask.[Suoritepäätöksellä jaettavat opisk.vuodet (luvan ylittävä osuus)])</f>
        <v>586</v>
      </c>
      <c r="H20" s="14">
        <f>SUMIF(Ohj.lask.[Maakunta],Maakunt.[[#This Row],[Maakunta]],Ohj.lask.[Tavoitteelliset opiskelija-vuodet])</f>
        <v>6336</v>
      </c>
      <c r="I20" s="77">
        <f>Maakunt.[[#This Row],[Painotetut opiskelija-vuodet]]/Maakunt.[[#This Row],[Tavoitteelliset opiske-lijavuodet]]</f>
        <v>1.0693497474747473</v>
      </c>
      <c r="J20" s="78">
        <f>SUMIF(Ohj.lask.[Maakunta],Maakunt.[[#This Row],[Maakunta]],Ohj.lask.[Painotetut opiskelija-vuodet])</f>
        <v>6775.4</v>
      </c>
      <c r="K20" s="13">
        <f>SUMIF(Ohj.lask.[Maakunta],Maakunt.[[#This Row],[Maakunta]],Ohj.lask.[%-osuus 1])</f>
        <v>3.13642238426243E-2</v>
      </c>
      <c r="L20" s="14">
        <f>SUMIF(Ohj.lask.[Maakunta],Maakunt.[[#This Row],[Maakunta]],Ohj.lask.[Jaettava € 1])</f>
        <v>44023954</v>
      </c>
      <c r="M20" s="15">
        <f>SUMIF(Ohj.lask.[Maakunta],Maakunt.[[#This Row],[Maakunta]],Ohj.lask.[Painotetut pisteet 2])</f>
        <v>530941.9</v>
      </c>
      <c r="N20" s="13">
        <f>SUMIF(Ohj.lask.[Maakunta],Maakunt.[[#This Row],[Maakunta]],Ohj.lask.[%-osuus 2])</f>
        <v>3.4190781715520029E-2</v>
      </c>
      <c r="O20" s="14">
        <f>SUMIF(Ohj.lask.[Maakunta],Maakunt.[[#This Row],[Maakunta]],Ohj.lask.[Jaettava € 2])</f>
        <v>14003928</v>
      </c>
      <c r="P20" s="15">
        <f>SUMIF(Ohj.lask.[Maakunta],Maakunt.[[#This Row],[Maakunta]],Ohj.lask.[Painotetut pisteet 3])</f>
        <v>11057.400000000001</v>
      </c>
      <c r="Q20" s="13">
        <f>SUMIF(Ohj.lask.[Maakunta],Maakunt.[[#This Row],[Maakunta]],Ohj.lask.[%-osuus 3])</f>
        <v>3.5503847743225639E-2</v>
      </c>
      <c r="R20" s="14">
        <f>SUMIF(Ohj.lask.[Maakunta],Maakunt.[[#This Row],[Maakunta]],Ohj.lask.[Jaettava € 3])</f>
        <v>5089608</v>
      </c>
      <c r="S20" s="15">
        <f>SUMIF(Ohj.lask.[Maakunta],Maakunt.[[#This Row],[Maakunta]],Ohj.lask.[Painotetut pisteet 4])</f>
        <v>52487.199999999997</v>
      </c>
      <c r="T20" s="13">
        <f>SUMIF(Ohj.lask.[Maakunta],Maakunt.[[#This Row],[Maakunta]],Ohj.lask.[%-osuus 4])</f>
        <v>3.346411962801777E-2</v>
      </c>
      <c r="U20" s="14">
        <f>SUMIF(Ohj.lask.[Maakunta],Maakunt.[[#This Row],[Maakunta]],Ohj.lask.[Jaettava € 4])</f>
        <v>256993</v>
      </c>
      <c r="V20" s="15">
        <f>SUMIF(Ohj.lask.[Maakunta],Maakunt.[[#This Row],[Maakunta]],Ohj.lask.[Painotetut pisteet 5])</f>
        <v>351744.4</v>
      </c>
      <c r="W20" s="13">
        <f>SUMIF(Ohj.lask.[Maakunta],Maakunt.[[#This Row],[Maakunta]],Ohj.lask.[%-osuus 5])</f>
        <v>3.6962869594254509E-2</v>
      </c>
      <c r="X20" s="20">
        <f>SUMIF(Ohj.lask.[Maakunta],Maakunt.[[#This Row],[Maakunta]],Ohj.lask.[Jaettava € 5])</f>
        <v>851587</v>
      </c>
      <c r="Y20" s="15">
        <f>SUMIF(Ohj.lask.[Maakunta],Maakunt.[[#This Row],[Maakunta]],Ohj.lask.[Painotetut pisteet 6])</f>
        <v>20889048.100000005</v>
      </c>
      <c r="Z20" s="13">
        <f>SUMIF(Ohj.lask.[Maakunta],Maakunt.[[#This Row],[Maakunta]],Ohj.lask.[%-osuus 6])</f>
        <v>5.2279049445646368E-2</v>
      </c>
      <c r="AA20" s="20">
        <f>SUMIF(Ohj.lask.[Maakunta],Maakunt.[[#This Row],[Maakunta]],Ohj.lask.[Jaettava € 6])</f>
        <v>1204457</v>
      </c>
      <c r="AB20" s="14">
        <f>SUMIF(Ohj.lask.[Maakunta],Maakunt.[[#This Row],[Maakunta]],Ohj.lask.[Pisteet 7])</f>
        <v>7852904.3999999994</v>
      </c>
      <c r="AC20" s="13">
        <f>SUMIF(Ohj.lask.[Maakunta],Maakunt.[[#This Row],[Maakunta]],Ohj.lask.[%-osuus 7])</f>
        <v>4.107930243128579E-2</v>
      </c>
      <c r="AD20" s="14">
        <f>SUMIF(Ohj.lask.[Maakunta],Maakunt.[[#This Row],[Maakunta]],Ohj.lask.[Jaettava € 7])</f>
        <v>315475</v>
      </c>
      <c r="AE20" s="16">
        <f>SUMIF(Ohj.lask.[Maakunta],Maakunt.[[#This Row],[Maakunta]],Ohj.lask.[%-osuus 8])</f>
        <v>3.2579637652755761E-2</v>
      </c>
      <c r="AF20" s="14">
        <f>SUMIF(Ohj.lask.[Maakunta],Maakunt.[[#This Row],[Maakunta]],Ohj.lask.[Jaettava € 8])</f>
        <v>65746002</v>
      </c>
      <c r="AG20" s="37">
        <f>SUMIF(Ohj.lask.[Maakunta],Maakunt.[[#This Row],[Maakunta]],Ohj.lask.[Harkinnanvarainen korotus 1, €])</f>
        <v>0</v>
      </c>
      <c r="AH20" s="37">
        <f>SUMIF(Ohj.lask.[Maakunta],Maakunt.[[#This Row],[Maakunta]],Ohj.lask.[Harkinnanvarainen korotus 2, €])</f>
        <v>0</v>
      </c>
      <c r="AI20" s="37">
        <f>SUMIF(Ohj.lask.[Maakunta],Maakunt.[[#This Row],[Maakunta]],Ohj.lask.[Harkinnanvarainen korotus 3, €])</f>
        <v>0</v>
      </c>
      <c r="AJ20" s="37">
        <f>SUMIF(Ohj.lask.[Maakunta],Maakunt.[[#This Row],[Maakunta]],Ohj.lask.[Harkinnanvarainen korotus 4, €])</f>
        <v>0</v>
      </c>
      <c r="AK20" s="37">
        <f>SUMIF(Ohj.lask.[Maakunta],Maakunt.[[#This Row],[Maakunta]],Ohj.lask.[Harkinnanvarainen korotus 5, €])</f>
        <v>0</v>
      </c>
      <c r="AL20" s="37">
        <f>SUMIF(Ohj.lask.[Maakunta],Maakunt.[[#This Row],[Maakunta]],Ohj.lask.[Harkinnanvarainen korotus 6, €])</f>
        <v>0</v>
      </c>
      <c r="AM20" s="14">
        <f>SUMIF(Ohj.lask.[Maakunta],Maakunt.[[#This Row],[Maakunta]],Ohj.lask.[Harkinnanvarainen korotus 7, €])</f>
        <v>6000</v>
      </c>
      <c r="AN20" s="20">
        <f>SUMIF(Ohj.lask.[Maakunta],Maakunt.[[#This Row],[Maakunta]],Ohj.lask.[Harkinnanvarainen korotus 8, €])</f>
        <v>32000</v>
      </c>
      <c r="AO20" s="14">
        <f>SUM(Maakunt.[[#This Row],[Harkinnanvarainen korotus 8, €]],Maakunt.[[#This Row],[Harkinnanvarainen korotus 7, €]],Maakunt.[[#This Row],[Harkinnanvarainen korotus 6, €]],Maakunt.[[#This Row],[Harkinnanvarainen korotus 5, €]],Maakunt.[[#This Row],[Harkinnanvarainen korotus 4, €]],Maakunt.[[#This Row],[Harkinnanvarainen korotus 3, €]],Maakunt.[[#This Row],[Harkinnanvarainen korotus 2, €]],Maakunt.[[#This Row],[Harkinnanvarainen korotus 1, €]])</f>
        <v>38000</v>
      </c>
      <c r="AP20" s="15">
        <f>SUMIF(Ohj.lask.[Maakunta],Maakunt.[[#This Row],[Maakunta]],Ohj.lask.[Suoriteperusteinen (opiskelijavuosiin perustuva) sekä harkinnanvarainen korotus, €])</f>
        <v>44061954</v>
      </c>
      <c r="AQ20" s="15">
        <f>SUMIF(Ohj.lask.[Maakunta],Maakunt.[[#This Row],[Maakunta]],Ohj.lask.[Suoritusrahoitus, €])</f>
        <v>14003928</v>
      </c>
      <c r="AR20" s="15">
        <f>SUMIF(Ohj.lask.[Maakunta],Maakunt.[[#This Row],[Maakunta]],Ohj.lask.[Työllistymiseen ja jatko-opintoihin siirtymiseen, opiskelijapalautteiseen sekä työelämäpalautteeseen perustuva, €])</f>
        <v>7718120</v>
      </c>
      <c r="AS20" s="37">
        <f>SUMIF(Ohj.lask.[Maakunta],Maakunt.[[#This Row],[Maakunta]],Ohj.lask.[Perus-, suoritus- ja vaikuttavuusrahoitus yhteensä, €])</f>
        <v>65784002</v>
      </c>
      <c r="AT20" s="16">
        <f>Maakunt.[[#This Row],[Jaettava € 1]]/Maakunt.[[#This Row],[Perus-, suoritus- ja vaikuttavuusrahoitus yhteensä, €]]</f>
        <v>0.66921975953971302</v>
      </c>
      <c r="AU20" s="13">
        <f>Maakunt.[[#This Row],[Suoriteperusteinen (opiskelijavuosiin perustuva) sekä harkinnanvarainen korotus, €]]/Maakunt.[[#This Row],[Perus-, suoritus- ja vaikuttavuusrahoitus yhteensä, €]]</f>
        <v>0.66979740758246964</v>
      </c>
      <c r="AV20" s="46">
        <f>Maakunt.[[#This Row],[Suoritusrahoitus, €]]/Maakunt.[[#This Row],[Perus-, suoritus- ja vaikuttavuusrahoitus yhteensä, €]]</f>
        <v>0.21287741052908274</v>
      </c>
      <c r="AW20" s="13">
        <f>Maakunt.[[#This Row],[Työllistymiseen ja jatko-opintoihin siirtymiseen, opiskelijapalautteiseen sekä työelämäpalautteeseen perustuva, €]]/Maakunt.[[#This Row],[Perus-, suoritus- ja vaikuttavuusrahoitus yhteensä, €]]</f>
        <v>0.11732518188844759</v>
      </c>
      <c r="AX20" s="13">
        <f>SUMIF(Ohj.lask.[Maakunta],Maakunt.[[#This Row],[Maakunta]],Ohj.lask.[Jaettava € 3])/Maakunt.[[#This Row],[Perus-, suoritus- ja vaikuttavuusrahoitus yhteensä, €]]</f>
        <v>7.7368476305226919E-2</v>
      </c>
      <c r="AY20" s="13">
        <f>SUMIF(Ohj.lask.[Maakunta],Maakunt.[[#This Row],[Maakunta]],Ohj.lask.[Jaettava € 4])/Maakunt.[[#This Row],[Perus-, suoritus- ja vaikuttavuusrahoitus yhteensä, €]]</f>
        <v>3.9066185118989873E-3</v>
      </c>
      <c r="AZ20" s="13">
        <f>SUMIF(Ohj.lask.[Maakunta],Maakunt.[[#This Row],[Maakunta]],Ohj.lask.[Jaettava € 5])/Maakunt.[[#This Row],[Perus-, suoritus- ja vaikuttavuusrahoitus yhteensä, €]]</f>
        <v>1.2945199047026661E-2</v>
      </c>
      <c r="BA20" s="13">
        <f>SUMIF(Ohj.lask.[Maakunta],Maakunt.[[#This Row],[Maakunta]],Ohj.lask.[Jaettava € 6])/Maakunt.[[#This Row],[Perus-, suoritus- ja vaikuttavuusrahoitus yhteensä, €]]</f>
        <v>1.8309269174593544E-2</v>
      </c>
      <c r="BB20" s="38">
        <f>SUMIF(Ohj.lask.[Maakunta],Maakunt.[[#This Row],[Maakunta]],Ohj.lask.[Jaettava € 7])/Maakunt.[[#This Row],[Perus-, suoritus- ja vaikuttavuusrahoitus yhteensä, €]]</f>
        <v>4.7956188497014825E-3</v>
      </c>
      <c r="BC20" s="14">
        <f>SUMIF(Vertailu[Maakunta],Maakunt.[[#This Row],[Maakunta]],Vertailu[Rahoitus ml. hark. kor. 
2022 ilman alv, €])</f>
        <v>60185512</v>
      </c>
      <c r="BD20" s="15">
        <f>SUMIF(Vertailu[Maakunta],Maakunt.[[#This Row],[Maakunta]],Vertailu[Rahoitus ml. hark. kor. 
2023 ilman alv, €])</f>
        <v>65784002</v>
      </c>
      <c r="BE20" s="15">
        <f>SUMIF(Vertailu[Maakunta],Maakunt.[[#This Row],[Maakunta]],Vertailu[Muutos, € 2])</f>
        <v>5598490</v>
      </c>
      <c r="BF20" s="38">
        <f>IFERROR(Maakunt.[[#This Row],[Muutos, €]]/Maakunt.[[#This Row],[Rahoitus ml. hark. kor. 
2022 ilman alv, €]],0)</f>
        <v>9.3020559499435676E-2</v>
      </c>
    </row>
    <row r="21" spans="1:58" x14ac:dyDescent="0.3">
      <c r="A21" s="19" t="s">
        <v>224</v>
      </c>
      <c r="B21" s="19">
        <f>COUNTIF(Ohj.lask.[Maakunta],Maakunt.[[#This Row],[Maakunta]])</f>
        <v>5</v>
      </c>
      <c r="C21" s="19">
        <f>COUNTIFS(Ohj.lask.[Maakunta],Maakunt.[[#This Row],[Maakunta]],Ohj.lask.[Omistajatyyppi],"=yksityinen")</f>
        <v>4</v>
      </c>
      <c r="D21" s="19">
        <f>COUNTIFS(Ohj.lask.[Maakunta],Maakunt.[[#This Row],[Maakunta]],Ohj.lask.[Omistajatyyppi],"=kunta")</f>
        <v>0</v>
      </c>
      <c r="E21" s="19">
        <f>COUNTIFS(Ohj.lask.[Maakunta],Maakunt.[[#This Row],[Maakunta]],Ohj.lask.[Omistajatyyppi],"=kuntayhtymä")</f>
        <v>1</v>
      </c>
      <c r="F21" s="15">
        <f>SUMIF(Ohj.lask.[Maakunta],Maakunt.[[#This Row],[Maakunta]],Ohj.lask.[Järjestämisluvan opisk.vuosien vähimmäismäärä])</f>
        <v>6272</v>
      </c>
      <c r="G21" s="14">
        <f>SUMIF(Ohj.lask.[Maakunta],Maakunt.[[#This Row],[Maakunta]],Ohj.lask.[Suoritepäätöksellä jaettavat opisk.vuodet (luvan ylittävä osuus)])</f>
        <v>1183</v>
      </c>
      <c r="H21" s="14">
        <f>SUMIF(Ohj.lask.[Maakunta],Maakunt.[[#This Row],[Maakunta]],Ohj.lask.[Tavoitteelliset opiskelija-vuodet])</f>
        <v>7455</v>
      </c>
      <c r="I21" s="77">
        <f>Maakunt.[[#This Row],[Painotetut opiskelija-vuodet]]/Maakunt.[[#This Row],[Tavoitteelliset opiske-lijavuodet]]</f>
        <v>1.0491482226693496</v>
      </c>
      <c r="J21" s="78">
        <f>SUMIF(Ohj.lask.[Maakunta],Maakunt.[[#This Row],[Maakunta]],Ohj.lask.[Painotetut opiskelija-vuodet])</f>
        <v>7821.4000000000005</v>
      </c>
      <c r="K21" s="13">
        <f>SUMIF(Ohj.lask.[Maakunta],Maakunt.[[#This Row],[Maakunta]],Ohj.lask.[%-osuus 1])</f>
        <v>3.6206296360761239E-2</v>
      </c>
      <c r="L21" s="14">
        <f>SUMIF(Ohj.lask.[Maakunta],Maakunt.[[#This Row],[Maakunta]],Ohj.lask.[Jaettava € 1])</f>
        <v>50820462</v>
      </c>
      <c r="M21" s="15">
        <f>SUMIF(Ohj.lask.[Maakunta],Maakunt.[[#This Row],[Maakunta]],Ohj.lask.[Painotetut pisteet 2])</f>
        <v>647055</v>
      </c>
      <c r="N21" s="13">
        <f>SUMIF(Ohj.lask.[Maakunta],Maakunt.[[#This Row],[Maakunta]],Ohj.lask.[%-osuus 2])</f>
        <v>4.1668054947134166E-2</v>
      </c>
      <c r="O21" s="14">
        <f>SUMIF(Ohj.lask.[Maakunta],Maakunt.[[#This Row],[Maakunta]],Ohj.lask.[Jaettava € 2])</f>
        <v>17066485</v>
      </c>
      <c r="P21" s="15">
        <f>SUMIF(Ohj.lask.[Maakunta],Maakunt.[[#This Row],[Maakunta]],Ohj.lask.[Painotetut pisteet 3])</f>
        <v>11933.4</v>
      </c>
      <c r="Q21" s="13">
        <f>SUMIF(Ohj.lask.[Maakunta],Maakunt.[[#This Row],[Maakunta]],Ohj.lask.[%-osuus 3])</f>
        <v>3.8316567787997968E-2</v>
      </c>
      <c r="R21" s="14">
        <f>SUMIF(Ohj.lask.[Maakunta],Maakunt.[[#This Row],[Maakunta]],Ohj.lask.[Jaettava € 3])</f>
        <v>5492821</v>
      </c>
      <c r="S21" s="15">
        <f>SUMIF(Ohj.lask.[Maakunta],Maakunt.[[#This Row],[Maakunta]],Ohj.lask.[Painotetut pisteet 4])</f>
        <v>68821.8</v>
      </c>
      <c r="T21" s="13">
        <f>SUMIF(Ohj.lask.[Maakunta],Maakunt.[[#This Row],[Maakunta]],Ohj.lask.[%-osuus 4])</f>
        <v>4.3878525587486339E-2</v>
      </c>
      <c r="U21" s="14">
        <f>SUMIF(Ohj.lask.[Maakunta],Maakunt.[[#This Row],[Maakunta]],Ohj.lask.[Jaettava € 4])</f>
        <v>336973</v>
      </c>
      <c r="V21" s="15">
        <f>SUMIF(Ohj.lask.[Maakunta],Maakunt.[[#This Row],[Maakunta]],Ohj.lask.[Painotetut pisteet 5])</f>
        <v>414718.9</v>
      </c>
      <c r="W21" s="13">
        <f>SUMIF(Ohj.lask.[Maakunta],Maakunt.[[#This Row],[Maakunta]],Ohj.lask.[%-osuus 5])</f>
        <v>4.3580510788438068E-2</v>
      </c>
      <c r="X21" s="20">
        <f>SUMIF(Ohj.lask.[Maakunta],Maakunt.[[#This Row],[Maakunta]],Ohj.lask.[Jaettava € 5])</f>
        <v>1004051</v>
      </c>
      <c r="Y21" s="15">
        <f>SUMIF(Ohj.lask.[Maakunta],Maakunt.[[#This Row],[Maakunta]],Ohj.lask.[Painotetut pisteet 6])</f>
        <v>11495966.1</v>
      </c>
      <c r="Z21" s="13">
        <f>SUMIF(Ohj.lask.[Maakunta],Maakunt.[[#This Row],[Maakunta]],Ohj.lask.[%-osuus 6])</f>
        <v>2.8770970189272264E-2</v>
      </c>
      <c r="AA21" s="20">
        <f>SUMIF(Ohj.lask.[Maakunta],Maakunt.[[#This Row],[Maakunta]],Ohj.lask.[Jaettava € 6])</f>
        <v>662854</v>
      </c>
      <c r="AB21" s="14">
        <f>SUMIF(Ohj.lask.[Maakunta],Maakunt.[[#This Row],[Maakunta]],Ohj.lask.[Pisteet 7])</f>
        <v>5692569.5999999996</v>
      </c>
      <c r="AC21" s="13">
        <f>SUMIF(Ohj.lask.[Maakunta],Maakunt.[[#This Row],[Maakunta]],Ohj.lask.[%-osuus 7])</f>
        <v>2.9778382149863374E-2</v>
      </c>
      <c r="AD21" s="14">
        <f>SUMIF(Ohj.lask.[Maakunta],Maakunt.[[#This Row],[Maakunta]],Ohj.lask.[Jaettava € 7])</f>
        <v>228687</v>
      </c>
      <c r="AE21" s="16">
        <f>SUMIF(Ohj.lask.[Maakunta],Maakunt.[[#This Row],[Maakunta]],Ohj.lask.[%-osuus 8])</f>
        <v>3.746877888056991E-2</v>
      </c>
      <c r="AF21" s="14">
        <f>SUMIF(Ohj.lask.[Maakunta],Maakunt.[[#This Row],[Maakunta]],Ohj.lask.[Jaettava € 8])</f>
        <v>75612333</v>
      </c>
      <c r="AG21" s="37">
        <f>SUMIF(Ohj.lask.[Maakunta],Maakunt.[[#This Row],[Maakunta]],Ohj.lask.[Harkinnanvarainen korotus 1, €])</f>
        <v>6685000</v>
      </c>
      <c r="AH21" s="37">
        <f>SUMIF(Ohj.lask.[Maakunta],Maakunt.[[#This Row],[Maakunta]],Ohj.lask.[Harkinnanvarainen korotus 2, €])</f>
        <v>0</v>
      </c>
      <c r="AI21" s="37">
        <f>SUMIF(Ohj.lask.[Maakunta],Maakunt.[[#This Row],[Maakunta]],Ohj.lask.[Harkinnanvarainen korotus 3, €])</f>
        <v>0</v>
      </c>
      <c r="AJ21" s="37">
        <f>SUMIF(Ohj.lask.[Maakunta],Maakunt.[[#This Row],[Maakunta]],Ohj.lask.[Harkinnanvarainen korotus 4, €])</f>
        <v>0</v>
      </c>
      <c r="AK21" s="37">
        <f>SUMIF(Ohj.lask.[Maakunta],Maakunt.[[#This Row],[Maakunta]],Ohj.lask.[Harkinnanvarainen korotus 5, €])</f>
        <v>0</v>
      </c>
      <c r="AL21" s="37">
        <f>SUMIF(Ohj.lask.[Maakunta],Maakunt.[[#This Row],[Maakunta]],Ohj.lask.[Harkinnanvarainen korotus 6, €])</f>
        <v>0</v>
      </c>
      <c r="AM21" s="14">
        <f>SUMIF(Ohj.lask.[Maakunta],Maakunt.[[#This Row],[Maakunta]],Ohj.lask.[Harkinnanvarainen korotus 7, €])</f>
        <v>73000</v>
      </c>
      <c r="AN21" s="20">
        <f>SUMIF(Ohj.lask.[Maakunta],Maakunt.[[#This Row],[Maakunta]],Ohj.lask.[Harkinnanvarainen korotus 8, €])</f>
        <v>0</v>
      </c>
      <c r="AO21" s="14">
        <f>SUM(Maakunt.[[#This Row],[Harkinnanvarainen korotus 8, €]],Maakunt.[[#This Row],[Harkinnanvarainen korotus 7, €]],Maakunt.[[#This Row],[Harkinnanvarainen korotus 6, €]],Maakunt.[[#This Row],[Harkinnanvarainen korotus 5, €]],Maakunt.[[#This Row],[Harkinnanvarainen korotus 4, €]],Maakunt.[[#This Row],[Harkinnanvarainen korotus 3, €]],Maakunt.[[#This Row],[Harkinnanvarainen korotus 2, €]],Maakunt.[[#This Row],[Harkinnanvarainen korotus 1, €]])</f>
        <v>6758000</v>
      </c>
      <c r="AP21" s="15">
        <f>SUMIF(Ohj.lask.[Maakunta],Maakunt.[[#This Row],[Maakunta]],Ohj.lask.[Suoriteperusteinen (opiskelijavuosiin perustuva) sekä harkinnanvarainen korotus, €])</f>
        <v>57578462</v>
      </c>
      <c r="AQ21" s="15">
        <f>SUMIF(Ohj.lask.[Maakunta],Maakunt.[[#This Row],[Maakunta]],Ohj.lask.[Suoritusrahoitus, €])</f>
        <v>17066485</v>
      </c>
      <c r="AR21" s="15">
        <f>SUMIF(Ohj.lask.[Maakunta],Maakunt.[[#This Row],[Maakunta]],Ohj.lask.[Työllistymiseen ja jatko-opintoihin siirtymiseen, opiskelijapalautteiseen sekä työelämäpalautteeseen perustuva, €])</f>
        <v>7725386</v>
      </c>
      <c r="AS21" s="37">
        <f>SUMIF(Ohj.lask.[Maakunta],Maakunt.[[#This Row],[Maakunta]],Ohj.lask.[Perus-, suoritus- ja vaikuttavuusrahoitus yhteensä, €])</f>
        <v>82370333</v>
      </c>
      <c r="AT21" s="16">
        <f>Maakunt.[[#This Row],[Jaettava € 1]]/Maakunt.[[#This Row],[Perus-, suoritus- ja vaikuttavuusrahoitus yhteensä, €]]</f>
        <v>0.61697531318709131</v>
      </c>
      <c r="AU21" s="13">
        <f>Maakunt.[[#This Row],[Suoriteperusteinen (opiskelijavuosiin perustuva) sekä harkinnanvarainen korotus, €]]/Maakunt.[[#This Row],[Perus-, suoritus- ja vaikuttavuusrahoitus yhteensä, €]]</f>
        <v>0.69901941515763932</v>
      </c>
      <c r="AV21" s="46">
        <f>Maakunt.[[#This Row],[Suoritusrahoitus, €]]/Maakunt.[[#This Row],[Perus-, suoritus- ja vaikuttavuusrahoitus yhteensä, €]]</f>
        <v>0.20719213311909276</v>
      </c>
      <c r="AW21" s="13">
        <f>Maakunt.[[#This Row],[Työllistymiseen ja jatko-opintoihin siirtymiseen, opiskelijapalautteiseen sekä työelämäpalautteeseen perustuva, €]]/Maakunt.[[#This Row],[Perus-, suoritus- ja vaikuttavuusrahoitus yhteensä, €]]</f>
        <v>9.3788451723267885E-2</v>
      </c>
      <c r="AX21" s="13">
        <f>SUMIF(Ohj.lask.[Maakunta],Maakunt.[[#This Row],[Maakunta]],Ohj.lask.[Jaettava € 3])/Maakunt.[[#This Row],[Perus-, suoritus- ja vaikuttavuusrahoitus yhteensä, €]]</f>
        <v>6.6684457861788657E-2</v>
      </c>
      <c r="AY21" s="13">
        <f>SUMIF(Ohj.lask.[Maakunta],Maakunt.[[#This Row],[Maakunta]],Ohj.lask.[Jaettava € 4])/Maakunt.[[#This Row],[Perus-, suoritus- ja vaikuttavuusrahoitus yhteensä, €]]</f>
        <v>4.0909510466589959E-3</v>
      </c>
      <c r="AZ21" s="13">
        <f>SUMIF(Ohj.lask.[Maakunta],Maakunt.[[#This Row],[Maakunta]],Ohj.lask.[Jaettava € 5])/Maakunt.[[#This Row],[Perus-, suoritus- ja vaikuttavuusrahoitus yhteensä, €]]</f>
        <v>1.2189473605745894E-2</v>
      </c>
      <c r="BA21" s="13">
        <f>SUMIF(Ohj.lask.[Maakunta],Maakunt.[[#This Row],[Maakunta]],Ohj.lask.[Jaettava € 6])/Maakunt.[[#This Row],[Perus-, suoritus- ja vaikuttavuusrahoitus yhteensä, €]]</f>
        <v>8.047241960281986E-3</v>
      </c>
      <c r="BB21" s="38">
        <f>SUMIF(Ohj.lask.[Maakunta],Maakunt.[[#This Row],[Maakunta]],Ohj.lask.[Jaettava € 7])/Maakunt.[[#This Row],[Perus-, suoritus- ja vaikuttavuusrahoitus yhteensä, €]]</f>
        <v>2.7763272487923533E-3</v>
      </c>
      <c r="BC21" s="14">
        <f>SUMIF(Vertailu[Maakunta],Maakunt.[[#This Row],[Maakunta]],Vertailu[Rahoitus ml. hark. kor. 
2022 ilman alv, €])</f>
        <v>76264279</v>
      </c>
      <c r="BD21" s="15">
        <f>SUMIF(Vertailu[Maakunta],Maakunt.[[#This Row],[Maakunta]],Vertailu[Rahoitus ml. hark. kor. 
2023 ilman alv, €])</f>
        <v>82370333</v>
      </c>
      <c r="BE21" s="15">
        <f>SUMIF(Vertailu[Maakunta],Maakunt.[[#This Row],[Maakunta]],Vertailu[Muutos, € 2])</f>
        <v>6106054</v>
      </c>
      <c r="BF21" s="38">
        <f>IFERROR(Maakunt.[[#This Row],[Muutos, €]]/Maakunt.[[#This Row],[Rahoitus ml. hark. kor. 
2022 ilman alv, €]],0)</f>
        <v>8.0064403414867397E-2</v>
      </c>
    </row>
    <row r="22" spans="1:58" x14ac:dyDescent="0.3">
      <c r="A22" s="19" t="s">
        <v>180</v>
      </c>
      <c r="B22" s="19">
        <f>COUNTIF(Ohj.lask.[Maakunta],Maakunt.[[#This Row],[Maakunta]])</f>
        <v>44</v>
      </c>
      <c r="C22" s="19">
        <f>COUNTIFS(Ohj.lask.[Maakunta],Maakunt.[[#This Row],[Maakunta]],Ohj.lask.[Omistajatyyppi],"=yksityinen")</f>
        <v>39</v>
      </c>
      <c r="D22" s="19">
        <f>COUNTIFS(Ohj.lask.[Maakunta],Maakunt.[[#This Row],[Maakunta]],Ohj.lask.[Omistajatyyppi],"=kunta")</f>
        <v>2</v>
      </c>
      <c r="E22" s="19">
        <f>COUNTIFS(Ohj.lask.[Maakunta],Maakunt.[[#This Row],[Maakunta]],Ohj.lask.[Omistajatyyppi],"=kuntayhtymä")</f>
        <v>3</v>
      </c>
      <c r="F22" s="15">
        <f>SUMIF(Ohj.lask.[Maakunta],Maakunt.[[#This Row],[Maakunta]],Ohj.lask.[Järjestämisluvan opisk.vuosien vähimmäismäärä])</f>
        <v>50631</v>
      </c>
      <c r="G22" s="14">
        <f>SUMIF(Ohj.lask.[Maakunta],Maakunt.[[#This Row],[Maakunta]],Ohj.lask.[Suoritepäätöksellä jaettavat opisk.vuodet (luvan ylittävä osuus)])</f>
        <v>11356</v>
      </c>
      <c r="H22" s="14">
        <f>SUMIF(Ohj.lask.[Maakunta],Maakunt.[[#This Row],[Maakunta]],Ohj.lask.[Tavoitteelliset opiskelija-vuodet])</f>
        <v>61987</v>
      </c>
      <c r="I22" s="77">
        <f>Maakunt.[[#This Row],[Painotetut opiskelija-vuodet]]/Maakunt.[[#This Row],[Tavoitteelliset opiske-lijavuodet]]</f>
        <v>1.2824350266991467</v>
      </c>
      <c r="J22" s="78">
        <f>SUMIF(Ohj.lask.[Maakunta],Maakunt.[[#This Row],[Maakunta]],Ohj.lask.[Painotetut opiskelija-vuodet])</f>
        <v>79494.3</v>
      </c>
      <c r="K22" s="13">
        <f>SUMIF(Ohj.lask.[Maakunta],Maakunt.[[#This Row],[Maakunta]],Ohj.lask.[%-osuus 1])</f>
        <v>0.36798964185328231</v>
      </c>
      <c r="L22" s="14">
        <f>SUMIF(Ohj.lask.[Maakunta],Maakunt.[[#This Row],[Maakunta]],Ohj.lask.[Jaettava € 1])</f>
        <v>516523506</v>
      </c>
      <c r="M22" s="15">
        <f>SUMIF(Ohj.lask.[Maakunta],Maakunt.[[#This Row],[Maakunta]],Ohj.lask.[Painotetut pisteet 2])</f>
        <v>5255981.799999998</v>
      </c>
      <c r="N22" s="13">
        <f>SUMIF(Ohj.lask.[Maakunta],Maakunt.[[#This Row],[Maakunta]],Ohj.lask.[%-osuus 2])</f>
        <v>0.33846665035203671</v>
      </c>
      <c r="O22" s="14">
        <f>SUMIF(Ohj.lask.[Maakunta],Maakunt.[[#This Row],[Maakunta]],Ohj.lask.[Jaettava € 2])</f>
        <v>138629848</v>
      </c>
      <c r="P22" s="15">
        <f>SUMIF(Ohj.lask.[Maakunta],Maakunt.[[#This Row],[Maakunta]],Ohj.lask.[Painotetut pisteet 3])</f>
        <v>99491.499999999985</v>
      </c>
      <c r="Q22" s="13">
        <f>SUMIF(Ohj.lask.[Maakunta],Maakunt.[[#This Row],[Maakunta]],Ohj.lask.[%-osuus 3])</f>
        <v>0.31945403691149205</v>
      </c>
      <c r="R22" s="14">
        <f>SUMIF(Ohj.lask.[Maakunta],Maakunt.[[#This Row],[Maakunta]],Ohj.lask.[Jaettava € 3])</f>
        <v>45794916</v>
      </c>
      <c r="S22" s="15">
        <f>SUMIF(Ohj.lask.[Maakunta],Maakunt.[[#This Row],[Maakunta]],Ohj.lask.[Painotetut pisteet 4])</f>
        <v>528290.69999999995</v>
      </c>
      <c r="T22" s="13">
        <f>SUMIF(Ohj.lask.[Maakunta],Maakunt.[[#This Row],[Maakunta]],Ohj.lask.[%-osuus 4])</f>
        <v>0.33682084742888246</v>
      </c>
      <c r="U22" s="14">
        <f>SUMIF(Ohj.lask.[Maakunta],Maakunt.[[#This Row],[Maakunta]],Ohj.lask.[Jaettava € 4])</f>
        <v>2586672</v>
      </c>
      <c r="V22" s="15">
        <f>SUMIF(Ohj.lask.[Maakunta],Maakunt.[[#This Row],[Maakunta]],Ohj.lask.[Painotetut pisteet 5])</f>
        <v>3219491.2999999989</v>
      </c>
      <c r="W22" s="13">
        <f>SUMIF(Ohj.lask.[Maakunta],Maakunt.[[#This Row],[Maakunta]],Ohj.lask.[%-osuus 5])</f>
        <v>0.33831849798244662</v>
      </c>
      <c r="X22" s="20">
        <f>SUMIF(Ohj.lask.[Maakunta],Maakunt.[[#This Row],[Maakunta]],Ohj.lask.[Jaettava € 5])</f>
        <v>7794514</v>
      </c>
      <c r="Y22" s="15">
        <f>SUMIF(Ohj.lask.[Maakunta],Maakunt.[[#This Row],[Maakunta]],Ohj.lask.[Painotetut pisteet 6])</f>
        <v>109134070.90000002</v>
      </c>
      <c r="Z22" s="13">
        <f>SUMIF(Ohj.lask.[Maakunta],Maakunt.[[#This Row],[Maakunta]],Ohj.lask.[%-osuus 6])</f>
        <v>0.27312998952718087</v>
      </c>
      <c r="AA22" s="20">
        <f>SUMIF(Ohj.lask.[Maakunta],Maakunt.[[#This Row],[Maakunta]],Ohj.lask.[Jaettava € 6])</f>
        <v>6292637</v>
      </c>
      <c r="AB22" s="14">
        <f>SUMIF(Ohj.lask.[Maakunta],Maakunt.[[#This Row],[Maakunta]],Ohj.lask.[Pisteet 7])</f>
        <v>47809877.399999999</v>
      </c>
      <c r="AC22" s="13">
        <f>SUMIF(Ohj.lask.[Maakunta],Maakunt.[[#This Row],[Maakunta]],Ohj.lask.[%-osuus 7])</f>
        <v>0.25009809274098577</v>
      </c>
      <c r="AD22" s="14">
        <f>SUMIF(Ohj.lask.[Maakunta],Maakunt.[[#This Row],[Maakunta]],Ohj.lask.[Jaettava € 7])</f>
        <v>1920667</v>
      </c>
      <c r="AE22" s="16">
        <f>SUMIF(Ohj.lask.[Maakunta],Maakunt.[[#This Row],[Maakunta]],Ohj.lask.[%-osuus 8])</f>
        <v>0.35656072891647178</v>
      </c>
      <c r="AF22" s="14">
        <f>SUMIF(Ohj.lask.[Maakunta],Maakunt.[[#This Row],[Maakunta]],Ohj.lask.[Jaettava € 8])</f>
        <v>719542760</v>
      </c>
      <c r="AG22" s="37">
        <f>SUMIF(Ohj.lask.[Maakunta],Maakunt.[[#This Row],[Maakunta]],Ohj.lask.[Harkinnanvarainen korotus 1, €])</f>
        <v>1490000</v>
      </c>
      <c r="AH22" s="37">
        <f>SUMIF(Ohj.lask.[Maakunta],Maakunt.[[#This Row],[Maakunta]],Ohj.lask.[Harkinnanvarainen korotus 2, €])</f>
        <v>140000</v>
      </c>
      <c r="AI22" s="37">
        <f>SUMIF(Ohj.lask.[Maakunta],Maakunt.[[#This Row],[Maakunta]],Ohj.lask.[Harkinnanvarainen korotus 3, €])</f>
        <v>0</v>
      </c>
      <c r="AJ22" s="37">
        <f>SUMIF(Ohj.lask.[Maakunta],Maakunt.[[#This Row],[Maakunta]],Ohj.lask.[Harkinnanvarainen korotus 4, €])</f>
        <v>0</v>
      </c>
      <c r="AK22" s="37">
        <f>SUMIF(Ohj.lask.[Maakunta],Maakunt.[[#This Row],[Maakunta]],Ohj.lask.[Harkinnanvarainen korotus 5, €])</f>
        <v>0</v>
      </c>
      <c r="AL22" s="37">
        <f>SUMIF(Ohj.lask.[Maakunta],Maakunt.[[#This Row],[Maakunta]],Ohj.lask.[Harkinnanvarainen korotus 6, €])</f>
        <v>0</v>
      </c>
      <c r="AM22" s="14">
        <f>SUMIF(Ohj.lask.[Maakunta],Maakunt.[[#This Row],[Maakunta]],Ohj.lask.[Harkinnanvarainen korotus 7, €])</f>
        <v>799000</v>
      </c>
      <c r="AN22" s="20">
        <f>SUMIF(Ohj.lask.[Maakunta],Maakunt.[[#This Row],[Maakunta]],Ohj.lask.[Harkinnanvarainen korotus 8, €])</f>
        <v>148000</v>
      </c>
      <c r="AO22" s="14">
        <f>SUM(Maakunt.[[#This Row],[Harkinnanvarainen korotus 8, €]],Maakunt.[[#This Row],[Harkinnanvarainen korotus 7, €]],Maakunt.[[#This Row],[Harkinnanvarainen korotus 6, €]],Maakunt.[[#This Row],[Harkinnanvarainen korotus 5, €]],Maakunt.[[#This Row],[Harkinnanvarainen korotus 4, €]],Maakunt.[[#This Row],[Harkinnanvarainen korotus 3, €]],Maakunt.[[#This Row],[Harkinnanvarainen korotus 2, €]],Maakunt.[[#This Row],[Harkinnanvarainen korotus 1, €]])</f>
        <v>2577000</v>
      </c>
      <c r="AP22" s="15">
        <f>SUMIF(Ohj.lask.[Maakunta],Maakunt.[[#This Row],[Maakunta]],Ohj.lask.[Suoriteperusteinen (opiskelijavuosiin perustuva) sekä harkinnanvarainen korotus, €])</f>
        <v>519100506</v>
      </c>
      <c r="AQ22" s="15">
        <f>SUMIF(Ohj.lask.[Maakunta],Maakunt.[[#This Row],[Maakunta]],Ohj.lask.[Suoritusrahoitus, €])</f>
        <v>138629848</v>
      </c>
      <c r="AR22" s="15">
        <f>SUMIF(Ohj.lask.[Maakunta],Maakunt.[[#This Row],[Maakunta]],Ohj.lask.[Työllistymiseen ja jatko-opintoihin siirtymiseen, opiskelijapalautteiseen sekä työelämäpalautteeseen perustuva, €])</f>
        <v>64389406</v>
      </c>
      <c r="AS22" s="37">
        <f>SUMIF(Ohj.lask.[Maakunta],Maakunt.[[#This Row],[Maakunta]],Ohj.lask.[Perus-, suoritus- ja vaikuttavuusrahoitus yhteensä, €])</f>
        <v>722119760</v>
      </c>
      <c r="AT22" s="16">
        <f>Maakunt.[[#This Row],[Jaettava € 1]]/Maakunt.[[#This Row],[Perus-, suoritus- ja vaikuttavuusrahoitus yhteensä, €]]</f>
        <v>0.71528787136360872</v>
      </c>
      <c r="AU22" s="13">
        <f>Maakunt.[[#This Row],[Suoriteperusteinen (opiskelijavuosiin perustuva) sekä harkinnanvarainen korotus, €]]/Maakunt.[[#This Row],[Perus-, suoritus- ja vaikuttavuusrahoitus yhteensä, €]]</f>
        <v>0.71885653149832096</v>
      </c>
      <c r="AV22" s="46">
        <f>Maakunt.[[#This Row],[Suoritusrahoitus, €]]/Maakunt.[[#This Row],[Perus-, suoritus- ja vaikuttavuusrahoitus yhteensä, €]]</f>
        <v>0.19197625612682306</v>
      </c>
      <c r="AW22" s="13">
        <f>Maakunt.[[#This Row],[Työllistymiseen ja jatko-opintoihin siirtymiseen, opiskelijapalautteiseen sekä työelämäpalautteeseen perustuva, €]]/Maakunt.[[#This Row],[Perus-, suoritus- ja vaikuttavuusrahoitus yhteensä, €]]</f>
        <v>8.9167212374855934E-2</v>
      </c>
      <c r="AX22" s="13">
        <f>SUMIF(Ohj.lask.[Maakunta],Maakunt.[[#This Row],[Maakunta]],Ohj.lask.[Jaettava € 3])/Maakunt.[[#This Row],[Perus-, suoritus- ja vaikuttavuusrahoitus yhteensä, €]]</f>
        <v>6.3417342297903606E-2</v>
      </c>
      <c r="AY22" s="13">
        <f>SUMIF(Ohj.lask.[Maakunta],Maakunt.[[#This Row],[Maakunta]],Ohj.lask.[Jaettava € 4])/Maakunt.[[#This Row],[Perus-, suoritus- ja vaikuttavuusrahoitus yhteensä, €]]</f>
        <v>3.5820540349152056E-3</v>
      </c>
      <c r="AZ22" s="13">
        <f>SUMIF(Ohj.lask.[Maakunta],Maakunt.[[#This Row],[Maakunta]],Ohj.lask.[Jaettava € 5])/Maakunt.[[#This Row],[Perus-, suoritus- ja vaikuttavuusrahoitus yhteensä, €]]</f>
        <v>1.0793935343910268E-2</v>
      </c>
      <c r="BA22" s="13">
        <f>SUMIF(Ohj.lask.[Maakunta],Maakunt.[[#This Row],[Maakunta]],Ohj.lask.[Jaettava € 6])/Maakunt.[[#This Row],[Perus-, suoritus- ja vaikuttavuusrahoitus yhteensä, €]]</f>
        <v>8.7141182786633613E-3</v>
      </c>
      <c r="BB22" s="38">
        <f>SUMIF(Ohj.lask.[Maakunta],Maakunt.[[#This Row],[Maakunta]],Ohj.lask.[Jaettava € 7])/Maakunt.[[#This Row],[Perus-, suoritus- ja vaikuttavuusrahoitus yhteensä, €]]</f>
        <v>2.6597624194634973E-3</v>
      </c>
      <c r="BC22" s="14">
        <f>SUMIF(Vertailu[Maakunta],Maakunt.[[#This Row],[Maakunta]],Vertailu[Rahoitus ml. hark. kor. 
2022 ilman alv, €])</f>
        <v>668718462</v>
      </c>
      <c r="BD22" s="15">
        <f>SUMIF(Vertailu[Maakunta],Maakunt.[[#This Row],[Maakunta]],Vertailu[Rahoitus ml. hark. kor. 
2023 ilman alv, €])</f>
        <v>722119760</v>
      </c>
      <c r="BE22" s="15">
        <f>SUMIF(Vertailu[Maakunta],Maakunt.[[#This Row],[Maakunta]],Vertailu[Muutos, € 2])</f>
        <v>53401298</v>
      </c>
      <c r="BF22" s="38">
        <f>IFERROR(Maakunt.[[#This Row],[Muutos, €]]/Maakunt.[[#This Row],[Rahoitus ml. hark. kor. 
2022 ilman alv, €]],0)</f>
        <v>7.9856174211622111E-2</v>
      </c>
    </row>
    <row r="23" spans="1:58" x14ac:dyDescent="0.3">
      <c r="A23" s="19" t="s">
        <v>194</v>
      </c>
      <c r="B23" s="19">
        <f>COUNTIF(Ohj.lask.[Maakunta],Maakunt.[[#This Row],[Maakunta]])</f>
        <v>11</v>
      </c>
      <c r="C23" s="19">
        <f>COUNTIFS(Ohj.lask.[Maakunta],Maakunt.[[#This Row],[Maakunta]],Ohj.lask.[Omistajatyyppi],"=yksityinen")</f>
        <v>6</v>
      </c>
      <c r="D23" s="19">
        <f>COUNTIFS(Ohj.lask.[Maakunta],Maakunt.[[#This Row],[Maakunta]],Ohj.lask.[Omistajatyyppi],"=kunta")</f>
        <v>1</v>
      </c>
      <c r="E23" s="19">
        <f>COUNTIFS(Ohj.lask.[Maakunta],Maakunt.[[#This Row],[Maakunta]],Ohj.lask.[Omistajatyyppi],"=kuntayhtymä")</f>
        <v>4</v>
      </c>
      <c r="F23" s="15">
        <f>SUMIF(Ohj.lask.[Maakunta],Maakunt.[[#This Row],[Maakunta]],Ohj.lask.[Järjestämisluvan opisk.vuosien vähimmäismäärä])</f>
        <v>11771</v>
      </c>
      <c r="G23" s="14">
        <f>SUMIF(Ohj.lask.[Maakunta],Maakunt.[[#This Row],[Maakunta]],Ohj.lask.[Suoritepäätöksellä jaettavat opisk.vuodet (luvan ylittävä osuus)])</f>
        <v>1548</v>
      </c>
      <c r="H23" s="14">
        <f>SUMIF(Ohj.lask.[Maakunta],Maakunt.[[#This Row],[Maakunta]],Ohj.lask.[Tavoitteelliset opiskelija-vuodet])</f>
        <v>13319</v>
      </c>
      <c r="I23" s="77">
        <f>Maakunt.[[#This Row],[Painotetut opiskelija-vuodet]]/Maakunt.[[#This Row],[Tavoitteelliset opiske-lijavuodet]]</f>
        <v>1.0563480741797433</v>
      </c>
      <c r="J23" s="78">
        <f>SUMIF(Ohj.lask.[Maakunta],Maakunt.[[#This Row],[Maakunta]],Ohj.lask.[Painotetut opiskelija-vuodet])</f>
        <v>14069.5</v>
      </c>
      <c r="K23" s="13">
        <f>SUMIF(Ohj.lask.[Maakunta],Maakunt.[[#This Row],[Maakunta]],Ohj.lask.[%-osuus 1])</f>
        <v>6.5129578674883046E-2</v>
      </c>
      <c r="L23" s="14">
        <f>SUMIF(Ohj.lask.[Maakunta],Maakunt.[[#This Row],[Maakunta]],Ohj.lask.[Jaettava € 1])</f>
        <v>91418223</v>
      </c>
      <c r="M23" s="15">
        <f>SUMIF(Ohj.lask.[Maakunta],Maakunt.[[#This Row],[Maakunta]],Ohj.lask.[Painotetut pisteet 2])</f>
        <v>1145133.7</v>
      </c>
      <c r="N23" s="13">
        <f>SUMIF(Ohj.lask.[Maakunta],Maakunt.[[#This Row],[Maakunta]],Ohj.lask.[%-osuus 2])</f>
        <v>7.3742562739512171E-2</v>
      </c>
      <c r="O23" s="14">
        <f>SUMIF(Ohj.lask.[Maakunta],Maakunt.[[#This Row],[Maakunta]],Ohj.lask.[Jaettava € 2])</f>
        <v>30203626</v>
      </c>
      <c r="P23" s="15">
        <f>SUMIF(Ohj.lask.[Maakunta],Maakunt.[[#This Row],[Maakunta]],Ohj.lask.[Painotetut pisteet 3])</f>
        <v>24227.600000000006</v>
      </c>
      <c r="Q23" s="13">
        <f>SUMIF(Ohj.lask.[Maakunta],Maakunt.[[#This Row],[Maakunta]],Ohj.lask.[%-osuus 3])</f>
        <v>7.7791616617267467E-2</v>
      </c>
      <c r="R23" s="14">
        <f>SUMIF(Ohj.lask.[Maakunta],Maakunt.[[#This Row],[Maakunta]],Ohj.lask.[Jaettava € 3])</f>
        <v>11151715</v>
      </c>
      <c r="S23" s="15">
        <f>SUMIF(Ohj.lask.[Maakunta],Maakunt.[[#This Row],[Maakunta]],Ohj.lask.[Painotetut pisteet 4])</f>
        <v>97226.099999999991</v>
      </c>
      <c r="T23" s="13">
        <f>SUMIF(Ohj.lask.[Maakunta],Maakunt.[[#This Row],[Maakunta]],Ohj.lask.[%-osuus 4])</f>
        <v>6.1988176952964116E-2</v>
      </c>
      <c r="U23" s="14">
        <f>SUMIF(Ohj.lask.[Maakunta],Maakunt.[[#This Row],[Maakunta]],Ohj.lask.[Jaettava € 4])</f>
        <v>476047</v>
      </c>
      <c r="V23" s="15">
        <f>SUMIF(Ohj.lask.[Maakunta],Maakunt.[[#This Row],[Maakunta]],Ohj.lask.[Painotetut pisteet 5])</f>
        <v>618880.09999999986</v>
      </c>
      <c r="W23" s="13">
        <f>SUMIF(Ohj.lask.[Maakunta],Maakunt.[[#This Row],[Maakunta]],Ohj.lask.[%-osuus 5])</f>
        <v>6.5034679815170304E-2</v>
      </c>
      <c r="X23" s="20">
        <f>SUMIF(Ohj.lask.[Maakunta],Maakunt.[[#This Row],[Maakunta]],Ohj.lask.[Jaettava € 5])</f>
        <v>1498333</v>
      </c>
      <c r="Y23" s="15">
        <f>SUMIF(Ohj.lask.[Maakunta],Maakunt.[[#This Row],[Maakunta]],Ohj.lask.[Painotetut pisteet 6])</f>
        <v>24472105.599999998</v>
      </c>
      <c r="Z23" s="13">
        <f>SUMIF(Ohj.lask.[Maakunta],Maakunt.[[#This Row],[Maakunta]],Ohj.lask.[%-osuus 6])</f>
        <v>6.1246372385033623E-2</v>
      </c>
      <c r="AA23" s="20">
        <f>SUMIF(Ohj.lask.[Maakunta],Maakunt.[[#This Row],[Maakunta]],Ohj.lask.[Jaettava € 6])</f>
        <v>1411055</v>
      </c>
      <c r="AB23" s="14">
        <f>SUMIF(Ohj.lask.[Maakunta],Maakunt.[[#This Row],[Maakunta]],Ohj.lask.[Pisteet 7])</f>
        <v>8335346.7000000002</v>
      </c>
      <c r="AC23" s="13">
        <f>SUMIF(Ohj.lask.[Maakunta],Maakunt.[[#This Row],[Maakunta]],Ohj.lask.[%-osuus 7])</f>
        <v>4.3603004763297509E-2</v>
      </c>
      <c r="AD23" s="14">
        <f>SUMIF(Ohj.lask.[Maakunta],Maakunt.[[#This Row],[Maakunta]],Ohj.lask.[Jaettava € 7])</f>
        <v>334857</v>
      </c>
      <c r="AE23" s="16">
        <f>SUMIF(Ohj.lask.[Maakunta],Maakunt.[[#This Row],[Maakunta]],Ohj.lask.[%-osuus 8])</f>
        <v>6.7637882685359696E-2</v>
      </c>
      <c r="AF23" s="14">
        <f>SUMIF(Ohj.lask.[Maakunta],Maakunt.[[#This Row],[Maakunta]],Ohj.lask.[Jaettava € 8])</f>
        <v>136493856</v>
      </c>
      <c r="AG23" s="37">
        <f>SUMIF(Ohj.lask.[Maakunta],Maakunt.[[#This Row],[Maakunta]],Ohj.lask.[Harkinnanvarainen korotus 1, €])</f>
        <v>0</v>
      </c>
      <c r="AH23" s="37">
        <f>SUMIF(Ohj.lask.[Maakunta],Maakunt.[[#This Row],[Maakunta]],Ohj.lask.[Harkinnanvarainen korotus 2, €])</f>
        <v>250000</v>
      </c>
      <c r="AI23" s="37">
        <f>SUMIF(Ohj.lask.[Maakunta],Maakunt.[[#This Row],[Maakunta]],Ohj.lask.[Harkinnanvarainen korotus 3, €])</f>
        <v>0</v>
      </c>
      <c r="AJ23" s="37">
        <f>SUMIF(Ohj.lask.[Maakunta],Maakunt.[[#This Row],[Maakunta]],Ohj.lask.[Harkinnanvarainen korotus 4, €])</f>
        <v>0</v>
      </c>
      <c r="AK23" s="37">
        <f>SUMIF(Ohj.lask.[Maakunta],Maakunt.[[#This Row],[Maakunta]],Ohj.lask.[Harkinnanvarainen korotus 5, €])</f>
        <v>0</v>
      </c>
      <c r="AL23" s="37">
        <f>SUMIF(Ohj.lask.[Maakunta],Maakunt.[[#This Row],[Maakunta]],Ohj.lask.[Harkinnanvarainen korotus 6, €])</f>
        <v>0</v>
      </c>
      <c r="AM23" s="14">
        <f>SUMIF(Ohj.lask.[Maakunta],Maakunt.[[#This Row],[Maakunta]],Ohj.lask.[Harkinnanvarainen korotus 7, €])</f>
        <v>131000</v>
      </c>
      <c r="AN23" s="20">
        <f>SUMIF(Ohj.lask.[Maakunta],Maakunt.[[#This Row],[Maakunta]],Ohj.lask.[Harkinnanvarainen korotus 8, €])</f>
        <v>39000</v>
      </c>
      <c r="AO23" s="14">
        <f>SUM(Maakunt.[[#This Row],[Harkinnanvarainen korotus 8, €]],Maakunt.[[#This Row],[Harkinnanvarainen korotus 7, €]],Maakunt.[[#This Row],[Harkinnanvarainen korotus 6, €]],Maakunt.[[#This Row],[Harkinnanvarainen korotus 5, €]],Maakunt.[[#This Row],[Harkinnanvarainen korotus 4, €]],Maakunt.[[#This Row],[Harkinnanvarainen korotus 3, €]],Maakunt.[[#This Row],[Harkinnanvarainen korotus 2, €]],Maakunt.[[#This Row],[Harkinnanvarainen korotus 1, €]])</f>
        <v>420000</v>
      </c>
      <c r="AP23" s="15">
        <f>SUMIF(Ohj.lask.[Maakunta],Maakunt.[[#This Row],[Maakunta]],Ohj.lask.[Suoriteperusteinen (opiskelijavuosiin perustuva) sekä harkinnanvarainen korotus, €])</f>
        <v>91838223</v>
      </c>
      <c r="AQ23" s="15">
        <f>SUMIF(Ohj.lask.[Maakunta],Maakunt.[[#This Row],[Maakunta]],Ohj.lask.[Suoritusrahoitus, €])</f>
        <v>30203626</v>
      </c>
      <c r="AR23" s="15">
        <f>SUMIF(Ohj.lask.[Maakunta],Maakunt.[[#This Row],[Maakunta]],Ohj.lask.[Työllistymiseen ja jatko-opintoihin siirtymiseen, opiskelijapalautteiseen sekä työelämäpalautteeseen perustuva, €])</f>
        <v>14872007</v>
      </c>
      <c r="AS23" s="37">
        <f>SUMIF(Ohj.lask.[Maakunta],Maakunt.[[#This Row],[Maakunta]],Ohj.lask.[Perus-, suoritus- ja vaikuttavuusrahoitus yhteensä, €])</f>
        <v>136913856</v>
      </c>
      <c r="AT23" s="16">
        <f>Maakunt.[[#This Row],[Jaettava € 1]]/Maakunt.[[#This Row],[Perus-, suoritus- ja vaikuttavuusrahoitus yhteensä, €]]</f>
        <v>0.66770614509608139</v>
      </c>
      <c r="AU23" s="142">
        <f>Maakunt.[[#This Row],[Suoriteperusteinen (opiskelijavuosiin perustuva) sekä harkinnanvarainen korotus, €]]/Maakunt.[[#This Row],[Perus-, suoritus- ja vaikuttavuusrahoitus yhteensä, €]]</f>
        <v>0.67077376741182426</v>
      </c>
      <c r="AV23" s="46">
        <f>Maakunt.[[#This Row],[Suoritusrahoitus, €]]/Maakunt.[[#This Row],[Perus-, suoritus- ja vaikuttavuusrahoitus yhteensä, €]]</f>
        <v>0.22060313603321494</v>
      </c>
      <c r="AW23" s="13">
        <f>Maakunt.[[#This Row],[Työllistymiseen ja jatko-opintoihin siirtymiseen, opiskelijapalautteiseen sekä työelämäpalautteeseen perustuva, €]]/Maakunt.[[#This Row],[Perus-, suoritus- ja vaikuttavuusrahoitus yhteensä, €]]</f>
        <v>0.1086230965549608</v>
      </c>
      <c r="AX23" s="13">
        <f>SUMIF(Ohj.lask.[Maakunta],Maakunt.[[#This Row],[Maakunta]],Ohj.lask.[Jaettava € 3])/Maakunt.[[#This Row],[Perus-, suoritus- ja vaikuttavuusrahoitus yhteensä, €]]</f>
        <v>8.1450594744771482E-2</v>
      </c>
      <c r="AY23" s="13">
        <f>SUMIF(Ohj.lask.[Maakunta],Maakunt.[[#This Row],[Maakunta]],Ohj.lask.[Jaettava € 4])/Maakunt.[[#This Row],[Perus-, suoritus- ja vaikuttavuusrahoitus yhteensä, €]]</f>
        <v>3.4769819060533947E-3</v>
      </c>
      <c r="AZ23" s="248">
        <f>SUMIF(Ohj.lask.[Maakunta],Maakunt.[[#This Row],[Maakunta]],Ohj.lask.[Jaettava € 5])/Maakunt.[[#This Row],[Perus-, suoritus- ja vaikuttavuusrahoitus yhteensä, €]]</f>
        <v>1.0943618445747375E-2</v>
      </c>
      <c r="BA23" s="13">
        <f>SUMIF(Ohj.lask.[Maakunta],Maakunt.[[#This Row],[Maakunta]],Ohj.lask.[Jaettava € 6])/Maakunt.[[#This Row],[Perus-, suoritus- ja vaikuttavuusrahoitus yhteensä, €]]</f>
        <v>1.0306151920810703E-2</v>
      </c>
      <c r="BB23" s="38">
        <f>SUMIF(Ohj.lask.[Maakunta],Maakunt.[[#This Row],[Maakunta]],Ohj.lask.[Jaettava € 7])/Maakunt.[[#This Row],[Perus-, suoritus- ja vaikuttavuusrahoitus yhteensä, €]]</f>
        <v>2.4457495375778474E-3</v>
      </c>
      <c r="BC23" s="14">
        <f>SUMIF(Vertailu[Maakunta],Maakunt.[[#This Row],[Maakunta]],Vertailu[Rahoitus ml. hark. kor. 
2022 ilman alv, €])</f>
        <v>129808568</v>
      </c>
      <c r="BD23" s="15">
        <f>SUMIF(Vertailu[Maakunta],Maakunt.[[#This Row],[Maakunta]],Vertailu[Rahoitus ml. hark. kor. 
2023 ilman alv, €])</f>
        <v>136913856</v>
      </c>
      <c r="BE23" s="15">
        <f>SUMIF(Vertailu[Maakunta],Maakunt.[[#This Row],[Maakunta]],Vertailu[Muutos, € 2])</f>
        <v>7105288</v>
      </c>
      <c r="BF23" s="38">
        <f>IFERROR(Maakunt.[[#This Row],[Muutos, €]]/Maakunt.[[#This Row],[Rahoitus ml. hark. kor. 
2022 ilman alv, €]],0)</f>
        <v>5.4736664223890057E-2</v>
      </c>
    </row>
    <row r="24" spans="1:58" s="116" customFormat="1" x14ac:dyDescent="0.3">
      <c r="A24" s="156" t="s">
        <v>355</v>
      </c>
      <c r="B24" s="156">
        <f>SUBTOTAL(109,Maakunt.[Järjestäjien kokonais-määrä])</f>
        <v>135</v>
      </c>
      <c r="C24" s="156">
        <f>SUBTOTAL(109,Maakunt.[Yksityinen])</f>
        <v>94</v>
      </c>
      <c r="D24" s="156">
        <f>SUBTOTAL(109,Maakunt.[Kunta])</f>
        <v>8</v>
      </c>
      <c r="E24" s="156">
        <f>SUBTOTAL(109,Maakunt.[Kunta-yhtymä])</f>
        <v>33</v>
      </c>
      <c r="F24" s="166">
        <f>SUBTOTAL(109,Maakunt.[Järjestämisluvan opisk.vuosien vähimmäismäärä 2020])</f>
        <v>157935</v>
      </c>
      <c r="G24" s="101">
        <f>SUBTOTAL(109,Maakunt.[Suoritepäätöksellä 2020 jaetut opisk.vuodet (luvan ylittävä osuus)])</f>
        <v>23191</v>
      </c>
      <c r="H24" s="101">
        <f>SUBTOTAL(109,Maakunt.[Tavoitteelliset opiske-lijavuodet])</f>
        <v>181126</v>
      </c>
      <c r="I24" s="152">
        <f>Maakunt.[[#Totals],[Painotetut opiskelija-vuodet]]/Maakunt.[[#Totals],[Tavoitteelliset opiske-lijavuodet]]</f>
        <v>1.1926680874087652</v>
      </c>
      <c r="J24" s="101">
        <f>SUBTOTAL(109,Maakunt.[Painotetut opiskelija-vuodet])</f>
        <v>216023.2</v>
      </c>
      <c r="K24" s="164">
        <f>SUBTOTAL(109,Maakunt.[%-osuus 1])</f>
        <v>0.99999999999999956</v>
      </c>
      <c r="L24" s="102">
        <f>SUBTOTAL(109,Maakunt.[Jaettava € 1])</f>
        <v>1403636002</v>
      </c>
      <c r="M24" s="101">
        <f>SUBTOTAL(109,Maakunt.[Painotetut pisteet 2])</f>
        <v>15528802.599999998</v>
      </c>
      <c r="N24" s="164">
        <f>SUBTOTAL(109,Maakunt.[%-osuus 2])</f>
        <v>0.99999999999999989</v>
      </c>
      <c r="O24" s="101">
        <f>SUBTOTAL(109,Maakunt.[Jaettava € 2])</f>
        <v>409582000</v>
      </c>
      <c r="P24" s="166">
        <f>SUBTOTAL(109,Maakunt.[Painotetut pisteet 3])</f>
        <v>311442.30000000005</v>
      </c>
      <c r="Q24" s="164">
        <f>SUBTOTAL(109,Maakunt.[%-osuus 3])</f>
        <v>1</v>
      </c>
      <c r="R24" s="102">
        <f>SUBTOTAL(109,Maakunt.[Jaettava € 3])</f>
        <v>143353698</v>
      </c>
      <c r="S24" s="101">
        <f>SUBTOTAL(109,Maakunt.[Painotetut pisteet 4])</f>
        <v>1568462</v>
      </c>
      <c r="T24" s="164">
        <f>SUBTOTAL(109,Maakunt.[%-osuus 4])</f>
        <v>0.99999999999999989</v>
      </c>
      <c r="U24" s="101">
        <f>SUBTOTAL(109,Maakunt.[Jaettava € 4])</f>
        <v>7679664</v>
      </c>
      <c r="V24" s="166">
        <f>SUBTOTAL(109,Maakunt.[Painotetut pisteet 5])</f>
        <v>9516155.0999999996</v>
      </c>
      <c r="W24" s="164">
        <f>SUBTOTAL(109,Maakunt.[%-osuus 5])</f>
        <v>0.99999999999999989</v>
      </c>
      <c r="X24" s="102">
        <f>SUBTOTAL(109,Maakunt.[Jaettava € 5])</f>
        <v>23038984</v>
      </c>
      <c r="Y24" s="166">
        <f>SUBTOTAL(109,Maakunt.[Painotetut pisteet 6])</f>
        <v>399568246.20000005</v>
      </c>
      <c r="Z24" s="164">
        <f>SUBTOTAL(109,Maakunt.[%-osuus 6])</f>
        <v>1</v>
      </c>
      <c r="AA24" s="102">
        <f>SUBTOTAL(109,Maakunt.[Jaettava € 6])</f>
        <v>23038990</v>
      </c>
      <c r="AB24" s="101">
        <f>SUBTOTAL(109,Maakunt.[Pisteet 7])</f>
        <v>191164502.19999999</v>
      </c>
      <c r="AC24" s="164">
        <f>SUBTOTAL(109,Maakunt.[%-osuus 7])</f>
        <v>0.99999999999999967</v>
      </c>
      <c r="AD24" s="102">
        <f>SUBTOTAL(109,Maakunt.[Jaettava € 7])</f>
        <v>7679662</v>
      </c>
      <c r="AE24" s="164">
        <f>SUBTOTAL(109,Maakunt.[%-osuus 8])</f>
        <v>1.0000000000000002</v>
      </c>
      <c r="AF24" s="101">
        <f>SUBTOTAL(109,Maakunt.[Jaettava € 8])</f>
        <v>2018009000</v>
      </c>
      <c r="AG24" s="167">
        <f>SUBTOTAL(109,Maakunt.[Harkinnanvarainen korotus 1, €])</f>
        <v>8175000</v>
      </c>
      <c r="AH24" s="167">
        <f>SUBTOTAL(109,Maakunt.[Harkinnanvarainen korotus 2, €])</f>
        <v>825000</v>
      </c>
      <c r="AI24" s="167">
        <f>SUBTOTAL(109,Maakunt.[Harkinnanvarainen korotus 3, €])</f>
        <v>0</v>
      </c>
      <c r="AJ24" s="167">
        <f>SUBTOTAL(109,Maakunt.[Harkinnanvarainen korotus 4, €])</f>
        <v>0</v>
      </c>
      <c r="AK24" s="167">
        <f>SUBTOTAL(109,Maakunt.[Harkinnanvarainen korotus 5, €])</f>
        <v>0</v>
      </c>
      <c r="AL24" s="167">
        <f>SUBTOTAL(109,Maakunt.[Harkinnanvarainen korotus 6, €])</f>
        <v>0</v>
      </c>
      <c r="AM24" s="101">
        <f>SUBTOTAL(109,Maakunt.[Harkinnanvarainen korotus 7, €])</f>
        <v>2500000</v>
      </c>
      <c r="AN24" s="102">
        <f>SUBTOTAL(109,Maakunt.[Harkinnanvarainen korotus 8, €])</f>
        <v>500000</v>
      </c>
      <c r="AO24" s="102">
        <f>SUBTOTAL(109,Maakunt.[Harkinnanvarainen korotus 9, €])</f>
        <v>12000000</v>
      </c>
      <c r="AP24" s="101">
        <f>SUBTOTAL(109,Maakunt.[Suoriteperusteinen (opiskelijavuosiin perustuva) sekä harkinnanvarainen korotus, €])</f>
        <v>1415636002</v>
      </c>
      <c r="AQ24" s="167">
        <f>SUBTOTAL(109,Maakunt.[Suoritusrahoitus, €])</f>
        <v>409582000</v>
      </c>
      <c r="AR24" s="101">
        <f>SUBTOTAL(109,Maakunt.[Työllistymiseen ja jatko-opintoihin siirtymiseen, opiskelijapalautteiseen sekä työelämäpalautteeseen perustuva, €])</f>
        <v>204790998</v>
      </c>
      <c r="AS24" s="167">
        <f>SUBTOTAL(109,Maakunt.[Perus-, suoritus- ja vaikuttavuusrahoitus yhteensä, €])</f>
        <v>2030009000</v>
      </c>
      <c r="AT24" s="165">
        <f>Maakunt.[[#Totals],[Jaettava € 1]]/Maakunt.[[#Totals],[Perus-, suoritus- ja vaikuttavuusrahoitus yhteensä, €]]</f>
        <v>0.69144324089203546</v>
      </c>
      <c r="AU24" s="172">
        <f>Maakunt.[[#Totals],[Suoriteperusteinen (opiskelijavuosiin perustuva) sekä harkinnanvarainen korotus, €]]/Maakunt.[[#Totals],[Perus-, suoritus- ja vaikuttavuusrahoitus yhteensä, €]]</f>
        <v>0.69735454473354552</v>
      </c>
      <c r="AV24" s="164">
        <f>Maakunt.[[#Totals],[Suoritusrahoitus, €]]/Maakunt.[[#Totals],[Perus-, suoritus- ja vaikuttavuusrahoitus yhteensä, €]]</f>
        <v>0.20176363750111453</v>
      </c>
      <c r="AW24" s="165">
        <f>Maakunt.[[#Totals],[Työllistymiseen ja jatko-opintoihin siirtymiseen, opiskelijapalautteiseen sekä työelämäpalautteeseen perustuva, €]]/Maakunt.[[#Totals],[Perus-, suoritus- ja vaikuttavuusrahoitus yhteensä, €]]</f>
        <v>0.10088181776533996</v>
      </c>
      <c r="AX24" s="164">
        <f>Ohj.lask.[[#Totals],[Jaettava € 3]]/Ohj.lask.[[#Totals],[Perus-, suoritus- ja vaikuttavuusrahoitus yhteensä, €]]</f>
        <v>7.0617272140172771E-2</v>
      </c>
      <c r="AY24" s="164">
        <f>Ohj.lask.[[#Totals],[Jaettava € 4]]/Ohj.lask.[[#Totals],[Perus-, suoritus- ja vaikuttavuusrahoitus yhteensä, €]]</f>
        <v>3.7830689420588776E-3</v>
      </c>
      <c r="AZ24" s="164">
        <f>Ohj.lask.[[#Totals],[Jaettava € 5]]/Ohj.lask.[[#Totals],[Perus-, suoritus- ja vaikuttavuusrahoitus yhteensä, €]]</f>
        <v>1.1349202885307405E-2</v>
      </c>
      <c r="BA24" s="164">
        <f>Ohj.lask.[[#Totals],[Jaettava € 6]]/Ohj.lask.[[#Totals],[Perus-, suoritus- ja vaikuttavuusrahoitus yhteensä, €]]</f>
        <v>1.1349205840959326E-2</v>
      </c>
      <c r="BB24" s="172">
        <f>Ohj.lask.[[#Totals],[Jaettava € 7]]/Ohj.lask.[[#Totals],[Perus-, suoritus- ja vaikuttavuusrahoitus yhteensä, €]]</f>
        <v>3.7830679568415706E-3</v>
      </c>
      <c r="BC24" s="101">
        <f>SUBTOTAL(109,Maakunt.[Rahoitus ml. hark. kor. 
2022 ilman alv, €])</f>
        <v>1883492504</v>
      </c>
      <c r="BD24" s="167">
        <f>SUBTOTAL(109,Maakunt.[Rahoitus ml. hark. kor. 
2023 ilman alv, €])</f>
        <v>2030009000</v>
      </c>
      <c r="BE24" s="166">
        <f>SUBTOTAL(109,Maakunt.[Muutos, €])</f>
        <v>146516496</v>
      </c>
      <c r="BF24" s="172">
        <f>IFERROR(Maakunt.[[#Totals],[Muutos, €]]/Maakunt.[[#Totals],[Rahoitus ml. hark. kor. 
2022 ilman alv, €]],0)</f>
        <v>7.7789795122009148E-2</v>
      </c>
    </row>
    <row r="25" spans="1:58" x14ac:dyDescent="0.3">
      <c r="A25" s="92" t="s">
        <v>365</v>
      </c>
    </row>
    <row r="26" spans="1:58" x14ac:dyDescent="0.3">
      <c r="B26" s="93"/>
      <c r="C26" s="93"/>
      <c r="D26" s="93"/>
    </row>
    <row r="27" spans="1:58" x14ac:dyDescent="0.3">
      <c r="A27" s="93"/>
      <c r="B27" s="93"/>
      <c r="C27" s="93"/>
      <c r="D27" s="93"/>
      <c r="F27" s="6"/>
      <c r="G27" s="7"/>
      <c r="H27" s="7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P27" s="8"/>
      <c r="AQ27" s="8"/>
      <c r="AR27" s="8"/>
      <c r="AS27" s="6"/>
      <c r="AT27" s="6"/>
      <c r="AU27" s="6"/>
      <c r="AV27" s="6"/>
      <c r="AW27" s="6"/>
    </row>
    <row r="28" spans="1:58" ht="14.5" x14ac:dyDescent="0.35">
      <c r="B28" s="6"/>
      <c r="C28" s="6"/>
      <c r="D28" s="6"/>
      <c r="E28" s="6"/>
      <c r="F28" s="6"/>
      <c r="G28" s="7"/>
      <c r="H28" s="7"/>
      <c r="I28" s="6"/>
      <c r="J28" s="6"/>
      <c r="K28" s="6"/>
      <c r="L28" s="6"/>
      <c r="M28" s="6"/>
      <c r="N28"/>
      <c r="O28"/>
      <c r="P28"/>
      <c r="Q28"/>
      <c r="R28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/>
      <c r="AK28"/>
      <c r="AL28" s="163"/>
      <c r="AM28" s="163"/>
      <c r="AN28"/>
      <c r="AO28" s="36"/>
      <c r="AP28" s="6"/>
      <c r="AQ28" s="36"/>
      <c r="AR28" s="14"/>
      <c r="AS28" s="14"/>
    </row>
  </sheetData>
  <mergeCells count="38">
    <mergeCell ref="S4:U4"/>
    <mergeCell ref="M2:O2"/>
    <mergeCell ref="F4:L4"/>
    <mergeCell ref="M4:O4"/>
    <mergeCell ref="V4:X4"/>
    <mergeCell ref="M3:O3"/>
    <mergeCell ref="A2:B4"/>
    <mergeCell ref="BC2:BF2"/>
    <mergeCell ref="BC3:BF4"/>
    <mergeCell ref="AG3:AG4"/>
    <mergeCell ref="AH3:AH4"/>
    <mergeCell ref="AI3:AI4"/>
    <mergeCell ref="AJ3:AJ4"/>
    <mergeCell ref="AP2:AS2"/>
    <mergeCell ref="AT4:AU4"/>
    <mergeCell ref="AT2:AZ2"/>
    <mergeCell ref="AE4:AF4"/>
    <mergeCell ref="F2:I2"/>
    <mergeCell ref="AK3:AK4"/>
    <mergeCell ref="AE2:AF2"/>
    <mergeCell ref="AE3:AF3"/>
    <mergeCell ref="AS3:AS4"/>
    <mergeCell ref="AW4:BB4"/>
    <mergeCell ref="Y4:AA4"/>
    <mergeCell ref="AB4:AD4"/>
    <mergeCell ref="P2:AD2"/>
    <mergeCell ref="F3:L3"/>
    <mergeCell ref="P3:AD3"/>
    <mergeCell ref="AQ3:AQ4"/>
    <mergeCell ref="AR3:AR4"/>
    <mergeCell ref="AP3:AP4"/>
    <mergeCell ref="AL3:AL4"/>
    <mergeCell ref="AM3:AM4"/>
    <mergeCell ref="AN3:AN4"/>
    <mergeCell ref="AO3:AO4"/>
    <mergeCell ref="AG2:AO2"/>
    <mergeCell ref="J2:L2"/>
    <mergeCell ref="P4:R4"/>
  </mergeCells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1">
    <tabColor theme="9" tint="0.59999389629810485"/>
  </sheetPr>
  <dimension ref="A1:S275"/>
  <sheetViews>
    <sheetView zoomScale="90" zoomScaleNormal="90" workbookViewId="0">
      <pane xSplit="1" ySplit="1" topLeftCell="B230" activePane="bottomRight" state="frozen"/>
      <selection pane="topRight" activeCell="B1" sqref="B1"/>
      <selection pane="bottomLeft" activeCell="A2" sqref="A2"/>
      <selection pane="bottomRight"/>
    </sheetView>
  </sheetViews>
  <sheetFormatPr defaultColWidth="19.54296875" defaultRowHeight="14.5" x14ac:dyDescent="0.35"/>
  <cols>
    <col min="1" max="1" width="51.26953125" style="163" customWidth="1"/>
    <col min="2" max="19" width="17.453125" style="163" customWidth="1"/>
    <col min="20" max="16384" width="19.54296875" style="163"/>
  </cols>
  <sheetData>
    <row r="1" spans="1:19" ht="57.5" x14ac:dyDescent="0.35">
      <c r="A1" s="39" t="s">
        <v>591</v>
      </c>
      <c r="B1" s="39" t="s">
        <v>362</v>
      </c>
      <c r="C1" s="39" t="s">
        <v>363</v>
      </c>
      <c r="D1" s="39" t="s">
        <v>364</v>
      </c>
      <c r="E1" s="39" t="s">
        <v>135</v>
      </c>
      <c r="F1" s="39" t="s">
        <v>136</v>
      </c>
      <c r="G1" s="39" t="s">
        <v>137</v>
      </c>
      <c r="H1" s="39" t="s">
        <v>138</v>
      </c>
      <c r="I1" s="39" t="s">
        <v>139</v>
      </c>
      <c r="J1" s="39" t="s">
        <v>464</v>
      </c>
      <c r="K1" s="39" t="s">
        <v>140</v>
      </c>
      <c r="L1" s="39" t="s">
        <v>465</v>
      </c>
      <c r="M1" s="39" t="s">
        <v>141</v>
      </c>
      <c r="N1" s="39" t="s">
        <v>466</v>
      </c>
      <c r="O1" s="39" t="s">
        <v>142</v>
      </c>
      <c r="P1" s="39" t="s">
        <v>143</v>
      </c>
      <c r="Q1" s="39" t="s">
        <v>144</v>
      </c>
      <c r="R1" s="39" t="s">
        <v>145</v>
      </c>
      <c r="S1" s="39" t="s">
        <v>146</v>
      </c>
    </row>
    <row r="2" spans="1:19" x14ac:dyDescent="0.35">
      <c r="A2" s="177" t="s">
        <v>393</v>
      </c>
      <c r="B2" s="178">
        <v>4105.9202191775948</v>
      </c>
      <c r="C2" s="178">
        <v>4066.8177534241704</v>
      </c>
      <c r="D2" s="178">
        <v>39.102465753424646</v>
      </c>
      <c r="E2" s="178">
        <v>1649.3357945205457</v>
      </c>
      <c r="F2" s="178">
        <v>1790.219933227399</v>
      </c>
      <c r="G2" s="178">
        <v>73.953753424657549</v>
      </c>
      <c r="H2" s="178">
        <v>5.6705753424657539</v>
      </c>
      <c r="I2" s="178">
        <v>37.147342465753582</v>
      </c>
      <c r="J2" s="178">
        <v>0.36578630136986306</v>
      </c>
      <c r="K2" s="178">
        <v>3.5479452054794556</v>
      </c>
      <c r="L2" s="178">
        <v>3.5479452054794556</v>
      </c>
      <c r="M2" s="178"/>
      <c r="N2" s="178"/>
      <c r="O2" s="178">
        <v>-14.186963077260234</v>
      </c>
      <c r="P2" s="178">
        <v>14.581141323287714</v>
      </c>
      <c r="Q2" s="178"/>
      <c r="R2" s="178">
        <v>3560.6353087336984</v>
      </c>
      <c r="S2" s="179">
        <v>0.86719544430088424</v>
      </c>
    </row>
    <row r="3" spans="1:19" x14ac:dyDescent="0.35">
      <c r="A3" s="176" t="s">
        <v>392</v>
      </c>
      <c r="B3" s="180">
        <v>4105.9202191783797</v>
      </c>
      <c r="C3" s="180">
        <v>4066.8177534249553</v>
      </c>
      <c r="D3" s="180">
        <v>39.102465753424646</v>
      </c>
      <c r="E3" s="180">
        <v>1649.3357945205503</v>
      </c>
      <c r="F3" s="180">
        <v>1790.2199332271239</v>
      </c>
      <c r="G3" s="180">
        <v>73.95375342465772</v>
      </c>
      <c r="H3" s="180">
        <v>5.6705753424657539</v>
      </c>
      <c r="I3" s="180">
        <v>37.147342465753582</v>
      </c>
      <c r="J3" s="180">
        <v>0.36578630136986318</v>
      </c>
      <c r="K3" s="180">
        <v>3.5479452054794587</v>
      </c>
      <c r="L3" s="180">
        <v>3.5479452054794587</v>
      </c>
      <c r="M3" s="180"/>
      <c r="N3" s="180"/>
      <c r="O3" s="180">
        <v>-14.186963077260234</v>
      </c>
      <c r="P3" s="180">
        <v>14.581141323287538</v>
      </c>
      <c r="Q3" s="180"/>
      <c r="R3" s="180">
        <v>3560.6353087334282</v>
      </c>
      <c r="S3" s="181">
        <v>0.86719544430065265</v>
      </c>
    </row>
    <row r="4" spans="1:19" x14ac:dyDescent="0.35">
      <c r="A4" s="177" t="s">
        <v>15</v>
      </c>
      <c r="B4" s="178">
        <v>331.70054794520303</v>
      </c>
      <c r="C4" s="178">
        <v>331.70054794520303</v>
      </c>
      <c r="D4" s="178"/>
      <c r="E4" s="178">
        <v>307.16824657534477</v>
      </c>
      <c r="F4" s="178">
        <v>55.440558821917733</v>
      </c>
      <c r="G4" s="178"/>
      <c r="H4" s="178"/>
      <c r="I4" s="178"/>
      <c r="J4" s="178">
        <v>4.7671232876712322E-2</v>
      </c>
      <c r="K4" s="178">
        <v>21.197945205479467</v>
      </c>
      <c r="L4" s="178">
        <v>21.197945205479467</v>
      </c>
      <c r="M4" s="178"/>
      <c r="N4" s="178"/>
      <c r="O4" s="178"/>
      <c r="P4" s="178"/>
      <c r="Q4" s="178"/>
      <c r="R4" s="178">
        <v>383.85442183561867</v>
      </c>
      <c r="S4" s="179">
        <v>1.1572317990232301</v>
      </c>
    </row>
    <row r="5" spans="1:19" x14ac:dyDescent="0.35">
      <c r="A5" s="176" t="s">
        <v>332</v>
      </c>
      <c r="B5" s="180">
        <v>331.70054794520667</v>
      </c>
      <c r="C5" s="180">
        <v>331.70054794520667</v>
      </c>
      <c r="D5" s="180"/>
      <c r="E5" s="180">
        <v>307.16824657534812</v>
      </c>
      <c r="F5" s="180">
        <v>55.440558821917506</v>
      </c>
      <c r="G5" s="180"/>
      <c r="H5" s="180"/>
      <c r="I5" s="180"/>
      <c r="J5" s="180">
        <v>4.7671232876712329E-2</v>
      </c>
      <c r="K5" s="180">
        <v>21.19794520547957</v>
      </c>
      <c r="L5" s="180">
        <v>21.19794520547957</v>
      </c>
      <c r="M5" s="180"/>
      <c r="N5" s="180"/>
      <c r="O5" s="180"/>
      <c r="P5" s="180"/>
      <c r="Q5" s="180"/>
      <c r="R5" s="180">
        <v>383.85442183562196</v>
      </c>
      <c r="S5" s="181">
        <v>1.1572317990232279</v>
      </c>
    </row>
    <row r="6" spans="1:19" x14ac:dyDescent="0.35">
      <c r="A6" s="177" t="s">
        <v>16</v>
      </c>
      <c r="B6" s="178">
        <v>104.22465753424667</v>
      </c>
      <c r="C6" s="178">
        <v>104.22465753424667</v>
      </c>
      <c r="D6" s="178"/>
      <c r="E6" s="178">
        <v>41.411041095890397</v>
      </c>
      <c r="F6" s="178"/>
      <c r="G6" s="178">
        <v>96.041150684931992</v>
      </c>
      <c r="H6" s="178"/>
      <c r="I6" s="178"/>
      <c r="J6" s="178">
        <v>3.3261369863013592</v>
      </c>
      <c r="K6" s="178">
        <v>361.40923287671166</v>
      </c>
      <c r="L6" s="178">
        <v>361.40923287671166</v>
      </c>
      <c r="M6" s="178">
        <v>134.42219178082203</v>
      </c>
      <c r="N6" s="178">
        <v>134.42219178082203</v>
      </c>
      <c r="O6" s="178"/>
      <c r="P6" s="178"/>
      <c r="Q6" s="178"/>
      <c r="R6" s="178">
        <v>636.60975342465747</v>
      </c>
      <c r="S6" s="179">
        <v>6.1080532043530766</v>
      </c>
    </row>
    <row r="7" spans="1:19" x14ac:dyDescent="0.35">
      <c r="A7" s="176" t="s">
        <v>331</v>
      </c>
      <c r="B7" s="180">
        <v>104.2246575342466</v>
      </c>
      <c r="C7" s="180">
        <v>104.2246575342466</v>
      </c>
      <c r="D7" s="180"/>
      <c r="E7" s="180">
        <v>41.411041095890397</v>
      </c>
      <c r="F7" s="180"/>
      <c r="G7" s="180">
        <v>96.041150684931978</v>
      </c>
      <c r="H7" s="180"/>
      <c r="I7" s="180"/>
      <c r="J7" s="180">
        <v>3.3261369863013592</v>
      </c>
      <c r="K7" s="180">
        <v>361.40923287671166</v>
      </c>
      <c r="L7" s="180">
        <v>361.40923287671166</v>
      </c>
      <c r="M7" s="180">
        <v>134.42219178082206</v>
      </c>
      <c r="N7" s="180">
        <v>134.42219178082206</v>
      </c>
      <c r="O7" s="180"/>
      <c r="P7" s="180"/>
      <c r="Q7" s="180"/>
      <c r="R7" s="180">
        <v>636.60975342465747</v>
      </c>
      <c r="S7" s="181">
        <v>6.1080532043530811</v>
      </c>
    </row>
    <row r="8" spans="1:19" x14ac:dyDescent="0.35">
      <c r="A8" s="177" t="s">
        <v>510</v>
      </c>
      <c r="B8" s="178">
        <v>1691.1153424657589</v>
      </c>
      <c r="C8" s="178">
        <v>1691.1153424657589</v>
      </c>
      <c r="D8" s="178"/>
      <c r="E8" s="178">
        <v>1023.3961780821159</v>
      </c>
      <c r="F8" s="178">
        <v>36.856282191780835</v>
      </c>
      <c r="G8" s="178">
        <v>954.80421917811464</v>
      </c>
      <c r="H8" s="178"/>
      <c r="I8" s="178"/>
      <c r="J8" s="178">
        <v>44.398504109588373</v>
      </c>
      <c r="K8" s="178">
        <v>6000.1854465753331</v>
      </c>
      <c r="L8" s="178">
        <v>6000.1854465753331</v>
      </c>
      <c r="M8" s="178">
        <v>677.82376438354424</v>
      </c>
      <c r="N8" s="178">
        <v>677.82376438354424</v>
      </c>
      <c r="O8" s="178"/>
      <c r="P8" s="178"/>
      <c r="Q8" s="178"/>
      <c r="R8" s="178">
        <v>8737.4643945204771</v>
      </c>
      <c r="S8" s="179">
        <v>5.1666874370500784</v>
      </c>
    </row>
    <row r="9" spans="1:19" x14ac:dyDescent="0.35">
      <c r="A9" s="176" t="s">
        <v>509</v>
      </c>
      <c r="B9" s="180">
        <v>1691.1153424654992</v>
      </c>
      <c r="C9" s="180">
        <v>1691.1153424654992</v>
      </c>
      <c r="D9" s="180"/>
      <c r="E9" s="180">
        <v>1023.3961780821159</v>
      </c>
      <c r="F9" s="180">
        <v>36.856282191781013</v>
      </c>
      <c r="G9" s="180">
        <v>954.80421917811714</v>
      </c>
      <c r="H9" s="180"/>
      <c r="I9" s="180"/>
      <c r="J9" s="180">
        <v>44.398504109588394</v>
      </c>
      <c r="K9" s="180">
        <v>6000.1854465749302</v>
      </c>
      <c r="L9" s="180">
        <v>6000.1854465749302</v>
      </c>
      <c r="M9" s="180">
        <v>677.82376438354447</v>
      </c>
      <c r="N9" s="180">
        <v>677.82376438354447</v>
      </c>
      <c r="O9" s="180"/>
      <c r="P9" s="180"/>
      <c r="Q9" s="180"/>
      <c r="R9" s="180">
        <v>8737.4643945200769</v>
      </c>
      <c r="S9" s="181">
        <v>5.1666874370506353</v>
      </c>
    </row>
    <row r="10" spans="1:19" x14ac:dyDescent="0.35">
      <c r="A10" s="177" t="s">
        <v>17</v>
      </c>
      <c r="B10" s="178">
        <v>1181.9150684931403</v>
      </c>
      <c r="C10" s="178">
        <v>1181.9150684931403</v>
      </c>
      <c r="D10" s="178"/>
      <c r="E10" s="178">
        <v>718.09244383560565</v>
      </c>
      <c r="F10" s="178"/>
      <c r="G10" s="178">
        <v>679.61001643836062</v>
      </c>
      <c r="H10" s="178"/>
      <c r="I10" s="178"/>
      <c r="J10" s="178">
        <v>29.509643835616409</v>
      </c>
      <c r="K10" s="178">
        <v>4549.4194684931235</v>
      </c>
      <c r="L10" s="178">
        <v>4549.4194684931235</v>
      </c>
      <c r="M10" s="178">
        <v>446.86430136985945</v>
      </c>
      <c r="N10" s="178">
        <v>446.86430136985945</v>
      </c>
      <c r="O10" s="178"/>
      <c r="P10" s="178"/>
      <c r="Q10" s="178"/>
      <c r="R10" s="178">
        <v>6423.4958739725662</v>
      </c>
      <c r="S10" s="179">
        <v>5.4348201873439841</v>
      </c>
    </row>
    <row r="11" spans="1:19" x14ac:dyDescent="0.35">
      <c r="A11" s="176" t="s">
        <v>330</v>
      </c>
      <c r="B11" s="180">
        <v>1181.9150684931994</v>
      </c>
      <c r="C11" s="180">
        <v>1181.9150684931994</v>
      </c>
      <c r="D11" s="180"/>
      <c r="E11" s="180">
        <v>718.09244383560565</v>
      </c>
      <c r="F11" s="180"/>
      <c r="G11" s="180">
        <v>679.61001643836187</v>
      </c>
      <c r="H11" s="180"/>
      <c r="I11" s="180"/>
      <c r="J11" s="180">
        <v>29.509643835616373</v>
      </c>
      <c r="K11" s="180">
        <v>4549.4194684932054</v>
      </c>
      <c r="L11" s="180">
        <v>4549.4194684932054</v>
      </c>
      <c r="M11" s="180">
        <v>446.86430136985945</v>
      </c>
      <c r="N11" s="180">
        <v>446.86430136985945</v>
      </c>
      <c r="O11" s="180"/>
      <c r="P11" s="180"/>
      <c r="Q11" s="180"/>
      <c r="R11" s="180">
        <v>6423.495873972649</v>
      </c>
      <c r="S11" s="181">
        <v>5.4348201873437816</v>
      </c>
    </row>
    <row r="12" spans="1:19" x14ac:dyDescent="0.35">
      <c r="A12" s="177" t="s">
        <v>18</v>
      </c>
      <c r="B12" s="178">
        <v>172.9917808219181</v>
      </c>
      <c r="C12" s="178">
        <v>172.9917808219181</v>
      </c>
      <c r="D12" s="178"/>
      <c r="E12" s="178"/>
      <c r="F12" s="178">
        <v>125.4882378082192</v>
      </c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>
        <v>125.4882378082192</v>
      </c>
      <c r="S12" s="179">
        <v>0.72539999999999893</v>
      </c>
    </row>
    <row r="13" spans="1:19" x14ac:dyDescent="0.35">
      <c r="A13" s="176" t="s">
        <v>328</v>
      </c>
      <c r="B13" s="180">
        <v>172.99178082191307</v>
      </c>
      <c r="C13" s="180">
        <v>172.99178082191307</v>
      </c>
      <c r="D13" s="180"/>
      <c r="E13" s="180"/>
      <c r="F13" s="180">
        <v>125.48823780821894</v>
      </c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>
        <v>125.48823780821894</v>
      </c>
      <c r="S13" s="181">
        <v>0.72540000000001847</v>
      </c>
    </row>
    <row r="14" spans="1:19" x14ac:dyDescent="0.35">
      <c r="A14" s="177" t="s">
        <v>19</v>
      </c>
      <c r="B14" s="178">
        <v>1886.2035616437945</v>
      </c>
      <c r="C14" s="178">
        <v>1886.2035616437945</v>
      </c>
      <c r="D14" s="178"/>
      <c r="E14" s="178">
        <v>1599.9996219178086</v>
      </c>
      <c r="F14" s="178">
        <v>267.46061860273767</v>
      </c>
      <c r="G14" s="178"/>
      <c r="H14" s="178">
        <v>7.3751232876712427</v>
      </c>
      <c r="I14" s="178"/>
      <c r="J14" s="178">
        <v>24.555287671232875</v>
      </c>
      <c r="K14" s="178">
        <v>81.698630136985386</v>
      </c>
      <c r="L14" s="178">
        <v>81.698630136985386</v>
      </c>
      <c r="M14" s="178">
        <v>56.404109589040836</v>
      </c>
      <c r="N14" s="178">
        <v>56.404109589040836</v>
      </c>
      <c r="O14" s="178"/>
      <c r="P14" s="178"/>
      <c r="Q14" s="178"/>
      <c r="R14" s="178">
        <v>2037.4933912054767</v>
      </c>
      <c r="S14" s="179">
        <v>1.0802086437742886</v>
      </c>
    </row>
    <row r="15" spans="1:19" x14ac:dyDescent="0.35">
      <c r="A15" s="176" t="s">
        <v>327</v>
      </c>
      <c r="B15" s="180">
        <v>1886.2035616436435</v>
      </c>
      <c r="C15" s="180">
        <v>1886.2035616436435</v>
      </c>
      <c r="D15" s="180"/>
      <c r="E15" s="180">
        <v>1599.9996219177538</v>
      </c>
      <c r="F15" s="180">
        <v>267.46061860273721</v>
      </c>
      <c r="G15" s="180"/>
      <c r="H15" s="180">
        <v>7.3751232876712427</v>
      </c>
      <c r="I15" s="180"/>
      <c r="J15" s="180">
        <v>24.555287671232886</v>
      </c>
      <c r="K15" s="180">
        <v>81.698630136984931</v>
      </c>
      <c r="L15" s="180">
        <v>81.698630136984931</v>
      </c>
      <c r="M15" s="180">
        <v>56.404109589040836</v>
      </c>
      <c r="N15" s="180">
        <v>56.404109589040836</v>
      </c>
      <c r="O15" s="180"/>
      <c r="P15" s="180"/>
      <c r="Q15" s="180"/>
      <c r="R15" s="180">
        <v>2037.4933912054209</v>
      </c>
      <c r="S15" s="181">
        <v>1.0802086437743459</v>
      </c>
    </row>
    <row r="16" spans="1:19" x14ac:dyDescent="0.35">
      <c r="A16" s="177" t="s">
        <v>154</v>
      </c>
      <c r="B16" s="178">
        <v>3315.0027397260897</v>
      </c>
      <c r="C16" s="178">
        <v>3289.9046575343086</v>
      </c>
      <c r="D16" s="178">
        <v>25.098082191780879</v>
      </c>
      <c r="E16" s="178">
        <v>2102.5527479452649</v>
      </c>
      <c r="F16" s="178">
        <v>743.40786772604577</v>
      </c>
      <c r="G16" s="178">
        <v>46.685205479452009</v>
      </c>
      <c r="H16" s="178">
        <v>106.21991780821993</v>
      </c>
      <c r="I16" s="178">
        <v>23.843178082191745</v>
      </c>
      <c r="J16" s="178">
        <v>43.988860273972314</v>
      </c>
      <c r="K16" s="178">
        <v>144.22336986301246</v>
      </c>
      <c r="L16" s="178">
        <v>144.22336986301246</v>
      </c>
      <c r="M16" s="178">
        <v>5.6944109589041121</v>
      </c>
      <c r="N16" s="178">
        <v>5.6944109589041121</v>
      </c>
      <c r="O16" s="178">
        <v>-0.65355013698630182</v>
      </c>
      <c r="P16" s="178">
        <v>6.865593928767149</v>
      </c>
      <c r="Q16" s="178"/>
      <c r="R16" s="178">
        <v>3222.8276019288446</v>
      </c>
      <c r="S16" s="179">
        <v>0.97219455154813494</v>
      </c>
    </row>
    <row r="17" spans="1:19" x14ac:dyDescent="0.35">
      <c r="A17" s="176" t="s">
        <v>181</v>
      </c>
      <c r="B17" s="180">
        <v>3315.0027397260938</v>
      </c>
      <c r="C17" s="180">
        <v>3289.9046575343127</v>
      </c>
      <c r="D17" s="180">
        <v>25.098082191780897</v>
      </c>
      <c r="E17" s="180">
        <v>2102.5527479453149</v>
      </c>
      <c r="F17" s="180">
        <v>743.40786772609727</v>
      </c>
      <c r="G17" s="180">
        <v>46.685205479451866</v>
      </c>
      <c r="H17" s="180">
        <v>106.21991780821993</v>
      </c>
      <c r="I17" s="180">
        <v>23.843178082191741</v>
      </c>
      <c r="J17" s="180">
        <v>43.988860273971902</v>
      </c>
      <c r="K17" s="180">
        <v>144.22336986301374</v>
      </c>
      <c r="L17" s="180">
        <v>144.22336986301374</v>
      </c>
      <c r="M17" s="180">
        <v>5.6944109589041121</v>
      </c>
      <c r="N17" s="180">
        <v>5.6944109589041121</v>
      </c>
      <c r="O17" s="180">
        <v>-0.65355013698630182</v>
      </c>
      <c r="P17" s="180">
        <v>6.8655939287671588</v>
      </c>
      <c r="Q17" s="180"/>
      <c r="R17" s="180">
        <v>3222.8276019289465</v>
      </c>
      <c r="S17" s="181">
        <v>0.97219455154816448</v>
      </c>
    </row>
    <row r="18" spans="1:19" x14ac:dyDescent="0.35">
      <c r="A18" s="177" t="s">
        <v>20</v>
      </c>
      <c r="B18" s="178">
        <v>6.8356164383561646</v>
      </c>
      <c r="C18" s="178">
        <v>6.8356164383561646</v>
      </c>
      <c r="D18" s="178"/>
      <c r="E18" s="178"/>
      <c r="F18" s="178">
        <v>4.9585561643835607</v>
      </c>
      <c r="G18" s="178"/>
      <c r="H18" s="178"/>
      <c r="I18" s="178"/>
      <c r="J18" s="178"/>
      <c r="K18" s="178"/>
      <c r="L18" s="178"/>
      <c r="M18" s="178"/>
      <c r="N18" s="178"/>
      <c r="O18" s="178"/>
      <c r="P18" s="178">
        <v>0.44627005479452042</v>
      </c>
      <c r="Q18" s="178"/>
      <c r="R18" s="178">
        <v>5.4048262191780809</v>
      </c>
      <c r="S18" s="179">
        <v>0.79068599999999978</v>
      </c>
    </row>
    <row r="19" spans="1:19" x14ac:dyDescent="0.35">
      <c r="A19" s="176" t="s">
        <v>326</v>
      </c>
      <c r="B19" s="180">
        <v>6.835616438356177</v>
      </c>
      <c r="C19" s="180">
        <v>6.835616438356177</v>
      </c>
      <c r="D19" s="180"/>
      <c r="E19" s="180"/>
      <c r="F19" s="180">
        <v>4.958556164383559</v>
      </c>
      <c r="G19" s="180"/>
      <c r="H19" s="180"/>
      <c r="I19" s="180"/>
      <c r="J19" s="180"/>
      <c r="K19" s="180"/>
      <c r="L19" s="180"/>
      <c r="M19" s="180"/>
      <c r="N19" s="180"/>
      <c r="O19" s="180"/>
      <c r="P19" s="180">
        <v>0.44627005479451964</v>
      </c>
      <c r="Q19" s="180"/>
      <c r="R19" s="180">
        <v>5.4048262191780783</v>
      </c>
      <c r="S19" s="181">
        <v>0.790685999999998</v>
      </c>
    </row>
    <row r="20" spans="1:19" x14ac:dyDescent="0.35">
      <c r="A20" s="177" t="s">
        <v>21</v>
      </c>
      <c r="B20" s="178">
        <v>7696.8536164372817</v>
      </c>
      <c r="C20" s="178">
        <v>7627.8883561633093</v>
      </c>
      <c r="D20" s="178">
        <v>68.96526027397249</v>
      </c>
      <c r="E20" s="178">
        <v>6061.8185808220933</v>
      </c>
      <c r="F20" s="178">
        <v>852.36511347946077</v>
      </c>
      <c r="G20" s="178">
        <v>174.00312328767089</v>
      </c>
      <c r="H20" s="178">
        <v>146.90967123287686</v>
      </c>
      <c r="I20" s="178">
        <v>65.516997260274209</v>
      </c>
      <c r="J20" s="178">
        <v>114.99172602739736</v>
      </c>
      <c r="K20" s="178">
        <v>401.26090410960148</v>
      </c>
      <c r="L20" s="178">
        <v>401.26090410960148</v>
      </c>
      <c r="M20" s="178"/>
      <c r="N20" s="178"/>
      <c r="O20" s="178">
        <v>-139.77759348054784</v>
      </c>
      <c r="P20" s="178">
        <v>18.302958813698897</v>
      </c>
      <c r="Q20" s="178"/>
      <c r="R20" s="178">
        <v>7695.3914815525259</v>
      </c>
      <c r="S20" s="179">
        <v>0.99981003472878849</v>
      </c>
    </row>
    <row r="21" spans="1:19" x14ac:dyDescent="0.35">
      <c r="A21" s="176" t="s">
        <v>325</v>
      </c>
      <c r="B21" s="180">
        <v>7696.8536164356774</v>
      </c>
      <c r="C21" s="180">
        <v>7627.8883561617049</v>
      </c>
      <c r="D21" s="180">
        <v>68.965260273972589</v>
      </c>
      <c r="E21" s="180">
        <v>6061.8185808220487</v>
      </c>
      <c r="F21" s="180">
        <v>852.36511347948203</v>
      </c>
      <c r="G21" s="180">
        <v>174.00312328767257</v>
      </c>
      <c r="H21" s="180">
        <v>146.90967123287686</v>
      </c>
      <c r="I21" s="180">
        <v>65.516997260274849</v>
      </c>
      <c r="J21" s="180">
        <v>114.99172602739499</v>
      </c>
      <c r="K21" s="180">
        <v>401.26090410962576</v>
      </c>
      <c r="L21" s="180">
        <v>401.26090410962576</v>
      </c>
      <c r="M21" s="180"/>
      <c r="N21" s="180"/>
      <c r="O21" s="180">
        <v>-139.77759348054784</v>
      </c>
      <c r="P21" s="180">
        <v>18.302958813698691</v>
      </c>
      <c r="Q21" s="180"/>
      <c r="R21" s="180">
        <v>7695.3914815525268</v>
      </c>
      <c r="S21" s="181">
        <v>0.99981003472899255</v>
      </c>
    </row>
    <row r="22" spans="1:19" x14ac:dyDescent="0.35">
      <c r="A22" s="177" t="s">
        <v>22</v>
      </c>
      <c r="B22" s="178">
        <v>3002.9265753424452</v>
      </c>
      <c r="C22" s="178">
        <v>3002.3293150684726</v>
      </c>
      <c r="D22" s="178">
        <v>0.5972602739726014</v>
      </c>
      <c r="E22" s="178">
        <v>2538.5910219177936</v>
      </c>
      <c r="F22" s="178">
        <v>367.99399824657638</v>
      </c>
      <c r="G22" s="178">
        <v>78.021463013698622</v>
      </c>
      <c r="H22" s="178">
        <v>7.2780821917808227</v>
      </c>
      <c r="I22" s="178">
        <v>0.56739726027397097</v>
      </c>
      <c r="J22" s="178">
        <v>66.031536986301091</v>
      </c>
      <c r="K22" s="178">
        <v>221.39755616438268</v>
      </c>
      <c r="L22" s="178">
        <v>221.39755616438268</v>
      </c>
      <c r="M22" s="178">
        <v>5.2727671232876716</v>
      </c>
      <c r="N22" s="178">
        <v>5.2727671232876716</v>
      </c>
      <c r="O22" s="178"/>
      <c r="P22" s="178">
        <v>2.7921992843835541</v>
      </c>
      <c r="Q22" s="178"/>
      <c r="R22" s="178">
        <v>3287.9460221884788</v>
      </c>
      <c r="S22" s="179">
        <v>1.0949138913972736</v>
      </c>
    </row>
    <row r="23" spans="1:19" x14ac:dyDescent="0.35">
      <c r="A23" s="176" t="s">
        <v>324</v>
      </c>
      <c r="B23" s="180">
        <v>3002.9265753421823</v>
      </c>
      <c r="C23" s="180">
        <v>3002.3293150682098</v>
      </c>
      <c r="D23" s="180">
        <v>0.5972602739726014</v>
      </c>
      <c r="E23" s="180">
        <v>2538.5910219178163</v>
      </c>
      <c r="F23" s="180">
        <v>367.99399824657536</v>
      </c>
      <c r="G23" s="180">
        <v>78.021463013698678</v>
      </c>
      <c r="H23" s="180">
        <v>7.2780821917808227</v>
      </c>
      <c r="I23" s="180">
        <v>0.56739726027397097</v>
      </c>
      <c r="J23" s="180">
        <v>66.03153698630075</v>
      </c>
      <c r="K23" s="180">
        <v>221.39755616438458</v>
      </c>
      <c r="L23" s="180">
        <v>221.39755616438458</v>
      </c>
      <c r="M23" s="180">
        <v>5.2727671232876716</v>
      </c>
      <c r="N23" s="180">
        <v>5.2727671232876716</v>
      </c>
      <c r="O23" s="180"/>
      <c r="P23" s="180">
        <v>2.792199284383559</v>
      </c>
      <c r="Q23" s="180"/>
      <c r="R23" s="180">
        <v>3287.946022188502</v>
      </c>
      <c r="S23" s="181">
        <v>1.0949138913973753</v>
      </c>
    </row>
    <row r="24" spans="1:19" x14ac:dyDescent="0.35">
      <c r="A24" s="177" t="s">
        <v>23</v>
      </c>
      <c r="B24" s="178">
        <v>2515.3496438356306</v>
      </c>
      <c r="C24" s="178">
        <v>2391.6948493150826</v>
      </c>
      <c r="D24" s="178">
        <v>123.65479452054797</v>
      </c>
      <c r="E24" s="178">
        <v>2381.2230189041056</v>
      </c>
      <c r="F24" s="178">
        <v>175.46384145205457</v>
      </c>
      <c r="G24" s="178">
        <v>71.966520547945251</v>
      </c>
      <c r="H24" s="178">
        <v>16.840849315068496</v>
      </c>
      <c r="I24" s="178">
        <v>117.47205479452064</v>
      </c>
      <c r="J24" s="178">
        <v>59.437216438355733</v>
      </c>
      <c r="K24" s="178">
        <v>223.1727123287661</v>
      </c>
      <c r="L24" s="178">
        <v>223.1727123287661</v>
      </c>
      <c r="M24" s="178">
        <v>54.842252054794415</v>
      </c>
      <c r="N24" s="178">
        <v>54.842252054794415</v>
      </c>
      <c r="O24" s="178">
        <v>-9.1095890410958988E-3</v>
      </c>
      <c r="P24" s="178">
        <v>0.21837555616437901</v>
      </c>
      <c r="Q24" s="178"/>
      <c r="R24" s="178">
        <v>3100.6277318027342</v>
      </c>
      <c r="S24" s="179">
        <v>1.2326825971893987</v>
      </c>
    </row>
    <row r="25" spans="1:19" x14ac:dyDescent="0.35">
      <c r="A25" s="176" t="s">
        <v>322</v>
      </c>
      <c r="B25" s="180">
        <v>2515.349643835661</v>
      </c>
      <c r="C25" s="180">
        <v>2391.6948493151131</v>
      </c>
      <c r="D25" s="180">
        <v>123.65479452054794</v>
      </c>
      <c r="E25" s="180">
        <v>2381.2230189040697</v>
      </c>
      <c r="F25" s="180">
        <v>175.46384145205442</v>
      </c>
      <c r="G25" s="180">
        <v>71.966520547945265</v>
      </c>
      <c r="H25" s="180">
        <v>16.840849315068496</v>
      </c>
      <c r="I25" s="180">
        <v>117.47205479452094</v>
      </c>
      <c r="J25" s="180">
        <v>59.4372164383553</v>
      </c>
      <c r="K25" s="180">
        <v>223.17271232876817</v>
      </c>
      <c r="L25" s="180">
        <v>223.17271232876817</v>
      </c>
      <c r="M25" s="180">
        <v>54.842252054794415</v>
      </c>
      <c r="N25" s="180">
        <v>54.842252054794415</v>
      </c>
      <c r="O25" s="180">
        <v>-9.1095890410958988E-3</v>
      </c>
      <c r="P25" s="180">
        <v>0.21837555616437901</v>
      </c>
      <c r="Q25" s="180"/>
      <c r="R25" s="180">
        <v>3100.6277318027001</v>
      </c>
      <c r="S25" s="181">
        <v>1.2326825971893702</v>
      </c>
    </row>
    <row r="26" spans="1:19" x14ac:dyDescent="0.35">
      <c r="A26" s="177" t="s">
        <v>24</v>
      </c>
      <c r="B26" s="178">
        <v>13.432876712328767</v>
      </c>
      <c r="C26" s="178">
        <v>13.432876712328767</v>
      </c>
      <c r="D26" s="178"/>
      <c r="E26" s="178"/>
      <c r="F26" s="178">
        <v>9.5136706849315065</v>
      </c>
      <c r="G26" s="178"/>
      <c r="H26" s="178">
        <v>0.48942465753424658</v>
      </c>
      <c r="I26" s="178"/>
      <c r="J26" s="178">
        <v>1.2986301369863012E-2</v>
      </c>
      <c r="K26" s="178"/>
      <c r="L26" s="178"/>
      <c r="M26" s="178"/>
      <c r="N26" s="178"/>
      <c r="O26" s="178"/>
      <c r="P26" s="178"/>
      <c r="Q26" s="178"/>
      <c r="R26" s="178">
        <v>10.016081643835617</v>
      </c>
      <c r="S26" s="179">
        <v>0.74563936365490524</v>
      </c>
    </row>
    <row r="27" spans="1:19" x14ac:dyDescent="0.35">
      <c r="A27" s="176" t="s">
        <v>321</v>
      </c>
      <c r="B27" s="180">
        <v>13.432876712328794</v>
      </c>
      <c r="C27" s="180">
        <v>13.432876712328794</v>
      </c>
      <c r="D27" s="180"/>
      <c r="E27" s="180"/>
      <c r="F27" s="180">
        <v>9.5136706849315065</v>
      </c>
      <c r="G27" s="180"/>
      <c r="H27" s="180">
        <v>0.48942465753424658</v>
      </c>
      <c r="I27" s="180"/>
      <c r="J27" s="180">
        <v>1.2986301369863012E-2</v>
      </c>
      <c r="K27" s="180"/>
      <c r="L27" s="180"/>
      <c r="M27" s="180"/>
      <c r="N27" s="180"/>
      <c r="O27" s="180"/>
      <c r="P27" s="180"/>
      <c r="Q27" s="180"/>
      <c r="R27" s="180">
        <v>10.016081643835617</v>
      </c>
      <c r="S27" s="181">
        <v>0.7456393636549038</v>
      </c>
    </row>
    <row r="28" spans="1:19" x14ac:dyDescent="0.35">
      <c r="A28" s="177" t="s">
        <v>491</v>
      </c>
      <c r="B28" s="178">
        <v>15.399999999999999</v>
      </c>
      <c r="C28" s="178"/>
      <c r="D28" s="178">
        <v>15.399999999999999</v>
      </c>
      <c r="E28" s="178"/>
      <c r="F28" s="178"/>
      <c r="G28" s="178"/>
      <c r="H28" s="178"/>
      <c r="I28" s="178">
        <v>14.630000000000061</v>
      </c>
      <c r="J28" s="178"/>
      <c r="K28" s="178"/>
      <c r="L28" s="178"/>
      <c r="M28" s="178"/>
      <c r="N28" s="178"/>
      <c r="O28" s="178"/>
      <c r="P28" s="178"/>
      <c r="Q28" s="178"/>
      <c r="R28" s="178">
        <v>14.630000000000061</v>
      </c>
      <c r="S28" s="179">
        <v>0.95000000000000406</v>
      </c>
    </row>
    <row r="29" spans="1:19" x14ac:dyDescent="0.35">
      <c r="A29" s="176" t="s">
        <v>329</v>
      </c>
      <c r="B29" s="180">
        <v>15.399999999999999</v>
      </c>
      <c r="C29" s="180"/>
      <c r="D29" s="180">
        <v>15.399999999999999</v>
      </c>
      <c r="E29" s="180"/>
      <c r="F29" s="180"/>
      <c r="G29" s="180"/>
      <c r="H29" s="180"/>
      <c r="I29" s="180">
        <v>14.630000000000061</v>
      </c>
      <c r="J29" s="180"/>
      <c r="K29" s="180"/>
      <c r="L29" s="180"/>
      <c r="M29" s="180"/>
      <c r="N29" s="180"/>
      <c r="O29" s="180"/>
      <c r="P29" s="180"/>
      <c r="Q29" s="180"/>
      <c r="R29" s="180">
        <v>14.630000000000061</v>
      </c>
      <c r="S29" s="181">
        <v>0.95000000000000406</v>
      </c>
    </row>
    <row r="30" spans="1:19" x14ac:dyDescent="0.35">
      <c r="A30" s="177" t="s">
        <v>25</v>
      </c>
      <c r="B30" s="178">
        <v>108.91232876712346</v>
      </c>
      <c r="C30" s="178">
        <v>108.91232876712346</v>
      </c>
      <c r="D30" s="178"/>
      <c r="E30" s="178">
        <v>102.60399999999998</v>
      </c>
      <c r="F30" s="178">
        <v>28.026276164383535</v>
      </c>
      <c r="G30" s="178"/>
      <c r="H30" s="178"/>
      <c r="I30" s="178"/>
      <c r="J30" s="178">
        <v>2.9679452054794511</v>
      </c>
      <c r="K30" s="178">
        <v>1.1191780821917807</v>
      </c>
      <c r="L30" s="178">
        <v>1.1191780821917807</v>
      </c>
      <c r="M30" s="178">
        <v>41.208712328767156</v>
      </c>
      <c r="N30" s="178">
        <v>41.208712328767156</v>
      </c>
      <c r="O30" s="178"/>
      <c r="P30" s="178"/>
      <c r="Q30" s="178"/>
      <c r="R30" s="178">
        <v>175.92611178082191</v>
      </c>
      <c r="S30" s="179">
        <v>1.6153002490378059</v>
      </c>
    </row>
    <row r="31" spans="1:19" x14ac:dyDescent="0.35">
      <c r="A31" s="176" t="s">
        <v>320</v>
      </c>
      <c r="B31" s="180">
        <v>108.91232876712343</v>
      </c>
      <c r="C31" s="180">
        <v>108.91232876712343</v>
      </c>
      <c r="D31" s="180"/>
      <c r="E31" s="180">
        <v>102.60399999999998</v>
      </c>
      <c r="F31" s="180">
        <v>28.026276164383656</v>
      </c>
      <c r="G31" s="180"/>
      <c r="H31" s="180"/>
      <c r="I31" s="180"/>
      <c r="J31" s="180">
        <v>2.9679452054794515</v>
      </c>
      <c r="K31" s="180">
        <v>1.1191780821917807</v>
      </c>
      <c r="L31" s="180">
        <v>1.1191780821917807</v>
      </c>
      <c r="M31" s="180">
        <v>41.208712328767156</v>
      </c>
      <c r="N31" s="180">
        <v>41.208712328767156</v>
      </c>
      <c r="O31" s="180"/>
      <c r="P31" s="180"/>
      <c r="Q31" s="180"/>
      <c r="R31" s="180">
        <v>175.92611178082203</v>
      </c>
      <c r="S31" s="181">
        <v>1.6153002490378074</v>
      </c>
    </row>
    <row r="32" spans="1:19" x14ac:dyDescent="0.35">
      <c r="A32" s="177" t="s">
        <v>396</v>
      </c>
      <c r="B32" s="178">
        <v>21.273972602739747</v>
      </c>
      <c r="C32" s="178">
        <v>21.273972602739747</v>
      </c>
      <c r="D32" s="178"/>
      <c r="E32" s="178">
        <v>20.635753424657548</v>
      </c>
      <c r="F32" s="178"/>
      <c r="G32" s="178"/>
      <c r="H32" s="178"/>
      <c r="I32" s="178"/>
      <c r="J32" s="178">
        <v>0.86728767123287753</v>
      </c>
      <c r="K32" s="178"/>
      <c r="L32" s="178"/>
      <c r="M32" s="178">
        <v>11.729315068493149</v>
      </c>
      <c r="N32" s="178">
        <v>11.729315068493149</v>
      </c>
      <c r="O32" s="178"/>
      <c r="P32" s="178"/>
      <c r="Q32" s="178"/>
      <c r="R32" s="178">
        <v>33.232356164383575</v>
      </c>
      <c r="S32" s="179">
        <v>1.5621133290405658</v>
      </c>
    </row>
    <row r="33" spans="1:19" x14ac:dyDescent="0.35">
      <c r="A33" s="176" t="s">
        <v>319</v>
      </c>
      <c r="B33" s="180">
        <v>21.27397260273975</v>
      </c>
      <c r="C33" s="180">
        <v>21.27397260273975</v>
      </c>
      <c r="D33" s="180"/>
      <c r="E33" s="180">
        <v>20.635753424657548</v>
      </c>
      <c r="F33" s="180"/>
      <c r="G33" s="180"/>
      <c r="H33" s="180"/>
      <c r="I33" s="180"/>
      <c r="J33" s="180">
        <v>0.86728767123287753</v>
      </c>
      <c r="K33" s="180"/>
      <c r="L33" s="180"/>
      <c r="M33" s="180">
        <v>11.729315068493149</v>
      </c>
      <c r="N33" s="180">
        <v>11.729315068493149</v>
      </c>
      <c r="O33" s="180"/>
      <c r="P33" s="180"/>
      <c r="Q33" s="180"/>
      <c r="R33" s="180">
        <v>33.232356164383575</v>
      </c>
      <c r="S33" s="181">
        <v>1.5621133290405655</v>
      </c>
    </row>
    <row r="34" spans="1:19" x14ac:dyDescent="0.35">
      <c r="A34" s="177" t="s">
        <v>131</v>
      </c>
      <c r="B34" s="178">
        <v>39.512465753424607</v>
      </c>
      <c r="C34" s="178">
        <v>39.512465753424607</v>
      </c>
      <c r="D34" s="178"/>
      <c r="E34" s="178"/>
      <c r="F34" s="178">
        <v>28.662342657534289</v>
      </c>
      <c r="G34" s="178"/>
      <c r="H34" s="178"/>
      <c r="I34" s="178"/>
      <c r="J34" s="178">
        <v>7.890410958904108E-2</v>
      </c>
      <c r="K34" s="178">
        <v>0.75493150684931509</v>
      </c>
      <c r="L34" s="178">
        <v>0.75493150684931509</v>
      </c>
      <c r="M34" s="178"/>
      <c r="N34" s="178"/>
      <c r="O34" s="178"/>
      <c r="P34" s="178"/>
      <c r="Q34" s="178"/>
      <c r="R34" s="178">
        <v>29.496178273972642</v>
      </c>
      <c r="S34" s="179">
        <v>0.74650310254090291</v>
      </c>
    </row>
    <row r="35" spans="1:19" x14ac:dyDescent="0.35">
      <c r="A35" s="176" t="s">
        <v>318</v>
      </c>
      <c r="B35" s="180">
        <v>39.512465753424678</v>
      </c>
      <c r="C35" s="180">
        <v>39.512465753424678</v>
      </c>
      <c r="D35" s="180"/>
      <c r="E35" s="180"/>
      <c r="F35" s="180">
        <v>28.662342657534374</v>
      </c>
      <c r="G35" s="180"/>
      <c r="H35" s="180"/>
      <c r="I35" s="180"/>
      <c r="J35" s="180">
        <v>7.890410958904108E-2</v>
      </c>
      <c r="K35" s="180">
        <v>0.75493150684931509</v>
      </c>
      <c r="L35" s="180">
        <v>0.75493150684931509</v>
      </c>
      <c r="M35" s="180"/>
      <c r="N35" s="180"/>
      <c r="O35" s="180"/>
      <c r="P35" s="180"/>
      <c r="Q35" s="180"/>
      <c r="R35" s="180">
        <v>29.496178273972728</v>
      </c>
      <c r="S35" s="181">
        <v>0.74650310254090368</v>
      </c>
    </row>
    <row r="36" spans="1:19" x14ac:dyDescent="0.35">
      <c r="A36" s="177" t="s">
        <v>26</v>
      </c>
      <c r="B36" s="178">
        <v>160.33917808219098</v>
      </c>
      <c r="C36" s="178">
        <v>160.33917808219098</v>
      </c>
      <c r="D36" s="178"/>
      <c r="E36" s="178">
        <v>126.54071232876746</v>
      </c>
      <c r="F36" s="178">
        <v>16.632252493150695</v>
      </c>
      <c r="G36" s="178"/>
      <c r="H36" s="178">
        <v>4.972301369863013</v>
      </c>
      <c r="I36" s="178"/>
      <c r="J36" s="178">
        <v>0.81863013698630216</v>
      </c>
      <c r="K36" s="178">
        <v>4.4232876712328766</v>
      </c>
      <c r="L36" s="178">
        <v>4.4232876712328766</v>
      </c>
      <c r="M36" s="178">
        <v>11.539873972602738</v>
      </c>
      <c r="N36" s="178">
        <v>11.539873972602738</v>
      </c>
      <c r="O36" s="178"/>
      <c r="P36" s="178"/>
      <c r="Q36" s="178"/>
      <c r="R36" s="178">
        <v>164.92705797260311</v>
      </c>
      <c r="S36" s="179">
        <v>1.0286135924188182</v>
      </c>
    </row>
    <row r="37" spans="1:19" x14ac:dyDescent="0.35">
      <c r="A37" s="176" t="s">
        <v>317</v>
      </c>
      <c r="B37" s="180">
        <v>160.33917808218939</v>
      </c>
      <c r="C37" s="180">
        <v>160.33917808218939</v>
      </c>
      <c r="D37" s="180"/>
      <c r="E37" s="180">
        <v>126.5407123287671</v>
      </c>
      <c r="F37" s="180">
        <v>16.632252493150698</v>
      </c>
      <c r="G37" s="180"/>
      <c r="H37" s="180">
        <v>4.972301369863013</v>
      </c>
      <c r="I37" s="180"/>
      <c r="J37" s="180">
        <v>0.81863013698630249</v>
      </c>
      <c r="K37" s="180">
        <v>4.4232876712328837</v>
      </c>
      <c r="L37" s="180">
        <v>4.4232876712328837</v>
      </c>
      <c r="M37" s="180">
        <v>11.539873972602738</v>
      </c>
      <c r="N37" s="180">
        <v>11.539873972602738</v>
      </c>
      <c r="O37" s="180"/>
      <c r="P37" s="180"/>
      <c r="Q37" s="180"/>
      <c r="R37" s="180">
        <v>164.92705797260274</v>
      </c>
      <c r="S37" s="181">
        <v>1.0286135924188262</v>
      </c>
    </row>
    <row r="38" spans="1:19" x14ac:dyDescent="0.35">
      <c r="A38" s="177" t="s">
        <v>27</v>
      </c>
      <c r="B38" s="178">
        <v>252.60054794520369</v>
      </c>
      <c r="C38" s="178">
        <v>252.60054794520369</v>
      </c>
      <c r="D38" s="178"/>
      <c r="E38" s="178">
        <v>335.11967123287826</v>
      </c>
      <c r="F38" s="178">
        <v>9.143092438356172</v>
      </c>
      <c r="G38" s="178"/>
      <c r="H38" s="178"/>
      <c r="I38" s="178"/>
      <c r="J38" s="178">
        <v>4.9458082191780877</v>
      </c>
      <c r="K38" s="178">
        <v>15.654520547945214</v>
      </c>
      <c r="L38" s="178">
        <v>15.654520547945214</v>
      </c>
      <c r="M38" s="178">
        <v>68.00567671232848</v>
      </c>
      <c r="N38" s="178">
        <v>68.00567671232848</v>
      </c>
      <c r="O38" s="178"/>
      <c r="P38" s="178"/>
      <c r="Q38" s="178"/>
      <c r="R38" s="178">
        <v>432.86876915068621</v>
      </c>
      <c r="S38" s="179">
        <v>1.7136493672396462</v>
      </c>
    </row>
    <row r="39" spans="1:19" x14ac:dyDescent="0.35">
      <c r="A39" s="176" t="s">
        <v>316</v>
      </c>
      <c r="B39" s="180">
        <v>252.60054794520056</v>
      </c>
      <c r="C39" s="180">
        <v>252.60054794520056</v>
      </c>
      <c r="D39" s="180"/>
      <c r="E39" s="180">
        <v>335.11967123287769</v>
      </c>
      <c r="F39" s="180">
        <v>9.1430924383561756</v>
      </c>
      <c r="G39" s="180"/>
      <c r="H39" s="180"/>
      <c r="I39" s="180"/>
      <c r="J39" s="180">
        <v>4.9458082191780868</v>
      </c>
      <c r="K39" s="180">
        <v>15.654520547945227</v>
      </c>
      <c r="L39" s="180">
        <v>15.654520547945227</v>
      </c>
      <c r="M39" s="180">
        <v>68.00567671232848</v>
      </c>
      <c r="N39" s="180">
        <v>68.00567671232848</v>
      </c>
      <c r="O39" s="180"/>
      <c r="P39" s="180"/>
      <c r="Q39" s="180"/>
      <c r="R39" s="180">
        <v>432.86876915068569</v>
      </c>
      <c r="S39" s="181">
        <v>1.7136493672396653</v>
      </c>
    </row>
    <row r="40" spans="1:19" x14ac:dyDescent="0.35">
      <c r="A40" s="177" t="s">
        <v>147</v>
      </c>
      <c r="B40" s="178">
        <v>28.424657534246574</v>
      </c>
      <c r="C40" s="178">
        <v>28.424657534246574</v>
      </c>
      <c r="D40" s="178"/>
      <c r="E40" s="178"/>
      <c r="F40" s="178">
        <v>20.619246575342466</v>
      </c>
      <c r="G40" s="178"/>
      <c r="H40" s="178"/>
      <c r="I40" s="178"/>
      <c r="J40" s="178"/>
      <c r="K40" s="178"/>
      <c r="L40" s="178"/>
      <c r="M40" s="178"/>
      <c r="N40" s="178"/>
      <c r="O40" s="178"/>
      <c r="P40" s="178"/>
      <c r="Q40" s="178"/>
      <c r="R40" s="178">
        <v>20.619246575342466</v>
      </c>
      <c r="S40" s="179">
        <v>0.72540000000000004</v>
      </c>
    </row>
    <row r="41" spans="1:19" x14ac:dyDescent="0.35">
      <c r="A41" s="176" t="s">
        <v>315</v>
      </c>
      <c r="B41" s="180">
        <v>28.424657534246666</v>
      </c>
      <c r="C41" s="180">
        <v>28.424657534246666</v>
      </c>
      <c r="D41" s="180"/>
      <c r="E41" s="180"/>
      <c r="F41" s="180">
        <v>20.619246575342544</v>
      </c>
      <c r="G41" s="180"/>
      <c r="H41" s="180"/>
      <c r="I41" s="180"/>
      <c r="J41" s="180"/>
      <c r="K41" s="180"/>
      <c r="L41" s="180"/>
      <c r="M41" s="180"/>
      <c r="N41" s="180"/>
      <c r="O41" s="180"/>
      <c r="P41" s="180"/>
      <c r="Q41" s="180"/>
      <c r="R41" s="180">
        <v>20.619246575342544</v>
      </c>
      <c r="S41" s="181">
        <v>0.72540000000000038</v>
      </c>
    </row>
    <row r="42" spans="1:19" x14ac:dyDescent="0.35">
      <c r="A42" s="177" t="s">
        <v>28</v>
      </c>
      <c r="B42" s="178">
        <v>9758.5381095902194</v>
      </c>
      <c r="C42" s="178">
        <v>9634.8504383573436</v>
      </c>
      <c r="D42" s="178">
        <v>123.68767123287628</v>
      </c>
      <c r="E42" s="178">
        <v>8296.5373356176642</v>
      </c>
      <c r="F42" s="178">
        <v>762.83872513974109</v>
      </c>
      <c r="G42" s="178">
        <v>533.96230136987526</v>
      </c>
      <c r="H42" s="178">
        <v>204.26939726027211</v>
      </c>
      <c r="I42" s="178">
        <v>117.50328767123331</v>
      </c>
      <c r="J42" s="178">
        <v>112.82778082191865</v>
      </c>
      <c r="K42" s="178">
        <v>862.76303561647285</v>
      </c>
      <c r="L42" s="178">
        <v>862.76303561647285</v>
      </c>
      <c r="M42" s="178"/>
      <c r="N42" s="178"/>
      <c r="O42" s="178"/>
      <c r="P42" s="178">
        <v>17.990005512328835</v>
      </c>
      <c r="Q42" s="178"/>
      <c r="R42" s="178">
        <v>10908.691869009508</v>
      </c>
      <c r="S42" s="179">
        <v>1.1178612766075047</v>
      </c>
    </row>
    <row r="43" spans="1:19" x14ac:dyDescent="0.35">
      <c r="A43" s="176" t="s">
        <v>314</v>
      </c>
      <c r="B43" s="180">
        <v>9758.5381095877819</v>
      </c>
      <c r="C43" s="180">
        <v>9634.8504383549061</v>
      </c>
      <c r="D43" s="180">
        <v>123.68767123287651</v>
      </c>
      <c r="E43" s="180">
        <v>8296.5373356186683</v>
      </c>
      <c r="F43" s="180">
        <v>762.83872513977894</v>
      </c>
      <c r="G43" s="180">
        <v>533.9623013698789</v>
      </c>
      <c r="H43" s="180">
        <v>204.26939726027211</v>
      </c>
      <c r="I43" s="180">
        <v>117.50328767123466</v>
      </c>
      <c r="J43" s="180">
        <v>112.8277808219147</v>
      </c>
      <c r="K43" s="180">
        <v>862.76303561635802</v>
      </c>
      <c r="L43" s="180">
        <v>862.76303561635802</v>
      </c>
      <c r="M43" s="180"/>
      <c r="N43" s="180"/>
      <c r="O43" s="180"/>
      <c r="P43" s="180">
        <v>17.990005512328711</v>
      </c>
      <c r="Q43" s="180"/>
      <c r="R43" s="180">
        <v>10908.691869010434</v>
      </c>
      <c r="S43" s="181">
        <v>1.1178612766078788</v>
      </c>
    </row>
    <row r="44" spans="1:19" x14ac:dyDescent="0.35">
      <c r="A44" s="177" t="s">
        <v>29</v>
      </c>
      <c r="B44" s="178">
        <v>65.657260273972653</v>
      </c>
      <c r="C44" s="178">
        <v>65.657260273972653</v>
      </c>
      <c r="D44" s="178"/>
      <c r="E44" s="178">
        <v>95.016531506849049</v>
      </c>
      <c r="F44" s="178"/>
      <c r="G44" s="178"/>
      <c r="H44" s="178"/>
      <c r="I44" s="178"/>
      <c r="J44" s="178">
        <v>0.43093150684931503</v>
      </c>
      <c r="K44" s="178">
        <v>0.66575342465753429</v>
      </c>
      <c r="L44" s="178">
        <v>0.66575342465753429</v>
      </c>
      <c r="M44" s="178"/>
      <c r="N44" s="178"/>
      <c r="O44" s="178"/>
      <c r="P44" s="178"/>
      <c r="Q44" s="178"/>
      <c r="R44" s="178">
        <v>96.113216438355906</v>
      </c>
      <c r="S44" s="179">
        <v>1.4638627325797262</v>
      </c>
    </row>
    <row r="45" spans="1:19" x14ac:dyDescent="0.35">
      <c r="A45" s="176" t="s">
        <v>310</v>
      </c>
      <c r="B45" s="180">
        <v>65.657260273972554</v>
      </c>
      <c r="C45" s="180">
        <v>65.657260273972554</v>
      </c>
      <c r="D45" s="180"/>
      <c r="E45" s="180">
        <v>95.016531506849105</v>
      </c>
      <c r="F45" s="180"/>
      <c r="G45" s="180"/>
      <c r="H45" s="180"/>
      <c r="I45" s="180"/>
      <c r="J45" s="180">
        <v>0.43093150684931508</v>
      </c>
      <c r="K45" s="180">
        <v>0.66575342465753418</v>
      </c>
      <c r="L45" s="180">
        <v>0.66575342465753418</v>
      </c>
      <c r="M45" s="180"/>
      <c r="N45" s="180"/>
      <c r="O45" s="180"/>
      <c r="P45" s="180"/>
      <c r="Q45" s="180"/>
      <c r="R45" s="180">
        <v>96.113216438355963</v>
      </c>
      <c r="S45" s="181">
        <v>1.4638627325797291</v>
      </c>
    </row>
    <row r="46" spans="1:19" x14ac:dyDescent="0.35">
      <c r="A46" s="177" t="s">
        <v>30</v>
      </c>
      <c r="B46" s="178">
        <v>2191.4843835617176</v>
      </c>
      <c r="C46" s="178">
        <v>2191.4843835617176</v>
      </c>
      <c r="D46" s="178"/>
      <c r="E46" s="178">
        <v>1629.6341205479789</v>
      </c>
      <c r="F46" s="178">
        <v>163.90263945205564</v>
      </c>
      <c r="G46" s="178"/>
      <c r="H46" s="178">
        <v>60.855315068493255</v>
      </c>
      <c r="I46" s="178"/>
      <c r="J46" s="178">
        <v>48.31841095890416</v>
      </c>
      <c r="K46" s="178">
        <v>79.723013698629131</v>
      </c>
      <c r="L46" s="178">
        <v>79.723013698629131</v>
      </c>
      <c r="M46" s="178"/>
      <c r="N46" s="178"/>
      <c r="O46" s="178">
        <v>-13.138214646575342</v>
      </c>
      <c r="P46" s="178"/>
      <c r="Q46" s="178"/>
      <c r="R46" s="178">
        <v>1969.2952850794857</v>
      </c>
      <c r="S46" s="179">
        <v>0.89861251115961949</v>
      </c>
    </row>
    <row r="47" spans="1:19" x14ac:dyDescent="0.35">
      <c r="A47" s="176" t="s">
        <v>313</v>
      </c>
      <c r="B47" s="180">
        <v>2191.484383561628</v>
      </c>
      <c r="C47" s="180">
        <v>2191.484383561628</v>
      </c>
      <c r="D47" s="180"/>
      <c r="E47" s="180">
        <v>1629.6341205479559</v>
      </c>
      <c r="F47" s="180">
        <v>163.90263945205606</v>
      </c>
      <c r="G47" s="180"/>
      <c r="H47" s="180">
        <v>60.855315068493255</v>
      </c>
      <c r="I47" s="180"/>
      <c r="J47" s="180">
        <v>48.318410958903939</v>
      </c>
      <c r="K47" s="180">
        <v>79.72301369862852</v>
      </c>
      <c r="L47" s="180">
        <v>79.72301369862852</v>
      </c>
      <c r="M47" s="180"/>
      <c r="N47" s="180"/>
      <c r="O47" s="180">
        <v>-13.138214646575342</v>
      </c>
      <c r="P47" s="180"/>
      <c r="Q47" s="180"/>
      <c r="R47" s="180">
        <v>1969.2952850794625</v>
      </c>
      <c r="S47" s="181">
        <v>0.89861251115964558</v>
      </c>
    </row>
    <row r="48" spans="1:19" x14ac:dyDescent="0.35">
      <c r="A48" s="177" t="s">
        <v>32</v>
      </c>
      <c r="B48" s="178">
        <v>396.79726027397282</v>
      </c>
      <c r="C48" s="178">
        <v>396.79726027397282</v>
      </c>
      <c r="D48" s="178"/>
      <c r="E48" s="178">
        <v>398.02210958904305</v>
      </c>
      <c r="F48" s="178">
        <v>109.4321572602752</v>
      </c>
      <c r="G48" s="178"/>
      <c r="H48" s="178"/>
      <c r="I48" s="178"/>
      <c r="J48" s="178">
        <v>7.7875068493150783</v>
      </c>
      <c r="K48" s="178">
        <v>30.073972602739733</v>
      </c>
      <c r="L48" s="178">
        <v>30.073972602739733</v>
      </c>
      <c r="M48" s="178">
        <v>53.539890410958876</v>
      </c>
      <c r="N48" s="178">
        <v>53.539890410958876</v>
      </c>
      <c r="O48" s="178"/>
      <c r="P48" s="178"/>
      <c r="Q48" s="178"/>
      <c r="R48" s="178">
        <v>598.85563671233194</v>
      </c>
      <c r="S48" s="179">
        <v>1.5092232146432807</v>
      </c>
    </row>
    <row r="49" spans="1:19" x14ac:dyDescent="0.35">
      <c r="A49" s="176" t="s">
        <v>311</v>
      </c>
      <c r="B49" s="180">
        <v>396.79726027396453</v>
      </c>
      <c r="C49" s="180">
        <v>396.79726027396453</v>
      </c>
      <c r="D49" s="180"/>
      <c r="E49" s="180">
        <v>398.02210958904266</v>
      </c>
      <c r="F49" s="180">
        <v>109.43215726027464</v>
      </c>
      <c r="G49" s="180"/>
      <c r="H49" s="180"/>
      <c r="I49" s="180"/>
      <c r="J49" s="180">
        <v>7.7875068493150783</v>
      </c>
      <c r="K49" s="180">
        <v>30.073972602739747</v>
      </c>
      <c r="L49" s="180">
        <v>30.073972602739747</v>
      </c>
      <c r="M49" s="180">
        <v>53.539890410958876</v>
      </c>
      <c r="N49" s="180">
        <v>53.539890410958876</v>
      </c>
      <c r="O49" s="180"/>
      <c r="P49" s="180"/>
      <c r="Q49" s="180"/>
      <c r="R49" s="180">
        <v>598.85563671233092</v>
      </c>
      <c r="S49" s="181">
        <v>1.50922321464331</v>
      </c>
    </row>
    <row r="50" spans="1:19" x14ac:dyDescent="0.35">
      <c r="A50" s="177" t="s">
        <v>33</v>
      </c>
      <c r="B50" s="178">
        <v>3866.0609589040901</v>
      </c>
      <c r="C50" s="178">
        <v>3816.1795890410763</v>
      </c>
      <c r="D50" s="178">
        <v>49.881369863013703</v>
      </c>
      <c r="E50" s="178">
        <v>3204.9741232876231</v>
      </c>
      <c r="F50" s="178">
        <v>498.35251483561285</v>
      </c>
      <c r="G50" s="178">
        <v>83.691616438356235</v>
      </c>
      <c r="H50" s="178">
        <v>19.619178082191784</v>
      </c>
      <c r="I50" s="178">
        <v>47.387301369862918</v>
      </c>
      <c r="J50" s="178">
        <v>71.552219178082495</v>
      </c>
      <c r="K50" s="178">
        <v>246.6799452054783</v>
      </c>
      <c r="L50" s="178">
        <v>246.6799452054783</v>
      </c>
      <c r="M50" s="178">
        <v>14.102136986301373</v>
      </c>
      <c r="N50" s="178">
        <v>14.102136986301373</v>
      </c>
      <c r="O50" s="178">
        <v>-7.6902336986301343</v>
      </c>
      <c r="P50" s="178">
        <v>1.3547141260273987</v>
      </c>
      <c r="Q50" s="178">
        <v>16.769753424657512</v>
      </c>
      <c r="R50" s="178">
        <v>4196.7932692355653</v>
      </c>
      <c r="S50" s="179">
        <v>1.0855476191004563</v>
      </c>
    </row>
    <row r="51" spans="1:19" x14ac:dyDescent="0.35">
      <c r="A51" s="176" t="s">
        <v>308</v>
      </c>
      <c r="B51" s="180">
        <v>3866.0609589044311</v>
      </c>
      <c r="C51" s="180">
        <v>3816.1795890414173</v>
      </c>
      <c r="D51" s="180">
        <v>49.881369863013703</v>
      </c>
      <c r="E51" s="180">
        <v>3204.9741232875776</v>
      </c>
      <c r="F51" s="180">
        <v>498.35251483561092</v>
      </c>
      <c r="G51" s="180">
        <v>83.69161643835632</v>
      </c>
      <c r="H51" s="180">
        <v>19.619178082191784</v>
      </c>
      <c r="I51" s="180">
        <v>47.387301369862918</v>
      </c>
      <c r="J51" s="180">
        <v>71.552219178081643</v>
      </c>
      <c r="K51" s="180">
        <v>246.67994520548265</v>
      </c>
      <c r="L51" s="180">
        <v>246.67994520548265</v>
      </c>
      <c r="M51" s="180">
        <v>14.102136986301373</v>
      </c>
      <c r="N51" s="180">
        <v>14.102136986301373</v>
      </c>
      <c r="O51" s="180">
        <v>-7.6902336986301343</v>
      </c>
      <c r="P51" s="180">
        <v>1.3547141260274003</v>
      </c>
      <c r="Q51" s="180">
        <v>16.769753424657512</v>
      </c>
      <c r="R51" s="180">
        <v>4196.7932692355207</v>
      </c>
      <c r="S51" s="181">
        <v>1.0855476191003499</v>
      </c>
    </row>
    <row r="52" spans="1:19" x14ac:dyDescent="0.35">
      <c r="A52" s="177" t="s">
        <v>34</v>
      </c>
      <c r="B52" s="178">
        <v>510.17534246575156</v>
      </c>
      <c r="C52" s="178">
        <v>510.17534246575156</v>
      </c>
      <c r="D52" s="178"/>
      <c r="E52" s="178">
        <v>374.74636712329345</v>
      </c>
      <c r="F52" s="178">
        <v>214.23059589041088</v>
      </c>
      <c r="G52" s="178"/>
      <c r="H52" s="178"/>
      <c r="I52" s="178"/>
      <c r="J52" s="178">
        <v>3.6546082191780789</v>
      </c>
      <c r="K52" s="178">
        <v>9.8263013698630157</v>
      </c>
      <c r="L52" s="178">
        <v>9.8263013698630157</v>
      </c>
      <c r="M52" s="178">
        <v>47.968569863013521</v>
      </c>
      <c r="N52" s="178">
        <v>47.968569863013521</v>
      </c>
      <c r="O52" s="178"/>
      <c r="P52" s="178"/>
      <c r="Q52" s="178"/>
      <c r="R52" s="178">
        <v>650.4264424657589</v>
      </c>
      <c r="S52" s="179">
        <v>1.2749076412085174</v>
      </c>
    </row>
    <row r="53" spans="1:19" x14ac:dyDescent="0.35">
      <c r="A53" s="176" t="s">
        <v>307</v>
      </c>
      <c r="B53" s="180">
        <v>510.17534246575565</v>
      </c>
      <c r="C53" s="180">
        <v>510.17534246575565</v>
      </c>
      <c r="D53" s="180"/>
      <c r="E53" s="180">
        <v>374.74636712329476</v>
      </c>
      <c r="F53" s="180">
        <v>214.23059589041125</v>
      </c>
      <c r="G53" s="180"/>
      <c r="H53" s="180"/>
      <c r="I53" s="180"/>
      <c r="J53" s="180">
        <v>3.6546082191780784</v>
      </c>
      <c r="K53" s="180">
        <v>9.8263013698630246</v>
      </c>
      <c r="L53" s="180">
        <v>9.8263013698630246</v>
      </c>
      <c r="M53" s="180">
        <v>47.968569863013521</v>
      </c>
      <c r="N53" s="180">
        <v>47.968569863013521</v>
      </c>
      <c r="O53" s="180"/>
      <c r="P53" s="180"/>
      <c r="Q53" s="180"/>
      <c r="R53" s="180">
        <v>650.4264424657606</v>
      </c>
      <c r="S53" s="181">
        <v>1.2749076412085105</v>
      </c>
    </row>
    <row r="54" spans="1:19" x14ac:dyDescent="0.35">
      <c r="A54" s="177" t="s">
        <v>35</v>
      </c>
      <c r="B54" s="178">
        <v>48.526027397260229</v>
      </c>
      <c r="C54" s="178">
        <v>48.526027397260229</v>
      </c>
      <c r="D54" s="178"/>
      <c r="E54" s="178">
        <v>42.52586301369881</v>
      </c>
      <c r="F54" s="178">
        <v>3.3984493150684925</v>
      </c>
      <c r="G54" s="178"/>
      <c r="H54" s="178"/>
      <c r="I54" s="178"/>
      <c r="J54" s="178">
        <v>7.4301369863013694E-2</v>
      </c>
      <c r="K54" s="178">
        <v>4.1712328767123301</v>
      </c>
      <c r="L54" s="178">
        <v>4.1712328767123301</v>
      </c>
      <c r="M54" s="178">
        <v>24.047205479451982</v>
      </c>
      <c r="N54" s="178">
        <v>21.694309000000086</v>
      </c>
      <c r="O54" s="178"/>
      <c r="P54" s="178"/>
      <c r="Q54" s="178"/>
      <c r="R54" s="178">
        <v>71.864155575342721</v>
      </c>
      <c r="S54" s="179">
        <v>1.4809404237240356</v>
      </c>
    </row>
    <row r="55" spans="1:19" x14ac:dyDescent="0.35">
      <c r="A55" s="176" t="s">
        <v>305</v>
      </c>
      <c r="B55" s="180">
        <v>48.526027397260194</v>
      </c>
      <c r="C55" s="180">
        <v>48.526027397260194</v>
      </c>
      <c r="D55" s="180"/>
      <c r="E55" s="180">
        <v>42.52586301369881</v>
      </c>
      <c r="F55" s="180">
        <v>3.3984493150684942</v>
      </c>
      <c r="G55" s="180"/>
      <c r="H55" s="180"/>
      <c r="I55" s="180"/>
      <c r="J55" s="180">
        <v>7.430136986301368E-2</v>
      </c>
      <c r="K55" s="180">
        <v>4.1712328767123292</v>
      </c>
      <c r="L55" s="180">
        <v>4.1712328767123292</v>
      </c>
      <c r="M55" s="180">
        <v>24.047205479451982</v>
      </c>
      <c r="N55" s="180">
        <v>21.694309000000086</v>
      </c>
      <c r="O55" s="180"/>
      <c r="P55" s="180"/>
      <c r="Q55" s="180"/>
      <c r="R55" s="180">
        <v>71.864155575342721</v>
      </c>
      <c r="S55" s="181">
        <v>1.4809404237240367</v>
      </c>
    </row>
    <row r="56" spans="1:19" x14ac:dyDescent="0.35">
      <c r="A56" s="177" t="s">
        <v>36</v>
      </c>
      <c r="B56" s="178">
        <v>1493.8463287670854</v>
      </c>
      <c r="C56" s="178">
        <v>1493.8463287670854</v>
      </c>
      <c r="D56" s="178"/>
      <c r="E56" s="178">
        <v>1006.5386282191544</v>
      </c>
      <c r="F56" s="178">
        <v>464.97841915890183</v>
      </c>
      <c r="G56" s="178">
        <v>21.577298630136983</v>
      </c>
      <c r="H56" s="178">
        <v>14.61438904109589</v>
      </c>
      <c r="I56" s="178"/>
      <c r="J56" s="178">
        <v>20.459638356164362</v>
      </c>
      <c r="K56" s="178">
        <v>66.593380821917563</v>
      </c>
      <c r="L56" s="178">
        <v>66.593380821917563</v>
      </c>
      <c r="M56" s="178">
        <v>14.134684931506859</v>
      </c>
      <c r="N56" s="178">
        <v>14.134684931506859</v>
      </c>
      <c r="O56" s="178"/>
      <c r="P56" s="178">
        <v>0.20578504931506852</v>
      </c>
      <c r="Q56" s="178">
        <v>2.0970958904109591</v>
      </c>
      <c r="R56" s="178">
        <v>1611.1993200986039</v>
      </c>
      <c r="S56" s="179">
        <v>1.0785576060078235</v>
      </c>
    </row>
    <row r="57" spans="1:19" x14ac:dyDescent="0.35">
      <c r="A57" s="176" t="s">
        <v>304</v>
      </c>
      <c r="B57" s="180">
        <v>1493.8463287670295</v>
      </c>
      <c r="C57" s="180">
        <v>1493.8463287670295</v>
      </c>
      <c r="D57" s="180"/>
      <c r="E57" s="180">
        <v>1006.538628219137</v>
      </c>
      <c r="F57" s="180">
        <v>464.97841915890064</v>
      </c>
      <c r="G57" s="180">
        <v>21.577298630136973</v>
      </c>
      <c r="H57" s="180">
        <v>14.61438904109589</v>
      </c>
      <c r="I57" s="180"/>
      <c r="J57" s="180">
        <v>20.459638356164408</v>
      </c>
      <c r="K57" s="180">
        <v>66.593380821917549</v>
      </c>
      <c r="L57" s="180">
        <v>66.593380821917549</v>
      </c>
      <c r="M57" s="180">
        <v>14.134684931506859</v>
      </c>
      <c r="N57" s="180">
        <v>14.134684931506859</v>
      </c>
      <c r="O57" s="180"/>
      <c r="P57" s="180">
        <v>0.20578504931506852</v>
      </c>
      <c r="Q57" s="180">
        <v>2.0970958904109591</v>
      </c>
      <c r="R57" s="180">
        <v>1611.1993200985853</v>
      </c>
      <c r="S57" s="181">
        <v>1.0785576060078517</v>
      </c>
    </row>
    <row r="58" spans="1:19" x14ac:dyDescent="0.35">
      <c r="A58" s="177" t="s">
        <v>37</v>
      </c>
      <c r="B58" s="178">
        <v>99.617808219177988</v>
      </c>
      <c r="C58" s="178">
        <v>85.486301369862915</v>
      </c>
      <c r="D58" s="178">
        <v>14.131506849315079</v>
      </c>
      <c r="E58" s="178"/>
      <c r="F58" s="178">
        <v>62.011763013698612</v>
      </c>
      <c r="G58" s="178"/>
      <c r="H58" s="178"/>
      <c r="I58" s="178">
        <v>13.424931506849308</v>
      </c>
      <c r="J58" s="178">
        <v>8.5643835616438346E-2</v>
      </c>
      <c r="K58" s="178"/>
      <c r="L58" s="178"/>
      <c r="M58" s="178"/>
      <c r="N58" s="178"/>
      <c r="O58" s="178"/>
      <c r="P58" s="178"/>
      <c r="Q58" s="178"/>
      <c r="R58" s="178">
        <v>75.522338356164354</v>
      </c>
      <c r="S58" s="179">
        <v>0.75812085917410421</v>
      </c>
    </row>
    <row r="59" spans="1:19" x14ac:dyDescent="0.35">
      <c r="A59" s="176" t="s">
        <v>303</v>
      </c>
      <c r="B59" s="180">
        <v>99.617808219177675</v>
      </c>
      <c r="C59" s="180">
        <v>85.486301369862588</v>
      </c>
      <c r="D59" s="180">
        <v>14.131506849315084</v>
      </c>
      <c r="E59" s="180"/>
      <c r="F59" s="180">
        <v>62.011763013699458</v>
      </c>
      <c r="G59" s="180"/>
      <c r="H59" s="180"/>
      <c r="I59" s="180">
        <v>13.424931506849358</v>
      </c>
      <c r="J59" s="180">
        <v>8.5643835616438346E-2</v>
      </c>
      <c r="K59" s="180"/>
      <c r="L59" s="180"/>
      <c r="M59" s="180"/>
      <c r="N59" s="180"/>
      <c r="O59" s="180"/>
      <c r="P59" s="180"/>
      <c r="Q59" s="180"/>
      <c r="R59" s="180">
        <v>75.52233835616525</v>
      </c>
      <c r="S59" s="181">
        <v>0.75812085917411554</v>
      </c>
    </row>
    <row r="60" spans="1:19" x14ac:dyDescent="0.35">
      <c r="A60" s="177" t="s">
        <v>38</v>
      </c>
      <c r="B60" s="178">
        <v>57.887671232876812</v>
      </c>
      <c r="C60" s="178">
        <v>57.887671232876812</v>
      </c>
      <c r="D60" s="178"/>
      <c r="E60" s="178">
        <v>84.313287671232814</v>
      </c>
      <c r="F60" s="178"/>
      <c r="G60" s="178"/>
      <c r="H60" s="178"/>
      <c r="I60" s="178"/>
      <c r="J60" s="178">
        <v>1.0283835616438353</v>
      </c>
      <c r="K60" s="178"/>
      <c r="L60" s="178"/>
      <c r="M60" s="178"/>
      <c r="N60" s="178"/>
      <c r="O60" s="178"/>
      <c r="P60" s="178"/>
      <c r="Q60" s="178"/>
      <c r="R60" s="178">
        <v>85.341671232876649</v>
      </c>
      <c r="S60" s="179">
        <v>1.4742633347531793</v>
      </c>
    </row>
    <row r="61" spans="1:19" x14ac:dyDescent="0.35">
      <c r="A61" s="176" t="s">
        <v>300</v>
      </c>
      <c r="B61" s="180">
        <v>57.887671232876777</v>
      </c>
      <c r="C61" s="180">
        <v>57.887671232876777</v>
      </c>
      <c r="D61" s="180"/>
      <c r="E61" s="180">
        <v>84.3132876712328</v>
      </c>
      <c r="F61" s="180"/>
      <c r="G61" s="180"/>
      <c r="H61" s="180"/>
      <c r="I61" s="180"/>
      <c r="J61" s="180">
        <v>1.0283835616438353</v>
      </c>
      <c r="K61" s="180"/>
      <c r="L61" s="180"/>
      <c r="M61" s="180"/>
      <c r="N61" s="180"/>
      <c r="O61" s="180"/>
      <c r="P61" s="180"/>
      <c r="Q61" s="180"/>
      <c r="R61" s="180">
        <v>85.341671232876635</v>
      </c>
      <c r="S61" s="181">
        <v>1.4742633347531799</v>
      </c>
    </row>
    <row r="62" spans="1:19" x14ac:dyDescent="0.35">
      <c r="A62" s="177" t="s">
        <v>39</v>
      </c>
      <c r="B62" s="178">
        <v>2744.9960273972706</v>
      </c>
      <c r="C62" s="178">
        <v>2740.7795890411062</v>
      </c>
      <c r="D62" s="178">
        <v>4.2164383561643843</v>
      </c>
      <c r="E62" s="178">
        <v>2315.5594109588969</v>
      </c>
      <c r="F62" s="178">
        <v>317.05093471233079</v>
      </c>
      <c r="G62" s="178">
        <v>184.67848767123215</v>
      </c>
      <c r="H62" s="178">
        <v>8.1345753424657552</v>
      </c>
      <c r="I62" s="178">
        <v>4.0056164383561637</v>
      </c>
      <c r="J62" s="178">
        <v>61.547268493150241</v>
      </c>
      <c r="K62" s="178">
        <v>146.50287123287541</v>
      </c>
      <c r="L62" s="178">
        <v>146.50287123287541</v>
      </c>
      <c r="M62" s="178">
        <v>89.384745205479106</v>
      </c>
      <c r="N62" s="178">
        <v>89.384745205479106</v>
      </c>
      <c r="O62" s="178"/>
      <c r="P62" s="178">
        <v>0.49651894849315059</v>
      </c>
      <c r="Q62" s="178">
        <v>54.367912328767176</v>
      </c>
      <c r="R62" s="178">
        <v>3181.728341332047</v>
      </c>
      <c r="S62" s="179">
        <v>1.1591012553664322</v>
      </c>
    </row>
    <row r="63" spans="1:19" x14ac:dyDescent="0.35">
      <c r="A63" s="176" t="s">
        <v>299</v>
      </c>
      <c r="B63" s="180">
        <v>2744.9960273971583</v>
      </c>
      <c r="C63" s="180">
        <v>2740.7795890409939</v>
      </c>
      <c r="D63" s="180">
        <v>4.2164383561643843</v>
      </c>
      <c r="E63" s="180">
        <v>2315.5594109588901</v>
      </c>
      <c r="F63" s="180">
        <v>317.05093471232988</v>
      </c>
      <c r="G63" s="180">
        <v>184.6784876712324</v>
      </c>
      <c r="H63" s="180">
        <v>8.1345753424657552</v>
      </c>
      <c r="I63" s="180">
        <v>4.0056164383561637</v>
      </c>
      <c r="J63" s="180">
        <v>61.547268493149659</v>
      </c>
      <c r="K63" s="180">
        <v>146.50287123287305</v>
      </c>
      <c r="L63" s="180">
        <v>146.50287123287305</v>
      </c>
      <c r="M63" s="180">
        <v>89.384745205479106</v>
      </c>
      <c r="N63" s="180">
        <v>89.384745205479106</v>
      </c>
      <c r="O63" s="180"/>
      <c r="P63" s="180">
        <v>0.49651894849315026</v>
      </c>
      <c r="Q63" s="180">
        <v>54.367912328767176</v>
      </c>
      <c r="R63" s="180">
        <v>3181.7283413320365</v>
      </c>
      <c r="S63" s="181">
        <v>1.1591012553664763</v>
      </c>
    </row>
    <row r="64" spans="1:19" x14ac:dyDescent="0.35">
      <c r="A64" s="177" t="s">
        <v>40</v>
      </c>
      <c r="B64" s="178">
        <v>136.27671232876696</v>
      </c>
      <c r="C64" s="178">
        <v>136.27671232876696</v>
      </c>
      <c r="D64" s="178"/>
      <c r="E64" s="178"/>
      <c r="F64" s="178">
        <v>98.855127123287971</v>
      </c>
      <c r="G64" s="178"/>
      <c r="H64" s="178"/>
      <c r="I64" s="178"/>
      <c r="J64" s="178"/>
      <c r="K64" s="178"/>
      <c r="L64" s="178"/>
      <c r="M64" s="178"/>
      <c r="N64" s="178"/>
      <c r="O64" s="178"/>
      <c r="P64" s="178"/>
      <c r="Q64" s="178"/>
      <c r="R64" s="178">
        <v>98.855127123287971</v>
      </c>
      <c r="S64" s="179">
        <v>0.72540000000000304</v>
      </c>
    </row>
    <row r="65" spans="1:19" x14ac:dyDescent="0.35">
      <c r="A65" s="176" t="s">
        <v>298</v>
      </c>
      <c r="B65" s="180">
        <v>136.27671232876523</v>
      </c>
      <c r="C65" s="180">
        <v>136.27671232876523</v>
      </c>
      <c r="D65" s="180"/>
      <c r="E65" s="180"/>
      <c r="F65" s="180">
        <v>98.855127123288653</v>
      </c>
      <c r="G65" s="180"/>
      <c r="H65" s="180"/>
      <c r="I65" s="180"/>
      <c r="J65" s="180"/>
      <c r="K65" s="180"/>
      <c r="L65" s="180"/>
      <c r="M65" s="180"/>
      <c r="N65" s="180"/>
      <c r="O65" s="180"/>
      <c r="P65" s="180"/>
      <c r="Q65" s="180"/>
      <c r="R65" s="180">
        <v>98.855127123288653</v>
      </c>
      <c r="S65" s="181">
        <v>0.72540000000001725</v>
      </c>
    </row>
    <row r="66" spans="1:19" x14ac:dyDescent="0.35">
      <c r="A66" s="177" t="s">
        <v>460</v>
      </c>
      <c r="B66" s="178">
        <v>6326.9994520539649</v>
      </c>
      <c r="C66" s="178">
        <v>6325.6816438347869</v>
      </c>
      <c r="D66" s="178">
        <v>1.3178082191780853</v>
      </c>
      <c r="E66" s="178">
        <v>5310.9452479452721</v>
      </c>
      <c r="F66" s="178">
        <v>876.85175104112477</v>
      </c>
      <c r="G66" s="178">
        <v>151.99462465753422</v>
      </c>
      <c r="H66" s="178">
        <v>19.714109589041094</v>
      </c>
      <c r="I66" s="178">
        <v>1.2519178082191746</v>
      </c>
      <c r="J66" s="178">
        <v>132.60854794520677</v>
      </c>
      <c r="K66" s="178">
        <v>348.07528767124012</v>
      </c>
      <c r="L66" s="178">
        <v>348.07528767124012</v>
      </c>
      <c r="M66" s="178">
        <v>102.54193150684955</v>
      </c>
      <c r="N66" s="178">
        <v>102.54193150684955</v>
      </c>
      <c r="O66" s="178"/>
      <c r="P66" s="178">
        <v>4.9480076342466566</v>
      </c>
      <c r="Q66" s="178">
        <v>0.46465753424657535</v>
      </c>
      <c r="R66" s="178">
        <v>6949.396083332982</v>
      </c>
      <c r="S66" s="179">
        <v>1.0983715323504517</v>
      </c>
    </row>
    <row r="67" spans="1:19" x14ac:dyDescent="0.35">
      <c r="A67" s="176" t="s">
        <v>297</v>
      </c>
      <c r="B67" s="180">
        <v>6326.9994520546425</v>
      </c>
      <c r="C67" s="180">
        <v>6325.6816438354645</v>
      </c>
      <c r="D67" s="180">
        <v>1.3178082191780853</v>
      </c>
      <c r="E67" s="180">
        <v>5310.9452479453694</v>
      </c>
      <c r="F67" s="180">
        <v>876.85175104116536</v>
      </c>
      <c r="G67" s="180">
        <v>151.99462465753413</v>
      </c>
      <c r="H67" s="180">
        <v>19.714109589041094</v>
      </c>
      <c r="I67" s="180">
        <v>1.2519178082191746</v>
      </c>
      <c r="J67" s="180">
        <v>132.60854794520569</v>
      </c>
      <c r="K67" s="180">
        <v>348.07528767125206</v>
      </c>
      <c r="L67" s="180">
        <v>348.07528767125206</v>
      </c>
      <c r="M67" s="180">
        <v>102.54193150684955</v>
      </c>
      <c r="N67" s="180">
        <v>102.54193150684955</v>
      </c>
      <c r="O67" s="180"/>
      <c r="P67" s="180">
        <v>4.9480076342466646</v>
      </c>
      <c r="Q67" s="180">
        <v>0.46465753424657535</v>
      </c>
      <c r="R67" s="180">
        <v>6949.3960833331303</v>
      </c>
      <c r="S67" s="181">
        <v>1.0983715323503576</v>
      </c>
    </row>
    <row r="68" spans="1:19" x14ac:dyDescent="0.35">
      <c r="A68" s="177" t="s">
        <v>41</v>
      </c>
      <c r="B68" s="178">
        <v>236.86136986301327</v>
      </c>
      <c r="C68" s="178">
        <v>236.86136986301327</v>
      </c>
      <c r="D68" s="178"/>
      <c r="E68" s="178">
        <v>134.84169315068544</v>
      </c>
      <c r="F68" s="178">
        <v>70.97989315068466</v>
      </c>
      <c r="G68" s="178"/>
      <c r="H68" s="178"/>
      <c r="I68" s="178"/>
      <c r="J68" s="178">
        <v>1.5046027397260273</v>
      </c>
      <c r="K68" s="178">
        <v>10.800684931506858</v>
      </c>
      <c r="L68" s="178">
        <v>10.800684931506858</v>
      </c>
      <c r="M68" s="178">
        <v>3.2150136986301363</v>
      </c>
      <c r="N68" s="178">
        <v>3.2150136986301363</v>
      </c>
      <c r="O68" s="178"/>
      <c r="P68" s="178"/>
      <c r="Q68" s="178"/>
      <c r="R68" s="178">
        <v>221.34188767123314</v>
      </c>
      <c r="S68" s="179">
        <v>0.93447862688307648</v>
      </c>
    </row>
    <row r="69" spans="1:19" x14ac:dyDescent="0.35">
      <c r="A69" s="176" t="s">
        <v>302</v>
      </c>
      <c r="B69" s="180">
        <v>236.8613698630069</v>
      </c>
      <c r="C69" s="180">
        <v>236.8613698630069</v>
      </c>
      <c r="D69" s="180"/>
      <c r="E69" s="180">
        <v>134.84169315068553</v>
      </c>
      <c r="F69" s="180">
        <v>70.979893150685641</v>
      </c>
      <c r="G69" s="180"/>
      <c r="H69" s="180"/>
      <c r="I69" s="180"/>
      <c r="J69" s="180">
        <v>1.5046027397260271</v>
      </c>
      <c r="K69" s="180">
        <v>10.800684931506872</v>
      </c>
      <c r="L69" s="180">
        <v>10.800684931506872</v>
      </c>
      <c r="M69" s="180">
        <v>3.2150136986301363</v>
      </c>
      <c r="N69" s="180">
        <v>3.2150136986301363</v>
      </c>
      <c r="O69" s="180"/>
      <c r="P69" s="180"/>
      <c r="Q69" s="180"/>
      <c r="R69" s="180">
        <v>221.34188767123422</v>
      </c>
      <c r="S69" s="181">
        <v>0.93447862688310612</v>
      </c>
    </row>
    <row r="70" spans="1:19" x14ac:dyDescent="0.35">
      <c r="A70" s="177" t="s">
        <v>42</v>
      </c>
      <c r="B70" s="178">
        <v>119.84383561643827</v>
      </c>
      <c r="C70" s="178">
        <v>119.84383561643827</v>
      </c>
      <c r="D70" s="178"/>
      <c r="E70" s="178">
        <v>111.45432876712322</v>
      </c>
      <c r="F70" s="178"/>
      <c r="G70" s="178"/>
      <c r="H70" s="178">
        <v>7.6113972602739732</v>
      </c>
      <c r="I70" s="178"/>
      <c r="J70" s="178">
        <v>0.30279452054794509</v>
      </c>
      <c r="K70" s="178">
        <v>14.035616438356159</v>
      </c>
      <c r="L70" s="178">
        <v>14.035616438356159</v>
      </c>
      <c r="M70" s="178"/>
      <c r="N70" s="178"/>
      <c r="O70" s="178"/>
      <c r="P70" s="178"/>
      <c r="Q70" s="178"/>
      <c r="R70" s="178">
        <v>133.4041369863013</v>
      </c>
      <c r="S70" s="179">
        <v>1.1131497611046342</v>
      </c>
    </row>
    <row r="71" spans="1:19" x14ac:dyDescent="0.35">
      <c r="A71" s="176" t="s">
        <v>301</v>
      </c>
      <c r="B71" s="180">
        <v>119.8438356164381</v>
      </c>
      <c r="C71" s="180">
        <v>119.8438356164381</v>
      </c>
      <c r="D71" s="180"/>
      <c r="E71" s="180">
        <v>111.45432876712339</v>
      </c>
      <c r="F71" s="180"/>
      <c r="G71" s="180"/>
      <c r="H71" s="180">
        <v>7.6113972602739732</v>
      </c>
      <c r="I71" s="180"/>
      <c r="J71" s="180">
        <v>0.30279452054794526</v>
      </c>
      <c r="K71" s="180">
        <v>14.035616438356195</v>
      </c>
      <c r="L71" s="180">
        <v>14.035616438356195</v>
      </c>
      <c r="M71" s="180"/>
      <c r="N71" s="180"/>
      <c r="O71" s="180"/>
      <c r="P71" s="180"/>
      <c r="Q71" s="180"/>
      <c r="R71" s="180">
        <v>133.40413698630149</v>
      </c>
      <c r="S71" s="181">
        <v>1.1131497611046373</v>
      </c>
    </row>
    <row r="72" spans="1:19" x14ac:dyDescent="0.35">
      <c r="A72" s="177" t="s">
        <v>43</v>
      </c>
      <c r="B72" s="178">
        <v>476.51520547945171</v>
      </c>
      <c r="C72" s="178">
        <v>474.92397260273935</v>
      </c>
      <c r="D72" s="178">
        <v>1.5912328767123283</v>
      </c>
      <c r="E72" s="178">
        <v>514.15257534247974</v>
      </c>
      <c r="F72" s="178">
        <v>1.7831921917808218</v>
      </c>
      <c r="G72" s="178"/>
      <c r="H72" s="178">
        <v>1.4345205479452059</v>
      </c>
      <c r="I72" s="178">
        <v>1.5116712328767115</v>
      </c>
      <c r="J72" s="178">
        <v>11.630465753424673</v>
      </c>
      <c r="K72" s="178">
        <v>17.946575342465742</v>
      </c>
      <c r="L72" s="178">
        <v>17.946575342465742</v>
      </c>
      <c r="M72" s="178">
        <v>62.554191780821327</v>
      </c>
      <c r="N72" s="178">
        <v>62.554191780821327</v>
      </c>
      <c r="O72" s="178">
        <v>-0.31636821917808244</v>
      </c>
      <c r="P72" s="178"/>
      <c r="Q72" s="178"/>
      <c r="R72" s="178">
        <v>610.69682397261613</v>
      </c>
      <c r="S72" s="179">
        <v>1.2815893741694055</v>
      </c>
    </row>
    <row r="73" spans="1:19" x14ac:dyDescent="0.35">
      <c r="A73" s="176" t="s">
        <v>296</v>
      </c>
      <c r="B73" s="180">
        <v>476.51520547945387</v>
      </c>
      <c r="C73" s="180">
        <v>474.92397260274151</v>
      </c>
      <c r="D73" s="180">
        <v>1.5912328767123296</v>
      </c>
      <c r="E73" s="180">
        <v>514.15257534248167</v>
      </c>
      <c r="F73" s="180">
        <v>1.7831921917808216</v>
      </c>
      <c r="G73" s="180"/>
      <c r="H73" s="180">
        <v>1.4345205479452059</v>
      </c>
      <c r="I73" s="180">
        <v>1.5116712328767106</v>
      </c>
      <c r="J73" s="180">
        <v>11.630465753424666</v>
      </c>
      <c r="K73" s="180">
        <v>17.946575342465785</v>
      </c>
      <c r="L73" s="180">
        <v>17.946575342465785</v>
      </c>
      <c r="M73" s="180">
        <v>62.554191780821327</v>
      </c>
      <c r="N73" s="180">
        <v>62.554191780821327</v>
      </c>
      <c r="O73" s="180">
        <v>-0.31636821917808244</v>
      </c>
      <c r="P73" s="180"/>
      <c r="Q73" s="180"/>
      <c r="R73" s="180">
        <v>610.69682397261795</v>
      </c>
      <c r="S73" s="181">
        <v>1.2815893741694033</v>
      </c>
    </row>
    <row r="74" spans="1:19" x14ac:dyDescent="0.35">
      <c r="A74" s="177" t="s">
        <v>44</v>
      </c>
      <c r="B74" s="178">
        <v>2912.9086301370603</v>
      </c>
      <c r="C74" s="178">
        <v>2909.1086301370601</v>
      </c>
      <c r="D74" s="178">
        <v>3.8</v>
      </c>
      <c r="E74" s="178">
        <v>2198.8355082191729</v>
      </c>
      <c r="F74" s="178">
        <v>622.90805309589268</v>
      </c>
      <c r="G74" s="178">
        <v>54.786027397260284</v>
      </c>
      <c r="H74" s="178">
        <v>27.511150684931422</v>
      </c>
      <c r="I74" s="178">
        <v>3.6100000000000003</v>
      </c>
      <c r="J74" s="178">
        <v>59.570235616437706</v>
      </c>
      <c r="K74" s="178">
        <v>58.829232876712389</v>
      </c>
      <c r="L74" s="178">
        <v>58.829232876712389</v>
      </c>
      <c r="M74" s="178">
        <v>136.55660273972629</v>
      </c>
      <c r="N74" s="178">
        <v>136.55660273972629</v>
      </c>
      <c r="O74" s="178">
        <v>-0.57751827945205458</v>
      </c>
      <c r="P74" s="178">
        <v>0.4236504164383561</v>
      </c>
      <c r="Q74" s="178"/>
      <c r="R74" s="178">
        <v>3162.4529427671205</v>
      </c>
      <c r="S74" s="179">
        <v>1.0856684312196632</v>
      </c>
    </row>
    <row r="75" spans="1:19" x14ac:dyDescent="0.35">
      <c r="A75" s="176" t="s">
        <v>295</v>
      </c>
      <c r="B75" s="180">
        <v>2912.9086301368297</v>
      </c>
      <c r="C75" s="180">
        <v>2909.1086301368296</v>
      </c>
      <c r="D75" s="180">
        <v>3.7999999999999985</v>
      </c>
      <c r="E75" s="180">
        <v>2198.8355082191702</v>
      </c>
      <c r="F75" s="180">
        <v>622.90805309591701</v>
      </c>
      <c r="G75" s="180">
        <v>54.786027397260284</v>
      </c>
      <c r="H75" s="180">
        <v>27.511150684931422</v>
      </c>
      <c r="I75" s="180">
        <v>3.6099999999999977</v>
      </c>
      <c r="J75" s="180">
        <v>59.5702356164376</v>
      </c>
      <c r="K75" s="180">
        <v>58.829232876712389</v>
      </c>
      <c r="L75" s="180">
        <v>58.829232876712389</v>
      </c>
      <c r="M75" s="180">
        <v>136.55660273972629</v>
      </c>
      <c r="N75" s="180">
        <v>136.55660273972629</v>
      </c>
      <c r="O75" s="180">
        <v>-0.57751827945205458</v>
      </c>
      <c r="P75" s="180">
        <v>0.42365041643835555</v>
      </c>
      <c r="Q75" s="180"/>
      <c r="R75" s="180">
        <v>3162.4529427671418</v>
      </c>
      <c r="S75" s="181">
        <v>1.0856684312197564</v>
      </c>
    </row>
    <row r="76" spans="1:19" x14ac:dyDescent="0.35">
      <c r="A76" s="177" t="s">
        <v>45</v>
      </c>
      <c r="B76" s="178">
        <v>92.310465753424765</v>
      </c>
      <c r="C76" s="178">
        <v>92.310465753424765</v>
      </c>
      <c r="D76" s="178"/>
      <c r="E76" s="178">
        <v>71.428727123287828</v>
      </c>
      <c r="F76" s="178">
        <v>13.455673150684934</v>
      </c>
      <c r="G76" s="178"/>
      <c r="H76" s="178">
        <v>0.18986301369863012</v>
      </c>
      <c r="I76" s="178"/>
      <c r="J76" s="178">
        <v>0.81008219178082141</v>
      </c>
      <c r="K76" s="178">
        <v>0.30136986301369861</v>
      </c>
      <c r="L76" s="178">
        <v>0.30136986301369861</v>
      </c>
      <c r="M76" s="178">
        <v>19.733095890410915</v>
      </c>
      <c r="N76" s="178">
        <v>19.733095890410915</v>
      </c>
      <c r="O76" s="178"/>
      <c r="P76" s="178"/>
      <c r="Q76" s="178"/>
      <c r="R76" s="178">
        <v>105.91881123287682</v>
      </c>
      <c r="S76" s="179">
        <v>1.1474193133831867</v>
      </c>
    </row>
    <row r="77" spans="1:19" x14ac:dyDescent="0.35">
      <c r="A77" s="176" t="s">
        <v>294</v>
      </c>
      <c r="B77" s="180">
        <v>92.31046575342458</v>
      </c>
      <c r="C77" s="180">
        <v>92.31046575342458</v>
      </c>
      <c r="D77" s="180"/>
      <c r="E77" s="180">
        <v>71.428727123287842</v>
      </c>
      <c r="F77" s="180">
        <v>13.45567315068493</v>
      </c>
      <c r="G77" s="180"/>
      <c r="H77" s="180">
        <v>0.18986301369863012</v>
      </c>
      <c r="I77" s="180"/>
      <c r="J77" s="180">
        <v>0.81008219178082141</v>
      </c>
      <c r="K77" s="180">
        <v>0.30136986301369861</v>
      </c>
      <c r="L77" s="180">
        <v>0.30136986301369861</v>
      </c>
      <c r="M77" s="180">
        <v>19.733095890410915</v>
      </c>
      <c r="N77" s="180">
        <v>19.733095890410915</v>
      </c>
      <c r="O77" s="180"/>
      <c r="P77" s="180"/>
      <c r="Q77" s="180"/>
      <c r="R77" s="180">
        <v>105.91881123287685</v>
      </c>
      <c r="S77" s="181">
        <v>1.1474193133831894</v>
      </c>
    </row>
    <row r="78" spans="1:19" x14ac:dyDescent="0.35">
      <c r="A78" s="177" t="s">
        <v>46</v>
      </c>
      <c r="B78" s="178">
        <v>80.449589041095862</v>
      </c>
      <c r="C78" s="178">
        <v>80.449589041095862</v>
      </c>
      <c r="D78" s="178"/>
      <c r="E78" s="178">
        <v>76.961128767123483</v>
      </c>
      <c r="F78" s="178">
        <v>0.45412027397260257</v>
      </c>
      <c r="G78" s="178"/>
      <c r="H78" s="178">
        <v>0.74257534246575341</v>
      </c>
      <c r="I78" s="178"/>
      <c r="J78" s="178">
        <v>0.98064657534246646</v>
      </c>
      <c r="K78" s="178">
        <v>9.5347945205479459</v>
      </c>
      <c r="L78" s="178">
        <v>9.5347945205479459</v>
      </c>
      <c r="M78" s="178">
        <v>18.563328767123249</v>
      </c>
      <c r="N78" s="178">
        <v>18.563328767123249</v>
      </c>
      <c r="O78" s="178"/>
      <c r="P78" s="178"/>
      <c r="Q78" s="178"/>
      <c r="R78" s="178">
        <v>107.23659424657551</v>
      </c>
      <c r="S78" s="179">
        <v>1.3329663398503639</v>
      </c>
    </row>
    <row r="79" spans="1:19" x14ac:dyDescent="0.35">
      <c r="A79" s="176" t="s">
        <v>293</v>
      </c>
      <c r="B79" s="180">
        <v>80.449589041095891</v>
      </c>
      <c r="C79" s="180">
        <v>80.449589041095891</v>
      </c>
      <c r="D79" s="180"/>
      <c r="E79" s="180">
        <v>76.961128767123469</v>
      </c>
      <c r="F79" s="180">
        <v>0.45412027397260257</v>
      </c>
      <c r="G79" s="180"/>
      <c r="H79" s="180">
        <v>0.74257534246575341</v>
      </c>
      <c r="I79" s="180"/>
      <c r="J79" s="180">
        <v>0.98064657534246646</v>
      </c>
      <c r="K79" s="180">
        <v>9.5347945205479565</v>
      </c>
      <c r="L79" s="180">
        <v>9.5347945205479565</v>
      </c>
      <c r="M79" s="180">
        <v>18.563328767123249</v>
      </c>
      <c r="N79" s="180">
        <v>18.563328767123249</v>
      </c>
      <c r="O79" s="180"/>
      <c r="P79" s="180"/>
      <c r="Q79" s="180"/>
      <c r="R79" s="180">
        <v>107.23659424657551</v>
      </c>
      <c r="S79" s="181">
        <v>1.3329663398503635</v>
      </c>
    </row>
    <row r="80" spans="1:19" x14ac:dyDescent="0.35">
      <c r="A80" s="177" t="s">
        <v>47</v>
      </c>
      <c r="B80" s="178">
        <v>65.600273972602693</v>
      </c>
      <c r="C80" s="178">
        <v>43.038630136986228</v>
      </c>
      <c r="D80" s="178">
        <v>22.561643835616465</v>
      </c>
      <c r="E80" s="178"/>
      <c r="F80" s="178">
        <v>38.825148246575189</v>
      </c>
      <c r="G80" s="178"/>
      <c r="H80" s="178"/>
      <c r="I80" s="178">
        <v>21.43356164383567</v>
      </c>
      <c r="J80" s="178"/>
      <c r="K80" s="178"/>
      <c r="L80" s="178"/>
      <c r="M80" s="178"/>
      <c r="N80" s="178"/>
      <c r="O80" s="178"/>
      <c r="P80" s="178"/>
      <c r="Q80" s="178"/>
      <c r="R80" s="178">
        <v>60.258709890410856</v>
      </c>
      <c r="S80" s="179">
        <v>0.91857405832752026</v>
      </c>
    </row>
    <row r="81" spans="1:19" x14ac:dyDescent="0.35">
      <c r="A81" s="176" t="s">
        <v>292</v>
      </c>
      <c r="B81" s="180">
        <v>65.600273972602736</v>
      </c>
      <c r="C81" s="180">
        <v>43.038630136986271</v>
      </c>
      <c r="D81" s="180">
        <v>22.561643835616465</v>
      </c>
      <c r="E81" s="180"/>
      <c r="F81" s="180">
        <v>38.825148246575246</v>
      </c>
      <c r="G81" s="180"/>
      <c r="H81" s="180"/>
      <c r="I81" s="180">
        <v>21.43356164383567</v>
      </c>
      <c r="J81" s="180"/>
      <c r="K81" s="180"/>
      <c r="L81" s="180"/>
      <c r="M81" s="180"/>
      <c r="N81" s="180"/>
      <c r="O81" s="180"/>
      <c r="P81" s="180"/>
      <c r="Q81" s="180"/>
      <c r="R81" s="180">
        <v>60.258709890410913</v>
      </c>
      <c r="S81" s="181">
        <v>0.91857405832752048</v>
      </c>
    </row>
    <row r="82" spans="1:19" x14ac:dyDescent="0.35">
      <c r="A82" s="177" t="s">
        <v>48</v>
      </c>
      <c r="B82" s="178">
        <v>6.0356164383561648</v>
      </c>
      <c r="C82" s="178">
        <v>6.0356164383561648</v>
      </c>
      <c r="D82" s="178"/>
      <c r="E82" s="178"/>
      <c r="F82" s="178">
        <v>4.3682991780821911</v>
      </c>
      <c r="G82" s="178"/>
      <c r="H82" s="178">
        <v>2.1095890410958905E-2</v>
      </c>
      <c r="I82" s="178"/>
      <c r="J82" s="178">
        <v>8.2191780821917813E-4</v>
      </c>
      <c r="K82" s="178"/>
      <c r="L82" s="178"/>
      <c r="M82" s="178"/>
      <c r="N82" s="178"/>
      <c r="O82" s="178"/>
      <c r="P82" s="178"/>
      <c r="Q82" s="178"/>
      <c r="R82" s="178">
        <v>4.3902169863013691</v>
      </c>
      <c r="S82" s="179">
        <v>0.72738502042669073</v>
      </c>
    </row>
    <row r="83" spans="1:19" x14ac:dyDescent="0.35">
      <c r="A83" s="176" t="s">
        <v>291</v>
      </c>
      <c r="B83" s="180">
        <v>6.0356164383561719</v>
      </c>
      <c r="C83" s="180">
        <v>6.0356164383561719</v>
      </c>
      <c r="D83" s="180"/>
      <c r="E83" s="180"/>
      <c r="F83" s="180">
        <v>4.3682991780821929</v>
      </c>
      <c r="G83" s="180"/>
      <c r="H83" s="180">
        <v>2.1095890410958905E-2</v>
      </c>
      <c r="I83" s="180"/>
      <c r="J83" s="180">
        <v>8.2191780821917813E-4</v>
      </c>
      <c r="K83" s="180"/>
      <c r="L83" s="180"/>
      <c r="M83" s="180"/>
      <c r="N83" s="180"/>
      <c r="O83" s="180"/>
      <c r="P83" s="180"/>
      <c r="Q83" s="180"/>
      <c r="R83" s="180">
        <v>4.3902169863013709</v>
      </c>
      <c r="S83" s="181">
        <v>0.72738502042669018</v>
      </c>
    </row>
    <row r="84" spans="1:19" x14ac:dyDescent="0.35">
      <c r="A84" s="177" t="s">
        <v>49</v>
      </c>
      <c r="B84" s="178">
        <v>107.25753424657549</v>
      </c>
      <c r="C84" s="178">
        <v>94.665753424657666</v>
      </c>
      <c r="D84" s="178">
        <v>12.591780821917828</v>
      </c>
      <c r="E84" s="178">
        <v>101.1909863013699</v>
      </c>
      <c r="F84" s="178"/>
      <c r="G84" s="178"/>
      <c r="H84" s="178"/>
      <c r="I84" s="178">
        <v>11.962191780821941</v>
      </c>
      <c r="J84" s="178"/>
      <c r="K84" s="178"/>
      <c r="L84" s="178"/>
      <c r="M84" s="178"/>
      <c r="N84" s="178"/>
      <c r="O84" s="178"/>
      <c r="P84" s="178"/>
      <c r="Q84" s="178"/>
      <c r="R84" s="178">
        <v>113.15317808219184</v>
      </c>
      <c r="S84" s="179">
        <v>1.0549671766839501</v>
      </c>
    </row>
    <row r="85" spans="1:19" x14ac:dyDescent="0.35">
      <c r="A85" s="176" t="s">
        <v>289</v>
      </c>
      <c r="B85" s="180">
        <v>107.2575342465756</v>
      </c>
      <c r="C85" s="180">
        <v>94.66575342465778</v>
      </c>
      <c r="D85" s="180">
        <v>12.591780821917828</v>
      </c>
      <c r="E85" s="180">
        <v>101.19098630137002</v>
      </c>
      <c r="F85" s="180"/>
      <c r="G85" s="180"/>
      <c r="H85" s="180"/>
      <c r="I85" s="180">
        <v>11.962191780821941</v>
      </c>
      <c r="J85" s="180"/>
      <c r="K85" s="180"/>
      <c r="L85" s="180"/>
      <c r="M85" s="180"/>
      <c r="N85" s="180"/>
      <c r="O85" s="180"/>
      <c r="P85" s="180"/>
      <c r="Q85" s="180"/>
      <c r="R85" s="180">
        <v>113.15317808219196</v>
      </c>
      <c r="S85" s="181">
        <v>1.0549671766839501</v>
      </c>
    </row>
    <row r="86" spans="1:19" x14ac:dyDescent="0.35">
      <c r="A86" s="177" t="s">
        <v>50</v>
      </c>
      <c r="B86" s="178">
        <v>2449.8821917809073</v>
      </c>
      <c r="C86" s="178">
        <v>2397.3819178083045</v>
      </c>
      <c r="D86" s="178">
        <v>52.500273972602784</v>
      </c>
      <c r="E86" s="178">
        <v>1987.7801849314665</v>
      </c>
      <c r="F86" s="178">
        <v>397.3263867945218</v>
      </c>
      <c r="G86" s="178">
        <v>31.36115068493147</v>
      </c>
      <c r="H86" s="178">
        <v>73.234383561644009</v>
      </c>
      <c r="I86" s="178">
        <v>49.87526027397265</v>
      </c>
      <c r="J86" s="178">
        <v>48.136775342465072</v>
      </c>
      <c r="K86" s="178">
        <v>119.95547945205344</v>
      </c>
      <c r="L86" s="178">
        <v>119.95547945205344</v>
      </c>
      <c r="M86" s="178">
        <v>89.978646575342978</v>
      </c>
      <c r="N86" s="178">
        <v>89.978646575342978</v>
      </c>
      <c r="O86" s="178">
        <v>-0.29246164383561646</v>
      </c>
      <c r="P86" s="178">
        <v>1.4479985342465764</v>
      </c>
      <c r="Q86" s="178">
        <v>2.3232876712328765</v>
      </c>
      <c r="R86" s="178">
        <v>2801.1270921780415</v>
      </c>
      <c r="S86" s="179">
        <v>1.143372159516699</v>
      </c>
    </row>
    <row r="87" spans="1:19" x14ac:dyDescent="0.35">
      <c r="A87" s="176" t="s">
        <v>288</v>
      </c>
      <c r="B87" s="180">
        <v>2449.8821917807904</v>
      </c>
      <c r="C87" s="180">
        <v>2397.3819178081876</v>
      </c>
      <c r="D87" s="180">
        <v>52.500273972602685</v>
      </c>
      <c r="E87" s="180">
        <v>1987.7801849314644</v>
      </c>
      <c r="F87" s="180">
        <v>397.32638679451645</v>
      </c>
      <c r="G87" s="180">
        <v>31.361150684931459</v>
      </c>
      <c r="H87" s="180">
        <v>73.234383561644009</v>
      </c>
      <c r="I87" s="180">
        <v>49.87526027397297</v>
      </c>
      <c r="J87" s="180">
        <v>48.136775342464709</v>
      </c>
      <c r="K87" s="180">
        <v>119.95547945205072</v>
      </c>
      <c r="L87" s="180">
        <v>119.95547945205072</v>
      </c>
      <c r="M87" s="180">
        <v>89.978646575342978</v>
      </c>
      <c r="N87" s="180">
        <v>89.978646575342978</v>
      </c>
      <c r="O87" s="180">
        <v>-0.29246164383561646</v>
      </c>
      <c r="P87" s="180">
        <v>1.44799853424658</v>
      </c>
      <c r="Q87" s="180">
        <v>2.3232876712328765</v>
      </c>
      <c r="R87" s="180">
        <v>2801.1270921780315</v>
      </c>
      <c r="S87" s="181">
        <v>1.1433721595167501</v>
      </c>
    </row>
    <row r="88" spans="1:19" x14ac:dyDescent="0.35">
      <c r="A88" s="177" t="s">
        <v>51</v>
      </c>
      <c r="B88" s="178">
        <v>50.945205479452142</v>
      </c>
      <c r="C88" s="178">
        <v>50.945205479452142</v>
      </c>
      <c r="D88" s="178"/>
      <c r="E88" s="178">
        <v>74.38</v>
      </c>
      <c r="F88" s="178"/>
      <c r="G88" s="178"/>
      <c r="H88" s="178"/>
      <c r="I88" s="178"/>
      <c r="J88" s="178">
        <v>0.71572602739726054</v>
      </c>
      <c r="K88" s="178"/>
      <c r="L88" s="178"/>
      <c r="M88" s="178"/>
      <c r="N88" s="178"/>
      <c r="O88" s="178"/>
      <c r="P88" s="178"/>
      <c r="Q88" s="178"/>
      <c r="R88" s="178">
        <v>75.095726027397262</v>
      </c>
      <c r="S88" s="179">
        <v>1.4740489378865262</v>
      </c>
    </row>
    <row r="89" spans="1:19" x14ac:dyDescent="0.35">
      <c r="A89" s="176" t="s">
        <v>277</v>
      </c>
      <c r="B89" s="180">
        <v>50.945205479452078</v>
      </c>
      <c r="C89" s="180">
        <v>50.945205479452078</v>
      </c>
      <c r="D89" s="180"/>
      <c r="E89" s="180">
        <v>74.379999999999981</v>
      </c>
      <c r="F89" s="180"/>
      <c r="G89" s="180"/>
      <c r="H89" s="180"/>
      <c r="I89" s="180"/>
      <c r="J89" s="180">
        <v>0.71572602739726077</v>
      </c>
      <c r="K89" s="180"/>
      <c r="L89" s="180"/>
      <c r="M89" s="180"/>
      <c r="N89" s="180"/>
      <c r="O89" s="180"/>
      <c r="P89" s="180"/>
      <c r="Q89" s="180"/>
      <c r="R89" s="180">
        <v>75.095726027397248</v>
      </c>
      <c r="S89" s="181">
        <v>1.4740489378865278</v>
      </c>
    </row>
    <row r="90" spans="1:19" x14ac:dyDescent="0.35">
      <c r="A90" s="177" t="s">
        <v>52</v>
      </c>
      <c r="B90" s="178">
        <v>2684.0067123287895</v>
      </c>
      <c r="C90" s="178">
        <v>2675.7053424657756</v>
      </c>
      <c r="D90" s="178">
        <v>8.3013698630136972</v>
      </c>
      <c r="E90" s="178">
        <v>2446.5870109588645</v>
      </c>
      <c r="F90" s="178">
        <v>334.19947989041236</v>
      </c>
      <c r="G90" s="178">
        <v>70.712580821917939</v>
      </c>
      <c r="H90" s="178">
        <v>15.62235068493151</v>
      </c>
      <c r="I90" s="178">
        <v>7.8863013698630136</v>
      </c>
      <c r="J90" s="178">
        <v>65.345802739725414</v>
      </c>
      <c r="K90" s="178">
        <v>217.67838082191722</v>
      </c>
      <c r="L90" s="178">
        <v>217.67838082191722</v>
      </c>
      <c r="M90" s="178">
        <v>110.71922191780862</v>
      </c>
      <c r="N90" s="178">
        <v>110.71922191780862</v>
      </c>
      <c r="O90" s="178"/>
      <c r="P90" s="178">
        <v>1.4472812367123324</v>
      </c>
      <c r="Q90" s="178"/>
      <c r="R90" s="178">
        <v>3270.1984104421531</v>
      </c>
      <c r="S90" s="179">
        <v>1.2184017258305389</v>
      </c>
    </row>
    <row r="91" spans="1:19" x14ac:dyDescent="0.35">
      <c r="A91" s="176" t="s">
        <v>276</v>
      </c>
      <c r="B91" s="180">
        <v>2684.0067123287308</v>
      </c>
      <c r="C91" s="180">
        <v>2675.705342465717</v>
      </c>
      <c r="D91" s="180">
        <v>8.3013698630137167</v>
      </c>
      <c r="E91" s="180">
        <v>2446.5870109588336</v>
      </c>
      <c r="F91" s="180">
        <v>334.19947989041009</v>
      </c>
      <c r="G91" s="180">
        <v>70.712580821917982</v>
      </c>
      <c r="H91" s="180">
        <v>15.62235068493151</v>
      </c>
      <c r="I91" s="180">
        <v>7.8863013698630082</v>
      </c>
      <c r="J91" s="180">
        <v>65.345802739725144</v>
      </c>
      <c r="K91" s="180">
        <v>217.6783808219179</v>
      </c>
      <c r="L91" s="180">
        <v>217.6783808219179</v>
      </c>
      <c r="M91" s="180">
        <v>110.71922191780862</v>
      </c>
      <c r="N91" s="180">
        <v>110.71922191780862</v>
      </c>
      <c r="O91" s="180"/>
      <c r="P91" s="180">
        <v>1.4472812367123367</v>
      </c>
      <c r="Q91" s="180"/>
      <c r="R91" s="180">
        <v>3270.1984104421199</v>
      </c>
      <c r="S91" s="181">
        <v>1.2184017258305551</v>
      </c>
    </row>
    <row r="92" spans="1:19" x14ac:dyDescent="0.35">
      <c r="A92" s="177" t="s">
        <v>53</v>
      </c>
      <c r="B92" s="178">
        <v>6680.4439726018536</v>
      </c>
      <c r="C92" s="178">
        <v>6679.7069863004835</v>
      </c>
      <c r="D92" s="178">
        <v>0.73698630136986298</v>
      </c>
      <c r="E92" s="178">
        <v>5761.7515917809678</v>
      </c>
      <c r="F92" s="178">
        <v>805.11580356165837</v>
      </c>
      <c r="G92" s="178">
        <v>112.65669589041116</v>
      </c>
      <c r="H92" s="178">
        <v>47.064931506849362</v>
      </c>
      <c r="I92" s="178">
        <v>0.70013698630136978</v>
      </c>
      <c r="J92" s="178">
        <v>127.81329863013777</v>
      </c>
      <c r="K92" s="178">
        <v>314.63152328767416</v>
      </c>
      <c r="L92" s="178">
        <v>314.63152328767416</v>
      </c>
      <c r="M92" s="178">
        <v>61.169720547944998</v>
      </c>
      <c r="N92" s="178">
        <v>61.169720547944998</v>
      </c>
      <c r="O92" s="178"/>
      <c r="P92" s="178">
        <v>0.10892924383561631</v>
      </c>
      <c r="Q92" s="178">
        <v>48.322104109589411</v>
      </c>
      <c r="R92" s="178">
        <v>7279.3347355453698</v>
      </c>
      <c r="S92" s="179">
        <v>1.0896483475349414</v>
      </c>
    </row>
    <row r="93" spans="1:19" x14ac:dyDescent="0.35">
      <c r="A93" s="176" t="s">
        <v>270</v>
      </c>
      <c r="B93" s="180">
        <v>6680.4439726023047</v>
      </c>
      <c r="C93" s="180">
        <v>6679.7069863009347</v>
      </c>
      <c r="D93" s="180">
        <v>0.73698630136986298</v>
      </c>
      <c r="E93" s="180">
        <v>5761.7515917810715</v>
      </c>
      <c r="F93" s="180">
        <v>805.11580356169759</v>
      </c>
      <c r="G93" s="180">
        <v>112.65669589041106</v>
      </c>
      <c r="H93" s="180">
        <v>47.064931506849362</v>
      </c>
      <c r="I93" s="180">
        <v>0.70013698630136978</v>
      </c>
      <c r="J93" s="180">
        <v>127.81329863013585</v>
      </c>
      <c r="K93" s="180">
        <v>314.63152328768376</v>
      </c>
      <c r="L93" s="180">
        <v>314.63152328768376</v>
      </c>
      <c r="M93" s="180">
        <v>61.169720547944998</v>
      </c>
      <c r="N93" s="180">
        <v>61.169720547944998</v>
      </c>
      <c r="O93" s="180"/>
      <c r="P93" s="180">
        <v>0.10892924383561631</v>
      </c>
      <c r="Q93" s="180">
        <v>48.322104109589411</v>
      </c>
      <c r="R93" s="180">
        <v>7279.3347355455207</v>
      </c>
      <c r="S93" s="181">
        <v>1.0896483475348906</v>
      </c>
    </row>
    <row r="94" spans="1:19" x14ac:dyDescent="0.35">
      <c r="A94" s="177" t="s">
        <v>54</v>
      </c>
      <c r="B94" s="178">
        <v>327.95671232876668</v>
      </c>
      <c r="C94" s="178">
        <v>119.0760547945203</v>
      </c>
      <c r="D94" s="178">
        <v>208.88065753424638</v>
      </c>
      <c r="E94" s="178"/>
      <c r="F94" s="178">
        <v>86.377770147945313</v>
      </c>
      <c r="G94" s="178"/>
      <c r="H94" s="178"/>
      <c r="I94" s="178">
        <v>198.43662465753465</v>
      </c>
      <c r="J94" s="178"/>
      <c r="K94" s="178"/>
      <c r="L94" s="178"/>
      <c r="M94" s="178"/>
      <c r="N94" s="178"/>
      <c r="O94" s="178">
        <v>-0.23783282383561649</v>
      </c>
      <c r="P94" s="178"/>
      <c r="Q94" s="178"/>
      <c r="R94" s="178">
        <v>284.57656198164437</v>
      </c>
      <c r="S94" s="179">
        <v>0.86772598725274752</v>
      </c>
    </row>
    <row r="95" spans="1:19" x14ac:dyDescent="0.35">
      <c r="A95" s="176" t="s">
        <v>287</v>
      </c>
      <c r="B95" s="180">
        <v>327.95671232876663</v>
      </c>
      <c r="C95" s="180">
        <v>119.07605479452025</v>
      </c>
      <c r="D95" s="180">
        <v>208.88065753424638</v>
      </c>
      <c r="E95" s="180"/>
      <c r="F95" s="180">
        <v>86.377770147945256</v>
      </c>
      <c r="G95" s="180"/>
      <c r="H95" s="180"/>
      <c r="I95" s="180">
        <v>198.43662465753465</v>
      </c>
      <c r="J95" s="180"/>
      <c r="K95" s="180"/>
      <c r="L95" s="180"/>
      <c r="M95" s="180"/>
      <c r="N95" s="180"/>
      <c r="O95" s="180">
        <v>-0.23783282383561649</v>
      </c>
      <c r="P95" s="180"/>
      <c r="Q95" s="180"/>
      <c r="R95" s="180">
        <v>284.57656198164426</v>
      </c>
      <c r="S95" s="181">
        <v>0.8677259872527473</v>
      </c>
    </row>
    <row r="96" spans="1:19" x14ac:dyDescent="0.35">
      <c r="A96" s="177" t="s">
        <v>55</v>
      </c>
      <c r="B96" s="178">
        <v>723.12602739728607</v>
      </c>
      <c r="C96" s="178">
        <v>723.12602739728607</v>
      </c>
      <c r="D96" s="178"/>
      <c r="E96" s="178">
        <v>506.70057534247997</v>
      </c>
      <c r="F96" s="178"/>
      <c r="G96" s="178">
        <v>336.09128767123246</v>
      </c>
      <c r="H96" s="178"/>
      <c r="I96" s="178"/>
      <c r="J96" s="178">
        <v>20.118575342465864</v>
      </c>
      <c r="K96" s="178">
        <v>2685.5627123287104</v>
      </c>
      <c r="L96" s="178">
        <v>2685.5627123287104</v>
      </c>
      <c r="M96" s="178">
        <v>504.19610958903445</v>
      </c>
      <c r="N96" s="178">
        <v>504.19610958903445</v>
      </c>
      <c r="O96" s="178"/>
      <c r="P96" s="178"/>
      <c r="Q96" s="178"/>
      <c r="R96" s="178">
        <v>4052.6692602739226</v>
      </c>
      <c r="S96" s="179">
        <v>5.6043747655723397</v>
      </c>
    </row>
    <row r="97" spans="1:19" x14ac:dyDescent="0.35">
      <c r="A97" s="176" t="s">
        <v>286</v>
      </c>
      <c r="B97" s="180">
        <v>723.12602739730994</v>
      </c>
      <c r="C97" s="180">
        <v>723.12602739730994</v>
      </c>
      <c r="D97" s="180"/>
      <c r="E97" s="180">
        <v>506.70057534247997</v>
      </c>
      <c r="F97" s="180"/>
      <c r="G97" s="180">
        <v>336.09128767123303</v>
      </c>
      <c r="H97" s="180"/>
      <c r="I97" s="180"/>
      <c r="J97" s="180">
        <v>20.118575342465853</v>
      </c>
      <c r="K97" s="180">
        <v>2685.562712328679</v>
      </c>
      <c r="L97" s="180">
        <v>2685.562712328679</v>
      </c>
      <c r="M97" s="180">
        <v>504.19610958903462</v>
      </c>
      <c r="N97" s="180">
        <v>504.19610958903462</v>
      </c>
      <c r="O97" s="180"/>
      <c r="P97" s="180"/>
      <c r="Q97" s="180"/>
      <c r="R97" s="180">
        <v>4052.6692602738926</v>
      </c>
      <c r="S97" s="181">
        <v>5.6043747655721132</v>
      </c>
    </row>
    <row r="98" spans="1:19" x14ac:dyDescent="0.35">
      <c r="A98" s="177" t="s">
        <v>56</v>
      </c>
      <c r="B98" s="178">
        <v>1826.3901369863274</v>
      </c>
      <c r="C98" s="178">
        <v>1826.3901369863274</v>
      </c>
      <c r="D98" s="178"/>
      <c r="E98" s="178">
        <v>1333.807490410961</v>
      </c>
      <c r="F98" s="178">
        <v>309.30596350685147</v>
      </c>
      <c r="G98" s="178">
        <v>37.196273972602732</v>
      </c>
      <c r="H98" s="178"/>
      <c r="I98" s="178"/>
      <c r="J98" s="178">
        <v>13.299961643835625</v>
      </c>
      <c r="K98" s="178">
        <v>107.61416438356105</v>
      </c>
      <c r="L98" s="178">
        <v>107.61416438356105</v>
      </c>
      <c r="M98" s="178">
        <v>68.277369863013931</v>
      </c>
      <c r="N98" s="178">
        <v>68.277369863013931</v>
      </c>
      <c r="O98" s="178"/>
      <c r="P98" s="178"/>
      <c r="Q98" s="178"/>
      <c r="R98" s="178">
        <v>1869.5012237808255</v>
      </c>
      <c r="S98" s="179">
        <v>1.0236045332929986</v>
      </c>
    </row>
    <row r="99" spans="1:19" x14ac:dyDescent="0.35">
      <c r="A99" s="176" t="s">
        <v>285</v>
      </c>
      <c r="B99" s="180">
        <v>1826.3901369859962</v>
      </c>
      <c r="C99" s="180">
        <v>1826.3901369859962</v>
      </c>
      <c r="D99" s="180"/>
      <c r="E99" s="180">
        <v>1333.8074904109708</v>
      </c>
      <c r="F99" s="180">
        <v>309.30596350685056</v>
      </c>
      <c r="G99" s="180">
        <v>37.196273972602626</v>
      </c>
      <c r="H99" s="180"/>
      <c r="I99" s="180"/>
      <c r="J99" s="180">
        <v>13.299961643835601</v>
      </c>
      <c r="K99" s="180">
        <v>107.61416438355772</v>
      </c>
      <c r="L99" s="180">
        <v>107.61416438355772</v>
      </c>
      <c r="M99" s="180">
        <v>68.277369863013931</v>
      </c>
      <c r="N99" s="180">
        <v>68.277369863013931</v>
      </c>
      <c r="O99" s="180"/>
      <c r="P99" s="180"/>
      <c r="Q99" s="180"/>
      <c r="R99" s="180">
        <v>1869.501223780831</v>
      </c>
      <c r="S99" s="181">
        <v>1.0236045332931873</v>
      </c>
    </row>
    <row r="100" spans="1:19" x14ac:dyDescent="0.35">
      <c r="A100" s="177" t="s">
        <v>457</v>
      </c>
      <c r="B100" s="178">
        <v>1.8547945205479452</v>
      </c>
      <c r="C100" s="178">
        <v>1.8547945205479452</v>
      </c>
      <c r="D100" s="178"/>
      <c r="E100" s="178"/>
      <c r="F100" s="178">
        <v>1.3454679452054794</v>
      </c>
      <c r="G100" s="178"/>
      <c r="H100" s="178"/>
      <c r="I100" s="178"/>
      <c r="J100" s="178"/>
      <c r="K100" s="178"/>
      <c r="L100" s="178"/>
      <c r="M100" s="178"/>
      <c r="N100" s="178"/>
      <c r="O100" s="178"/>
      <c r="P100" s="178"/>
      <c r="Q100" s="178"/>
      <c r="R100" s="178">
        <v>1.3454679452054794</v>
      </c>
      <c r="S100" s="179">
        <v>0.72539999999999993</v>
      </c>
    </row>
    <row r="101" spans="1:19" x14ac:dyDescent="0.35">
      <c r="A101" s="176" t="s">
        <v>205</v>
      </c>
      <c r="B101" s="180">
        <v>1.854794520547945</v>
      </c>
      <c r="C101" s="180">
        <v>1.854794520547945</v>
      </c>
      <c r="D101" s="180"/>
      <c r="E101" s="180"/>
      <c r="F101" s="180">
        <v>1.3454679452054787</v>
      </c>
      <c r="G101" s="180"/>
      <c r="H101" s="180"/>
      <c r="I101" s="180"/>
      <c r="J101" s="180"/>
      <c r="K101" s="180"/>
      <c r="L101" s="180"/>
      <c r="M101" s="180"/>
      <c r="N101" s="180"/>
      <c r="O101" s="180"/>
      <c r="P101" s="180"/>
      <c r="Q101" s="180"/>
      <c r="R101" s="180">
        <v>1.3454679452054787</v>
      </c>
      <c r="S101" s="181">
        <v>0.72539999999999971</v>
      </c>
    </row>
    <row r="102" spans="1:19" x14ac:dyDescent="0.35">
      <c r="A102" s="177" t="s">
        <v>58</v>
      </c>
      <c r="B102" s="178">
        <v>21.982191780821946</v>
      </c>
      <c r="C102" s="178">
        <v>21.982191780821946</v>
      </c>
      <c r="D102" s="178"/>
      <c r="E102" s="178"/>
      <c r="F102" s="178">
        <v>17.824711232876769</v>
      </c>
      <c r="G102" s="178"/>
      <c r="H102" s="178"/>
      <c r="I102" s="178"/>
      <c r="J102" s="178"/>
      <c r="K102" s="178">
        <v>0.16712328767123286</v>
      </c>
      <c r="L102" s="178">
        <v>0.16712328767123286</v>
      </c>
      <c r="M102" s="178"/>
      <c r="N102" s="178"/>
      <c r="O102" s="178"/>
      <c r="P102" s="178"/>
      <c r="Q102" s="178"/>
      <c r="R102" s="178">
        <v>17.991834520548004</v>
      </c>
      <c r="S102" s="179">
        <v>0.81847318501900823</v>
      </c>
    </row>
    <row r="103" spans="1:19" x14ac:dyDescent="0.35">
      <c r="A103" s="176" t="s">
        <v>283</v>
      </c>
      <c r="B103" s="180">
        <v>21.982191780821999</v>
      </c>
      <c r="C103" s="180">
        <v>21.982191780821999</v>
      </c>
      <c r="D103" s="180"/>
      <c r="E103" s="180"/>
      <c r="F103" s="180">
        <v>17.824711232876787</v>
      </c>
      <c r="G103" s="180"/>
      <c r="H103" s="180"/>
      <c r="I103" s="180"/>
      <c r="J103" s="180"/>
      <c r="K103" s="180">
        <v>0.16712328767123286</v>
      </c>
      <c r="L103" s="180">
        <v>0.16712328767123286</v>
      </c>
      <c r="M103" s="180"/>
      <c r="N103" s="180"/>
      <c r="O103" s="180"/>
      <c r="P103" s="180"/>
      <c r="Q103" s="180"/>
      <c r="R103" s="180">
        <v>17.991834520548021</v>
      </c>
      <c r="S103" s="181">
        <v>0.81847318501900712</v>
      </c>
    </row>
    <row r="104" spans="1:19" x14ac:dyDescent="0.35">
      <c r="A104" s="177" t="s">
        <v>515</v>
      </c>
      <c r="B104" s="178">
        <v>353.83068493150415</v>
      </c>
      <c r="C104" s="178">
        <v>353.83068493150415</v>
      </c>
      <c r="D104" s="178"/>
      <c r="E104" s="178">
        <v>372.61844931506903</v>
      </c>
      <c r="F104" s="178">
        <v>71.190159780822043</v>
      </c>
      <c r="G104" s="178"/>
      <c r="H104" s="178"/>
      <c r="I104" s="178"/>
      <c r="J104" s="178">
        <v>5.4948493150684943</v>
      </c>
      <c r="K104" s="178">
        <v>0.50273972602739725</v>
      </c>
      <c r="L104" s="178">
        <v>0.50273972602739725</v>
      </c>
      <c r="M104" s="178">
        <v>120.26134246575407</v>
      </c>
      <c r="N104" s="178">
        <v>120.26134246575407</v>
      </c>
      <c r="O104" s="178"/>
      <c r="P104" s="178"/>
      <c r="Q104" s="178"/>
      <c r="R104" s="178">
        <v>570.06754060274102</v>
      </c>
      <c r="S104" s="179">
        <v>1.611130873833333</v>
      </c>
    </row>
    <row r="105" spans="1:19" x14ac:dyDescent="0.35">
      <c r="A105" s="176" t="s">
        <v>511</v>
      </c>
      <c r="B105" s="180">
        <v>353.83068493149989</v>
      </c>
      <c r="C105" s="180">
        <v>353.83068493149989</v>
      </c>
      <c r="D105" s="180"/>
      <c r="E105" s="180">
        <v>372.61844931506869</v>
      </c>
      <c r="F105" s="180">
        <v>71.190159780823137</v>
      </c>
      <c r="G105" s="180"/>
      <c r="H105" s="180"/>
      <c r="I105" s="180"/>
      <c r="J105" s="180">
        <v>5.4948493150684943</v>
      </c>
      <c r="K105" s="180">
        <v>0.50273972602739725</v>
      </c>
      <c r="L105" s="180">
        <v>0.50273972602739725</v>
      </c>
      <c r="M105" s="180">
        <v>120.26134246575407</v>
      </c>
      <c r="N105" s="180">
        <v>120.26134246575407</v>
      </c>
      <c r="O105" s="180"/>
      <c r="P105" s="180"/>
      <c r="Q105" s="180"/>
      <c r="R105" s="180">
        <v>570.0675406027417</v>
      </c>
      <c r="S105" s="181">
        <v>1.6111308738333543</v>
      </c>
    </row>
    <row r="106" spans="1:19" x14ac:dyDescent="0.35">
      <c r="A106" s="177" t="s">
        <v>132</v>
      </c>
      <c r="B106" s="178">
        <v>27.161643835616438</v>
      </c>
      <c r="C106" s="178">
        <v>27.161643835616438</v>
      </c>
      <c r="D106" s="178"/>
      <c r="E106" s="178"/>
      <c r="F106" s="178">
        <v>19.703056438356175</v>
      </c>
      <c r="G106" s="178"/>
      <c r="H106" s="178"/>
      <c r="I106" s="178"/>
      <c r="J106" s="178"/>
      <c r="K106" s="178"/>
      <c r="L106" s="178"/>
      <c r="M106" s="178"/>
      <c r="N106" s="178"/>
      <c r="O106" s="178"/>
      <c r="P106" s="178"/>
      <c r="Q106" s="178"/>
      <c r="R106" s="178">
        <v>19.703056438356175</v>
      </c>
      <c r="S106" s="179">
        <v>0.72540000000000038</v>
      </c>
    </row>
    <row r="107" spans="1:19" x14ac:dyDescent="0.35">
      <c r="A107" s="176" t="s">
        <v>282</v>
      </c>
      <c r="B107" s="180">
        <v>27.161643835616506</v>
      </c>
      <c r="C107" s="180">
        <v>27.161643835616506</v>
      </c>
      <c r="D107" s="180"/>
      <c r="E107" s="180"/>
      <c r="F107" s="180">
        <v>19.703056438356246</v>
      </c>
      <c r="G107" s="180"/>
      <c r="H107" s="180"/>
      <c r="I107" s="180"/>
      <c r="J107" s="180"/>
      <c r="K107" s="180"/>
      <c r="L107" s="180"/>
      <c r="M107" s="180"/>
      <c r="N107" s="180"/>
      <c r="O107" s="180"/>
      <c r="P107" s="180"/>
      <c r="Q107" s="180"/>
      <c r="R107" s="180">
        <v>19.703056438356246</v>
      </c>
      <c r="S107" s="181">
        <v>0.72540000000000115</v>
      </c>
    </row>
    <row r="108" spans="1:19" x14ac:dyDescent="0.35">
      <c r="A108" s="177" t="s">
        <v>59</v>
      </c>
      <c r="B108" s="178">
        <v>104.56863013698641</v>
      </c>
      <c r="C108" s="178">
        <v>104.56863013698641</v>
      </c>
      <c r="D108" s="178"/>
      <c r="E108" s="178">
        <v>101.43157123287692</v>
      </c>
      <c r="F108" s="178"/>
      <c r="G108" s="178"/>
      <c r="H108" s="178"/>
      <c r="I108" s="178"/>
      <c r="J108" s="178">
        <v>1.2475068493150683</v>
      </c>
      <c r="K108" s="178">
        <v>1.204109589041096</v>
      </c>
      <c r="L108" s="178">
        <v>1.204109589041096</v>
      </c>
      <c r="M108" s="178">
        <v>15.074912328767118</v>
      </c>
      <c r="N108" s="178">
        <v>15.074912328767118</v>
      </c>
      <c r="O108" s="178"/>
      <c r="P108" s="178"/>
      <c r="Q108" s="178"/>
      <c r="R108" s="178">
        <v>118.9581000000002</v>
      </c>
      <c r="S108" s="179">
        <v>1.1376079025245274</v>
      </c>
    </row>
    <row r="109" spans="1:19" x14ac:dyDescent="0.35">
      <c r="A109" s="176" t="s">
        <v>281</v>
      </c>
      <c r="B109" s="180">
        <v>104.56863013698649</v>
      </c>
      <c r="C109" s="180">
        <v>104.56863013698649</v>
      </c>
      <c r="D109" s="180"/>
      <c r="E109" s="180">
        <v>101.43157123287692</v>
      </c>
      <c r="F109" s="180"/>
      <c r="G109" s="180"/>
      <c r="H109" s="180"/>
      <c r="I109" s="180"/>
      <c r="J109" s="180">
        <v>1.2475068493150683</v>
      </c>
      <c r="K109" s="180">
        <v>1.204109589041096</v>
      </c>
      <c r="L109" s="180">
        <v>1.204109589041096</v>
      </c>
      <c r="M109" s="180">
        <v>15.074912328767118</v>
      </c>
      <c r="N109" s="180">
        <v>15.074912328767118</v>
      </c>
      <c r="O109" s="180"/>
      <c r="P109" s="180"/>
      <c r="Q109" s="180"/>
      <c r="R109" s="180">
        <v>118.9581000000002</v>
      </c>
      <c r="S109" s="181">
        <v>1.1376079025245267</v>
      </c>
    </row>
    <row r="110" spans="1:19" x14ac:dyDescent="0.35">
      <c r="A110" s="177" t="s">
        <v>60</v>
      </c>
      <c r="B110" s="178">
        <v>2409.6237534247198</v>
      </c>
      <c r="C110" s="178">
        <v>2403.0484109589665</v>
      </c>
      <c r="D110" s="178">
        <v>6.5753424657534234</v>
      </c>
      <c r="E110" s="178">
        <v>2172.0857808219512</v>
      </c>
      <c r="F110" s="178">
        <v>166.49706580273971</v>
      </c>
      <c r="G110" s="178">
        <v>65.456328767123352</v>
      </c>
      <c r="H110" s="178">
        <v>10.60279452054794</v>
      </c>
      <c r="I110" s="178">
        <v>6.2465753424657535</v>
      </c>
      <c r="J110" s="178">
        <v>52.410312328766878</v>
      </c>
      <c r="K110" s="178">
        <v>264.40816438356336</v>
      </c>
      <c r="L110" s="178">
        <v>264.40816438356336</v>
      </c>
      <c r="M110" s="178">
        <v>24.501797260273978</v>
      </c>
      <c r="N110" s="178">
        <v>24.501797260273978</v>
      </c>
      <c r="O110" s="178"/>
      <c r="P110" s="178">
        <v>0.33751967671232885</v>
      </c>
      <c r="Q110" s="178"/>
      <c r="R110" s="178">
        <v>2762.5463389041447</v>
      </c>
      <c r="S110" s="179">
        <v>1.1464637726026015</v>
      </c>
    </row>
    <row r="111" spans="1:19" x14ac:dyDescent="0.35">
      <c r="A111" s="176" t="s">
        <v>280</v>
      </c>
      <c r="B111" s="180">
        <v>2409.6237534246661</v>
      </c>
      <c r="C111" s="180">
        <v>2403.0484109589129</v>
      </c>
      <c r="D111" s="180">
        <v>6.575342465753435</v>
      </c>
      <c r="E111" s="180">
        <v>2172.0857808218771</v>
      </c>
      <c r="F111" s="180">
        <v>166.49706580273954</v>
      </c>
      <c r="G111" s="180">
        <v>65.456328767123367</v>
      </c>
      <c r="H111" s="180">
        <v>10.60279452054794</v>
      </c>
      <c r="I111" s="180">
        <v>6.24657534246575</v>
      </c>
      <c r="J111" s="180">
        <v>52.410312328766381</v>
      </c>
      <c r="K111" s="180">
        <v>264.40816438356802</v>
      </c>
      <c r="L111" s="180">
        <v>264.40816438356802</v>
      </c>
      <c r="M111" s="180">
        <v>24.501797260273978</v>
      </c>
      <c r="N111" s="180">
        <v>24.501797260273978</v>
      </c>
      <c r="O111" s="180"/>
      <c r="P111" s="180">
        <v>0.33751967671232841</v>
      </c>
      <c r="Q111" s="180"/>
      <c r="R111" s="180">
        <v>2762.5463389040747</v>
      </c>
      <c r="S111" s="181">
        <v>1.1464637726025979</v>
      </c>
    </row>
    <row r="112" spans="1:19" x14ac:dyDescent="0.35">
      <c r="A112" s="177" t="s">
        <v>61</v>
      </c>
      <c r="B112" s="178">
        <v>6116.1513424653749</v>
      </c>
      <c r="C112" s="178">
        <v>6065.2621095886625</v>
      </c>
      <c r="D112" s="178">
        <v>50.889232876712306</v>
      </c>
      <c r="E112" s="178">
        <v>4766.9639109588297</v>
      </c>
      <c r="F112" s="178">
        <v>973.1229753369937</v>
      </c>
      <c r="G112" s="178">
        <v>150.21539726027356</v>
      </c>
      <c r="H112" s="178">
        <v>67.724136986301389</v>
      </c>
      <c r="I112" s="178">
        <v>48.344771232876838</v>
      </c>
      <c r="J112" s="178">
        <v>108.80350191780892</v>
      </c>
      <c r="K112" s="178">
        <v>334.00521917808453</v>
      </c>
      <c r="L112" s="178">
        <v>334.00521917808453</v>
      </c>
      <c r="M112" s="178">
        <v>25.25084383561644</v>
      </c>
      <c r="N112" s="178">
        <v>25.25084383561644</v>
      </c>
      <c r="O112" s="178">
        <v>-0.68869999999999987</v>
      </c>
      <c r="P112" s="178">
        <v>1.2943459726027418</v>
      </c>
      <c r="Q112" s="178"/>
      <c r="R112" s="178">
        <v>6475.0364026793886</v>
      </c>
      <c r="S112" s="179">
        <v>1.0586782504419434</v>
      </c>
    </row>
    <row r="113" spans="1:19" x14ac:dyDescent="0.35">
      <c r="A113" s="176" t="s">
        <v>279</v>
      </c>
      <c r="B113" s="180">
        <v>6116.1513424661125</v>
      </c>
      <c r="C113" s="180">
        <v>6065.2621095894001</v>
      </c>
      <c r="D113" s="180">
        <v>50.889232876712839</v>
      </c>
      <c r="E113" s="180">
        <v>4766.963910958857</v>
      </c>
      <c r="F113" s="180">
        <v>973.12297533709159</v>
      </c>
      <c r="G113" s="180">
        <v>150.2153972602739</v>
      </c>
      <c r="H113" s="180">
        <v>67.724136986301389</v>
      </c>
      <c r="I113" s="180">
        <v>48.344771232877605</v>
      </c>
      <c r="J113" s="180">
        <v>108.80350191780758</v>
      </c>
      <c r="K113" s="180">
        <v>334.00521917809635</v>
      </c>
      <c r="L113" s="180">
        <v>334.00521917809635</v>
      </c>
      <c r="M113" s="180">
        <v>25.25084383561644</v>
      </c>
      <c r="N113" s="180">
        <v>25.25084383561644</v>
      </c>
      <c r="O113" s="180">
        <v>-0.68869999999999987</v>
      </c>
      <c r="P113" s="180">
        <v>1.294345972602746</v>
      </c>
      <c r="Q113" s="180"/>
      <c r="R113" s="180">
        <v>6475.0364026795251</v>
      </c>
      <c r="S113" s="181">
        <v>1.0586782504418384</v>
      </c>
    </row>
    <row r="114" spans="1:19" x14ac:dyDescent="0.35">
      <c r="A114" s="177" t="s">
        <v>490</v>
      </c>
      <c r="B114" s="178">
        <v>1113.7852054794639</v>
      </c>
      <c r="C114" s="178">
        <v>1113.7852054794639</v>
      </c>
      <c r="D114" s="178"/>
      <c r="E114" s="178">
        <v>1077.6330191780823</v>
      </c>
      <c r="F114" s="178">
        <v>118.95227934246657</v>
      </c>
      <c r="G114" s="178">
        <v>26.521753424657508</v>
      </c>
      <c r="H114" s="178">
        <v>0.39027397260273972</v>
      </c>
      <c r="I114" s="178"/>
      <c r="J114" s="178">
        <v>28.169983561643825</v>
      </c>
      <c r="K114" s="178">
        <v>76.822794520547831</v>
      </c>
      <c r="L114" s="178">
        <v>76.822794520547831</v>
      </c>
      <c r="M114" s="178">
        <v>33.477041095890385</v>
      </c>
      <c r="N114" s="178">
        <v>33.477041095890385</v>
      </c>
      <c r="O114" s="178"/>
      <c r="P114" s="178">
        <v>1.1791931178082202</v>
      </c>
      <c r="Q114" s="178"/>
      <c r="R114" s="178">
        <v>1363.1463382136992</v>
      </c>
      <c r="S114" s="179">
        <v>1.2238861959267011</v>
      </c>
    </row>
    <row r="115" spans="1:19" x14ac:dyDescent="0.35">
      <c r="A115" s="176" t="s">
        <v>239</v>
      </c>
      <c r="B115" s="180">
        <v>1113.785205479455</v>
      </c>
      <c r="C115" s="180">
        <v>1113.785205479455</v>
      </c>
      <c r="D115" s="180"/>
      <c r="E115" s="180">
        <v>1077.6330191780773</v>
      </c>
      <c r="F115" s="180">
        <v>118.95227934246691</v>
      </c>
      <c r="G115" s="180">
        <v>26.521753424657501</v>
      </c>
      <c r="H115" s="180">
        <v>0.39027397260273972</v>
      </c>
      <c r="I115" s="180"/>
      <c r="J115" s="180">
        <v>28.169983561643907</v>
      </c>
      <c r="K115" s="180">
        <v>76.822794520546822</v>
      </c>
      <c r="L115" s="180">
        <v>76.822794520546822</v>
      </c>
      <c r="M115" s="180">
        <v>33.477041095890385</v>
      </c>
      <c r="N115" s="180">
        <v>33.477041095890385</v>
      </c>
      <c r="O115" s="180"/>
      <c r="P115" s="180">
        <v>1.1791931178082207</v>
      </c>
      <c r="Q115" s="180"/>
      <c r="R115" s="180">
        <v>1363.1463382136935</v>
      </c>
      <c r="S115" s="181">
        <v>1.2238861959267049</v>
      </c>
    </row>
    <row r="116" spans="1:19" x14ac:dyDescent="0.35">
      <c r="A116" s="177" t="s">
        <v>458</v>
      </c>
      <c r="B116" s="178">
        <v>6960.958219177387</v>
      </c>
      <c r="C116" s="178">
        <v>6928.81849314999</v>
      </c>
      <c r="D116" s="178">
        <v>32.139726027397245</v>
      </c>
      <c r="E116" s="178">
        <v>6492.8704150685353</v>
      </c>
      <c r="F116" s="178">
        <v>525.46366717808553</v>
      </c>
      <c r="G116" s="178">
        <v>198.50051506849286</v>
      </c>
      <c r="H116" s="178">
        <v>11.908630136986289</v>
      </c>
      <c r="I116" s="178">
        <v>30.532739726027408</v>
      </c>
      <c r="J116" s="178">
        <v>183.60965753424691</v>
      </c>
      <c r="K116" s="178">
        <v>417.1547123287848</v>
      </c>
      <c r="L116" s="178">
        <v>417.1547123287848</v>
      </c>
      <c r="M116" s="178">
        <v>150.27016438356216</v>
      </c>
      <c r="N116" s="178">
        <v>150.27016438356216</v>
      </c>
      <c r="O116" s="178">
        <v>-0.31758982767123256</v>
      </c>
      <c r="P116" s="178">
        <v>5.2558243101369904</v>
      </c>
      <c r="Q116" s="178"/>
      <c r="R116" s="178">
        <v>8015.2487359071874</v>
      </c>
      <c r="S116" s="179">
        <v>1.1514576705582362</v>
      </c>
    </row>
    <row r="117" spans="1:19" x14ac:dyDescent="0.35">
      <c r="A117" s="176" t="s">
        <v>253</v>
      </c>
      <c r="B117" s="180">
        <v>6960.9582191775426</v>
      </c>
      <c r="C117" s="180">
        <v>6928.8184931501455</v>
      </c>
      <c r="D117" s="180">
        <v>32.139726027397302</v>
      </c>
      <c r="E117" s="180">
        <v>6492.8704150687199</v>
      </c>
      <c r="F117" s="180">
        <v>525.46366717808496</v>
      </c>
      <c r="G117" s="180">
        <v>198.50051506849334</v>
      </c>
      <c r="H117" s="180">
        <v>11.908630136986289</v>
      </c>
      <c r="I117" s="180">
        <v>30.532739726027394</v>
      </c>
      <c r="J117" s="180">
        <v>183.60965753424546</v>
      </c>
      <c r="K117" s="180">
        <v>417.15471232880054</v>
      </c>
      <c r="L117" s="180">
        <v>417.15471232880054</v>
      </c>
      <c r="M117" s="180">
        <v>150.27016438356216</v>
      </c>
      <c r="N117" s="180">
        <v>150.27016438356216</v>
      </c>
      <c r="O117" s="180">
        <v>-0.31758982767123256</v>
      </c>
      <c r="P117" s="180">
        <v>5.2558243101370001</v>
      </c>
      <c r="Q117" s="180"/>
      <c r="R117" s="180">
        <v>8015.2487359073866</v>
      </c>
      <c r="S117" s="181">
        <v>1.1514576705582369</v>
      </c>
    </row>
    <row r="118" spans="1:19" x14ac:dyDescent="0.35">
      <c r="A118" s="177" t="s">
        <v>62</v>
      </c>
      <c r="B118" s="178">
        <v>2456.5526849315261</v>
      </c>
      <c r="C118" s="178">
        <v>2456.5526849315261</v>
      </c>
      <c r="D118" s="178"/>
      <c r="E118" s="178">
        <v>1983.4429999999902</v>
      </c>
      <c r="F118" s="178">
        <v>346.11212685205652</v>
      </c>
      <c r="G118" s="178">
        <v>70.231594520547944</v>
      </c>
      <c r="H118" s="178">
        <v>22.640109589041071</v>
      </c>
      <c r="I118" s="178"/>
      <c r="J118" s="178">
        <v>47.757698630136609</v>
      </c>
      <c r="K118" s="178">
        <v>132.67545205479405</v>
      </c>
      <c r="L118" s="178">
        <v>132.67545205479405</v>
      </c>
      <c r="M118" s="178">
        <v>38.433205479451992</v>
      </c>
      <c r="N118" s="178">
        <v>38.433205479451992</v>
      </c>
      <c r="O118" s="178"/>
      <c r="P118" s="178">
        <v>0.53552406575342437</v>
      </c>
      <c r="Q118" s="178">
        <v>10.236142465753417</v>
      </c>
      <c r="R118" s="178">
        <v>2652.0648536575245</v>
      </c>
      <c r="S118" s="179">
        <v>1.0795880218345277</v>
      </c>
    </row>
    <row r="119" spans="1:19" x14ac:dyDescent="0.35">
      <c r="A119" s="176" t="s">
        <v>278</v>
      </c>
      <c r="B119" s="180">
        <v>2456.5526849313746</v>
      </c>
      <c r="C119" s="180">
        <v>2456.5526849313746</v>
      </c>
      <c r="D119" s="180"/>
      <c r="E119" s="180">
        <v>1983.4429999999761</v>
      </c>
      <c r="F119" s="180">
        <v>346.11212685205595</v>
      </c>
      <c r="G119" s="180">
        <v>70.231594520547773</v>
      </c>
      <c r="H119" s="180">
        <v>22.640109589041071</v>
      </c>
      <c r="I119" s="180"/>
      <c r="J119" s="180">
        <v>47.757698630136346</v>
      </c>
      <c r="K119" s="180">
        <v>132.67545205479081</v>
      </c>
      <c r="L119" s="180">
        <v>132.67545205479081</v>
      </c>
      <c r="M119" s="180">
        <v>38.433205479451992</v>
      </c>
      <c r="N119" s="180">
        <v>38.433205479451992</v>
      </c>
      <c r="O119" s="180"/>
      <c r="P119" s="180">
        <v>0.53552406575342326</v>
      </c>
      <c r="Q119" s="180">
        <v>10.236142465753417</v>
      </c>
      <c r="R119" s="180">
        <v>2652.0648536575068</v>
      </c>
      <c r="S119" s="181">
        <v>1.0795880218345872</v>
      </c>
    </row>
    <row r="120" spans="1:19" x14ac:dyDescent="0.35">
      <c r="A120" s="177" t="s">
        <v>494</v>
      </c>
      <c r="B120" s="178">
        <v>2511.2319178082948</v>
      </c>
      <c r="C120" s="178">
        <v>2511.2319178082948</v>
      </c>
      <c r="D120" s="178"/>
      <c r="E120" s="178">
        <v>1987.9563794520388</v>
      </c>
      <c r="F120" s="178">
        <v>406.96303150685515</v>
      </c>
      <c r="G120" s="178">
        <v>48.6876273972603</v>
      </c>
      <c r="H120" s="178">
        <v>10.678739726027395</v>
      </c>
      <c r="I120" s="178"/>
      <c r="J120" s="178">
        <v>50.672013698629833</v>
      </c>
      <c r="K120" s="178">
        <v>118.02693150684784</v>
      </c>
      <c r="L120" s="178">
        <v>118.02693150684784</v>
      </c>
      <c r="M120" s="178"/>
      <c r="N120" s="178"/>
      <c r="O120" s="178"/>
      <c r="P120" s="178">
        <v>0.46594528767123233</v>
      </c>
      <c r="Q120" s="178"/>
      <c r="R120" s="178">
        <v>2623.4506685753299</v>
      </c>
      <c r="S120" s="179">
        <v>1.0446867332209502</v>
      </c>
    </row>
    <row r="121" spans="1:19" x14ac:dyDescent="0.35">
      <c r="A121" s="176" t="s">
        <v>493</v>
      </c>
      <c r="B121" s="180">
        <v>2511.2319178080743</v>
      </c>
      <c r="C121" s="180">
        <v>2511.2319178080743</v>
      </c>
      <c r="D121" s="180"/>
      <c r="E121" s="180">
        <v>1987.9563794520341</v>
      </c>
      <c r="F121" s="180">
        <v>406.96303150685509</v>
      </c>
      <c r="G121" s="180">
        <v>48.6876273972603</v>
      </c>
      <c r="H121" s="180">
        <v>10.678739726027395</v>
      </c>
      <c r="I121" s="180"/>
      <c r="J121" s="180">
        <v>50.672013698629478</v>
      </c>
      <c r="K121" s="180">
        <v>118.02693150684475</v>
      </c>
      <c r="L121" s="180">
        <v>118.02693150684475</v>
      </c>
      <c r="M121" s="180"/>
      <c r="N121" s="180"/>
      <c r="O121" s="180"/>
      <c r="P121" s="180">
        <v>0.46594528767123122</v>
      </c>
      <c r="Q121" s="180"/>
      <c r="R121" s="180">
        <v>2623.4506685753227</v>
      </c>
      <c r="S121" s="181">
        <v>1.0446867332210392</v>
      </c>
    </row>
    <row r="122" spans="1:19" x14ac:dyDescent="0.35">
      <c r="A122" s="177" t="s">
        <v>63</v>
      </c>
      <c r="B122" s="178">
        <v>83.218904109589118</v>
      </c>
      <c r="C122" s="178">
        <v>83.218904109589118</v>
      </c>
      <c r="D122" s="178"/>
      <c r="E122" s="178">
        <v>3.3910136986301365</v>
      </c>
      <c r="F122" s="178">
        <v>66.680120958904283</v>
      </c>
      <c r="G122" s="178"/>
      <c r="H122" s="178"/>
      <c r="I122" s="178"/>
      <c r="J122" s="178">
        <v>2.3835616438356164E-2</v>
      </c>
      <c r="K122" s="178"/>
      <c r="L122" s="178"/>
      <c r="M122" s="178"/>
      <c r="N122" s="178"/>
      <c r="O122" s="178"/>
      <c r="P122" s="178">
        <v>1.9695236030136956</v>
      </c>
      <c r="Q122" s="178"/>
      <c r="R122" s="178">
        <v>72.064493876986475</v>
      </c>
      <c r="S122" s="179">
        <v>0.86596302424370253</v>
      </c>
    </row>
    <row r="123" spans="1:19" x14ac:dyDescent="0.35">
      <c r="A123" s="176" t="s">
        <v>274</v>
      </c>
      <c r="B123" s="180">
        <v>83.218904109589076</v>
      </c>
      <c r="C123" s="180">
        <v>83.218904109589076</v>
      </c>
      <c r="D123" s="180"/>
      <c r="E123" s="180">
        <v>3.391013698630136</v>
      </c>
      <c r="F123" s="180">
        <v>66.680120958904709</v>
      </c>
      <c r="G123" s="180"/>
      <c r="H123" s="180"/>
      <c r="I123" s="180"/>
      <c r="J123" s="180">
        <v>2.3835616438356164E-2</v>
      </c>
      <c r="K123" s="180"/>
      <c r="L123" s="180"/>
      <c r="M123" s="180"/>
      <c r="N123" s="180"/>
      <c r="O123" s="180"/>
      <c r="P123" s="180">
        <v>1.9695236030137009</v>
      </c>
      <c r="Q123" s="180"/>
      <c r="R123" s="180">
        <v>72.064493876986901</v>
      </c>
      <c r="S123" s="181">
        <v>0.86596302424370808</v>
      </c>
    </row>
    <row r="124" spans="1:19" x14ac:dyDescent="0.35">
      <c r="A124" s="177" t="s">
        <v>64</v>
      </c>
      <c r="B124" s="178">
        <v>57.152876712328705</v>
      </c>
      <c r="C124" s="178">
        <v>57.152876712328705</v>
      </c>
      <c r="D124" s="178"/>
      <c r="E124" s="178">
        <v>83.288279452054581</v>
      </c>
      <c r="F124" s="178"/>
      <c r="G124" s="178"/>
      <c r="H124" s="178"/>
      <c r="I124" s="178"/>
      <c r="J124" s="178">
        <v>0.11276712328767122</v>
      </c>
      <c r="K124" s="178">
        <v>0.84794520547945196</v>
      </c>
      <c r="L124" s="178">
        <v>0.84794520547945196</v>
      </c>
      <c r="M124" s="178"/>
      <c r="N124" s="178"/>
      <c r="O124" s="178"/>
      <c r="P124" s="178"/>
      <c r="Q124" s="178"/>
      <c r="R124" s="178">
        <v>84.248991780821697</v>
      </c>
      <c r="S124" s="179">
        <v>1.474098884031291</v>
      </c>
    </row>
    <row r="125" spans="1:19" x14ac:dyDescent="0.35">
      <c r="A125" s="176" t="s">
        <v>273</v>
      </c>
      <c r="B125" s="180">
        <v>57.152876712328677</v>
      </c>
      <c r="C125" s="180">
        <v>57.152876712328677</v>
      </c>
      <c r="D125" s="180"/>
      <c r="E125" s="180">
        <v>83.288279452054596</v>
      </c>
      <c r="F125" s="180"/>
      <c r="G125" s="180"/>
      <c r="H125" s="180"/>
      <c r="I125" s="180"/>
      <c r="J125" s="180">
        <v>0.11276712328767118</v>
      </c>
      <c r="K125" s="180">
        <v>0.84794520547945196</v>
      </c>
      <c r="L125" s="180">
        <v>0.84794520547945196</v>
      </c>
      <c r="M125" s="180"/>
      <c r="N125" s="180"/>
      <c r="O125" s="180"/>
      <c r="P125" s="180"/>
      <c r="Q125" s="180"/>
      <c r="R125" s="180">
        <v>84.248991780821711</v>
      </c>
      <c r="S125" s="181">
        <v>1.4740988840312919</v>
      </c>
    </row>
    <row r="126" spans="1:19" x14ac:dyDescent="0.35">
      <c r="A126" s="177" t="s">
        <v>369</v>
      </c>
      <c r="B126" s="178">
        <v>104.50410958904098</v>
      </c>
      <c r="C126" s="178">
        <v>104.50410958904098</v>
      </c>
      <c r="D126" s="178"/>
      <c r="E126" s="178">
        <v>91.902849315068607</v>
      </c>
      <c r="F126" s="178">
        <v>6.9081928767123291</v>
      </c>
      <c r="G126" s="178"/>
      <c r="H126" s="178">
        <v>0.36284931506849316</v>
      </c>
      <c r="I126" s="178"/>
      <c r="J126" s="178">
        <v>1.0972602739726027</v>
      </c>
      <c r="K126" s="178">
        <v>7.8616438356164391</v>
      </c>
      <c r="L126" s="178">
        <v>7.8616438356164391</v>
      </c>
      <c r="M126" s="178"/>
      <c r="N126" s="178"/>
      <c r="O126" s="178"/>
      <c r="P126" s="178"/>
      <c r="Q126" s="178"/>
      <c r="R126" s="178">
        <v>108.13279561643849</v>
      </c>
      <c r="S126" s="179">
        <v>1.0347229026845661</v>
      </c>
    </row>
    <row r="127" spans="1:19" x14ac:dyDescent="0.35">
      <c r="A127" s="176" t="s">
        <v>272</v>
      </c>
      <c r="B127" s="180">
        <v>104.50410958904075</v>
      </c>
      <c r="C127" s="180">
        <v>104.50410958904075</v>
      </c>
      <c r="D127" s="180"/>
      <c r="E127" s="180">
        <v>91.902849315068536</v>
      </c>
      <c r="F127" s="180">
        <v>6.9081928767123202</v>
      </c>
      <c r="G127" s="180"/>
      <c r="H127" s="180">
        <v>0.36284931506849316</v>
      </c>
      <c r="I127" s="180"/>
      <c r="J127" s="180">
        <v>1.0972602739726021</v>
      </c>
      <c r="K127" s="180">
        <v>7.8616438356164471</v>
      </c>
      <c r="L127" s="180">
        <v>7.8616438356164471</v>
      </c>
      <c r="M127" s="180"/>
      <c r="N127" s="180"/>
      <c r="O127" s="180"/>
      <c r="P127" s="180"/>
      <c r="Q127" s="180"/>
      <c r="R127" s="180">
        <v>108.1327956164384</v>
      </c>
      <c r="S127" s="181">
        <v>1.0347229026845677</v>
      </c>
    </row>
    <row r="128" spans="1:19" x14ac:dyDescent="0.35">
      <c r="A128" s="177" t="s">
        <v>66</v>
      </c>
      <c r="B128" s="178">
        <v>176.5961643835617</v>
      </c>
      <c r="C128" s="178">
        <v>168.73315068493159</v>
      </c>
      <c r="D128" s="178">
        <v>7.8630136986301196</v>
      </c>
      <c r="E128" s="178">
        <v>128.02519999999978</v>
      </c>
      <c r="F128" s="178">
        <v>58.78979457534242</v>
      </c>
      <c r="G128" s="178"/>
      <c r="H128" s="178"/>
      <c r="I128" s="178">
        <v>7.4698630136986361</v>
      </c>
      <c r="J128" s="178">
        <v>1.5578630136986302</v>
      </c>
      <c r="K128" s="178">
        <v>0.82410958904109566</v>
      </c>
      <c r="L128" s="178">
        <v>0.82410958904109566</v>
      </c>
      <c r="M128" s="178">
        <v>40.772027397260267</v>
      </c>
      <c r="N128" s="178">
        <v>40.772027397260267</v>
      </c>
      <c r="O128" s="178"/>
      <c r="P128" s="178"/>
      <c r="Q128" s="178"/>
      <c r="R128" s="178">
        <v>237.43885758904085</v>
      </c>
      <c r="S128" s="179">
        <v>1.3445300945117393</v>
      </c>
    </row>
    <row r="129" spans="1:19" x14ac:dyDescent="0.35">
      <c r="A129" s="176" t="s">
        <v>271</v>
      </c>
      <c r="B129" s="180">
        <v>176.59616438356016</v>
      </c>
      <c r="C129" s="180">
        <v>168.73315068493005</v>
      </c>
      <c r="D129" s="180">
        <v>7.8630136986301196</v>
      </c>
      <c r="E129" s="180">
        <v>128.02519999999978</v>
      </c>
      <c r="F129" s="180">
        <v>58.789794575343365</v>
      </c>
      <c r="G129" s="180"/>
      <c r="H129" s="180"/>
      <c r="I129" s="180">
        <v>7.4698630136986361</v>
      </c>
      <c r="J129" s="180">
        <v>1.5578630136986302</v>
      </c>
      <c r="K129" s="180">
        <v>0.82410958904109566</v>
      </c>
      <c r="L129" s="180">
        <v>0.82410958904109566</v>
      </c>
      <c r="M129" s="180">
        <v>40.772027397260267</v>
      </c>
      <c r="N129" s="180">
        <v>40.772027397260267</v>
      </c>
      <c r="O129" s="180"/>
      <c r="P129" s="180"/>
      <c r="Q129" s="180"/>
      <c r="R129" s="180">
        <v>237.43885758904179</v>
      </c>
      <c r="S129" s="181">
        <v>1.3445300945117562</v>
      </c>
    </row>
    <row r="130" spans="1:19" x14ac:dyDescent="0.35">
      <c r="A130" s="177" t="s">
        <v>148</v>
      </c>
      <c r="B130" s="178">
        <v>31.082191780821958</v>
      </c>
      <c r="C130" s="178">
        <v>31.082191780821958</v>
      </c>
      <c r="D130" s="178"/>
      <c r="E130" s="178"/>
      <c r="F130" s="178">
        <v>30.929889041095905</v>
      </c>
      <c r="G130" s="178"/>
      <c r="H130" s="178"/>
      <c r="I130" s="178"/>
      <c r="J130" s="178"/>
      <c r="K130" s="178"/>
      <c r="L130" s="178"/>
      <c r="M130" s="178"/>
      <c r="N130" s="178"/>
      <c r="O130" s="178"/>
      <c r="P130" s="178"/>
      <c r="Q130" s="178"/>
      <c r="R130" s="178">
        <v>30.929889041095905</v>
      </c>
      <c r="S130" s="179">
        <v>0.99509999999999921</v>
      </c>
    </row>
    <row r="131" spans="1:19" x14ac:dyDescent="0.35">
      <c r="A131" s="176" t="s">
        <v>269</v>
      </c>
      <c r="B131" s="180">
        <v>31.082191780822015</v>
      </c>
      <c r="C131" s="180">
        <v>31.082191780822015</v>
      </c>
      <c r="D131" s="180"/>
      <c r="E131" s="180"/>
      <c r="F131" s="180">
        <v>30.929889041095905</v>
      </c>
      <c r="G131" s="180"/>
      <c r="H131" s="180"/>
      <c r="I131" s="180"/>
      <c r="J131" s="180"/>
      <c r="K131" s="180"/>
      <c r="L131" s="180"/>
      <c r="M131" s="180"/>
      <c r="N131" s="180"/>
      <c r="O131" s="180"/>
      <c r="P131" s="180"/>
      <c r="Q131" s="180"/>
      <c r="R131" s="180">
        <v>30.929889041095905</v>
      </c>
      <c r="S131" s="181">
        <v>0.99509999999999732</v>
      </c>
    </row>
    <row r="132" spans="1:19" x14ac:dyDescent="0.35">
      <c r="A132" s="177" t="s">
        <v>67</v>
      </c>
      <c r="B132" s="178">
        <v>41.347945205479476</v>
      </c>
      <c r="C132" s="178">
        <v>41.347945205479476</v>
      </c>
      <c r="D132" s="178"/>
      <c r="E132" s="178"/>
      <c r="F132" s="178">
        <v>29.29423561643835</v>
      </c>
      <c r="G132" s="178"/>
      <c r="H132" s="178">
        <v>1.4851506849315068</v>
      </c>
      <c r="I132" s="178"/>
      <c r="J132" s="178"/>
      <c r="K132" s="178">
        <v>0.22602739726027396</v>
      </c>
      <c r="L132" s="178">
        <v>0.22602739726027396</v>
      </c>
      <c r="M132" s="178"/>
      <c r="N132" s="178"/>
      <c r="O132" s="178"/>
      <c r="P132" s="178"/>
      <c r="Q132" s="178"/>
      <c r="R132" s="178">
        <v>31.005413698630132</v>
      </c>
      <c r="S132" s="179">
        <v>0.74986588921282749</v>
      </c>
    </row>
    <row r="133" spans="1:19" x14ac:dyDescent="0.35">
      <c r="A133" s="176" t="s">
        <v>309</v>
      </c>
      <c r="B133" s="180">
        <v>41.347945205479633</v>
      </c>
      <c r="C133" s="180">
        <v>41.347945205479633</v>
      </c>
      <c r="D133" s="180"/>
      <c r="E133" s="180"/>
      <c r="F133" s="180">
        <v>29.294235616438574</v>
      </c>
      <c r="G133" s="180"/>
      <c r="H133" s="180">
        <v>1.4851506849315068</v>
      </c>
      <c r="I133" s="180"/>
      <c r="J133" s="180"/>
      <c r="K133" s="180">
        <v>0.22602739726027396</v>
      </c>
      <c r="L133" s="180">
        <v>0.22602739726027396</v>
      </c>
      <c r="M133" s="180"/>
      <c r="N133" s="180"/>
      <c r="O133" s="180"/>
      <c r="P133" s="180"/>
      <c r="Q133" s="180"/>
      <c r="R133" s="180">
        <v>31.005413698630356</v>
      </c>
      <c r="S133" s="181">
        <v>0.74986588921283004</v>
      </c>
    </row>
    <row r="134" spans="1:19" x14ac:dyDescent="0.35">
      <c r="A134" s="177" t="s">
        <v>68</v>
      </c>
      <c r="B134" s="178">
        <v>25.167123287671235</v>
      </c>
      <c r="C134" s="178">
        <v>25.167123287671235</v>
      </c>
      <c r="D134" s="178"/>
      <c r="E134" s="178"/>
      <c r="F134" s="178">
        <v>18.256231232876715</v>
      </c>
      <c r="G134" s="178"/>
      <c r="H134" s="178"/>
      <c r="I134" s="178"/>
      <c r="J134" s="178">
        <v>2.3342465753424656E-2</v>
      </c>
      <c r="K134" s="178"/>
      <c r="L134" s="178"/>
      <c r="M134" s="178"/>
      <c r="N134" s="178"/>
      <c r="O134" s="178"/>
      <c r="P134" s="178"/>
      <c r="Q134" s="178"/>
      <c r="R134" s="178">
        <v>18.279573698630138</v>
      </c>
      <c r="S134" s="179">
        <v>0.72632749836708033</v>
      </c>
    </row>
    <row r="135" spans="1:19" x14ac:dyDescent="0.35">
      <c r="A135" s="176" t="s">
        <v>268</v>
      </c>
      <c r="B135" s="180">
        <v>25.167123287671256</v>
      </c>
      <c r="C135" s="180">
        <v>25.167123287671256</v>
      </c>
      <c r="D135" s="180"/>
      <c r="E135" s="180"/>
      <c r="F135" s="180">
        <v>18.256231232876722</v>
      </c>
      <c r="G135" s="180"/>
      <c r="H135" s="180"/>
      <c r="I135" s="180"/>
      <c r="J135" s="180">
        <v>2.3342465753424656E-2</v>
      </c>
      <c r="K135" s="180"/>
      <c r="L135" s="180"/>
      <c r="M135" s="180"/>
      <c r="N135" s="180"/>
      <c r="O135" s="180"/>
      <c r="P135" s="180"/>
      <c r="Q135" s="180"/>
      <c r="R135" s="180">
        <v>18.279573698630145</v>
      </c>
      <c r="S135" s="181">
        <v>0.72632749836707999</v>
      </c>
    </row>
    <row r="136" spans="1:19" x14ac:dyDescent="0.35">
      <c r="A136" s="177" t="s">
        <v>69</v>
      </c>
      <c r="B136" s="178">
        <v>50.055342465753469</v>
      </c>
      <c r="C136" s="178">
        <v>50.055342465753469</v>
      </c>
      <c r="D136" s="178"/>
      <c r="E136" s="178">
        <v>70.983600000000038</v>
      </c>
      <c r="F136" s="178"/>
      <c r="G136" s="178"/>
      <c r="H136" s="178"/>
      <c r="I136" s="178"/>
      <c r="J136" s="178">
        <v>0.34175342465753422</v>
      </c>
      <c r="K136" s="178"/>
      <c r="L136" s="178"/>
      <c r="M136" s="178"/>
      <c r="N136" s="178"/>
      <c r="O136" s="178"/>
      <c r="P136" s="178"/>
      <c r="Q136" s="178"/>
      <c r="R136" s="178">
        <v>71.325353424657578</v>
      </c>
      <c r="S136" s="179">
        <v>1.4249298858250043</v>
      </c>
    </row>
    <row r="137" spans="1:19" x14ac:dyDescent="0.35">
      <c r="A137" s="176" t="s">
        <v>267</v>
      </c>
      <c r="B137" s="180">
        <v>50.055342465753505</v>
      </c>
      <c r="C137" s="180">
        <v>50.055342465753505</v>
      </c>
      <c r="D137" s="180"/>
      <c r="E137" s="180">
        <v>70.983600000000123</v>
      </c>
      <c r="F137" s="180"/>
      <c r="G137" s="180"/>
      <c r="H137" s="180"/>
      <c r="I137" s="180"/>
      <c r="J137" s="180">
        <v>0.34175342465753444</v>
      </c>
      <c r="K137" s="180"/>
      <c r="L137" s="180"/>
      <c r="M137" s="180"/>
      <c r="N137" s="180"/>
      <c r="O137" s="180"/>
      <c r="P137" s="180"/>
      <c r="Q137" s="180"/>
      <c r="R137" s="180">
        <v>71.325353424657663</v>
      </c>
      <c r="S137" s="181">
        <v>1.424929885825005</v>
      </c>
    </row>
    <row r="138" spans="1:19" x14ac:dyDescent="0.35">
      <c r="A138" s="177" t="s">
        <v>489</v>
      </c>
      <c r="B138" s="178">
        <v>1037.91232876714</v>
      </c>
      <c r="C138" s="178">
        <v>1037.91232876714</v>
      </c>
      <c r="D138" s="178"/>
      <c r="E138" s="178">
        <v>572.58197260274619</v>
      </c>
      <c r="F138" s="178">
        <v>38.450174794520741</v>
      </c>
      <c r="G138" s="178">
        <v>622.38361643836379</v>
      </c>
      <c r="H138" s="178">
        <v>3.2825205479452038</v>
      </c>
      <c r="I138" s="178"/>
      <c r="J138" s="178">
        <v>23.041315068493141</v>
      </c>
      <c r="K138" s="178">
        <v>3786.4358082191284</v>
      </c>
      <c r="L138" s="178">
        <v>3786.4358082191284</v>
      </c>
      <c r="M138" s="178">
        <v>66.010602739726181</v>
      </c>
      <c r="N138" s="178">
        <v>66.010602739726181</v>
      </c>
      <c r="O138" s="178"/>
      <c r="P138" s="178"/>
      <c r="Q138" s="178"/>
      <c r="R138" s="178">
        <v>5112.1860104109246</v>
      </c>
      <c r="S138" s="179">
        <v>4.9254507039947351</v>
      </c>
    </row>
    <row r="139" spans="1:19" x14ac:dyDescent="0.35">
      <c r="A139" s="176" t="s">
        <v>306</v>
      </c>
      <c r="B139" s="180">
        <v>1037.9123287672323</v>
      </c>
      <c r="C139" s="180">
        <v>1037.9123287672323</v>
      </c>
      <c r="D139" s="180"/>
      <c r="E139" s="180">
        <v>572.58197260274619</v>
      </c>
      <c r="F139" s="180">
        <v>38.450174794520741</v>
      </c>
      <c r="G139" s="180">
        <v>622.38361643836561</v>
      </c>
      <c r="H139" s="180">
        <v>3.2825205479452038</v>
      </c>
      <c r="I139" s="180"/>
      <c r="J139" s="180">
        <v>23.041315068493205</v>
      </c>
      <c r="K139" s="180">
        <v>3786.4358082192439</v>
      </c>
      <c r="L139" s="180">
        <v>3786.4358082192439</v>
      </c>
      <c r="M139" s="180">
        <v>66.010602739726181</v>
      </c>
      <c r="N139" s="180">
        <v>66.010602739726181</v>
      </c>
      <c r="O139" s="180"/>
      <c r="P139" s="180"/>
      <c r="Q139" s="180"/>
      <c r="R139" s="180">
        <v>5112.186010411041</v>
      </c>
      <c r="S139" s="181">
        <v>4.9254507039944091</v>
      </c>
    </row>
    <row r="140" spans="1:19" x14ac:dyDescent="0.35">
      <c r="A140" s="177" t="s">
        <v>70</v>
      </c>
      <c r="B140" s="178">
        <v>1314.4353424657454</v>
      </c>
      <c r="C140" s="178">
        <v>1308.2468493150604</v>
      </c>
      <c r="D140" s="178">
        <v>6.1884931506849323</v>
      </c>
      <c r="E140" s="178">
        <v>1008.3970383561414</v>
      </c>
      <c r="F140" s="178">
        <v>238.14017736986386</v>
      </c>
      <c r="G140" s="178">
        <v>25.627287671232857</v>
      </c>
      <c r="H140" s="178"/>
      <c r="I140" s="178">
        <v>5.8790684931506831</v>
      </c>
      <c r="J140" s="178">
        <v>25.172317808219216</v>
      </c>
      <c r="K140" s="178">
        <v>50.91923287671235</v>
      </c>
      <c r="L140" s="178">
        <v>50.91923287671235</v>
      </c>
      <c r="M140" s="178">
        <v>21.515671232876713</v>
      </c>
      <c r="N140" s="178">
        <v>21.515671232876713</v>
      </c>
      <c r="O140" s="178"/>
      <c r="P140" s="178">
        <v>1.5572052493150697</v>
      </c>
      <c r="Q140" s="178"/>
      <c r="R140" s="178">
        <v>1377.2079990575123</v>
      </c>
      <c r="S140" s="179">
        <v>1.0477563669841774</v>
      </c>
    </row>
    <row r="141" spans="1:19" x14ac:dyDescent="0.35">
      <c r="A141" s="176" t="s">
        <v>266</v>
      </c>
      <c r="B141" s="180">
        <v>1314.4353424657995</v>
      </c>
      <c r="C141" s="180">
        <v>1308.2468493151146</v>
      </c>
      <c r="D141" s="180">
        <v>6.1884931506849403</v>
      </c>
      <c r="E141" s="180">
        <v>1008.39703835614</v>
      </c>
      <c r="F141" s="180">
        <v>238.14017736986355</v>
      </c>
      <c r="G141" s="180">
        <v>25.627287671232843</v>
      </c>
      <c r="H141" s="180"/>
      <c r="I141" s="180">
        <v>5.8790684931506831</v>
      </c>
      <c r="J141" s="180">
        <v>25.17231780821924</v>
      </c>
      <c r="K141" s="180">
        <v>50.919232876712364</v>
      </c>
      <c r="L141" s="180">
        <v>50.919232876712364</v>
      </c>
      <c r="M141" s="180">
        <v>21.515671232876713</v>
      </c>
      <c r="N141" s="180">
        <v>21.515671232876713</v>
      </c>
      <c r="O141" s="180"/>
      <c r="P141" s="180">
        <v>1.5572052493150788</v>
      </c>
      <c r="Q141" s="180"/>
      <c r="R141" s="180">
        <v>1377.2079990575105</v>
      </c>
      <c r="S141" s="181">
        <v>1.0477563669841328</v>
      </c>
    </row>
    <row r="142" spans="1:19" x14ac:dyDescent="0.35">
      <c r="A142" s="177" t="s">
        <v>71</v>
      </c>
      <c r="B142" s="178">
        <v>1979.5791780821953</v>
      </c>
      <c r="C142" s="178">
        <v>1979.5791780821953</v>
      </c>
      <c r="D142" s="178"/>
      <c r="E142" s="178">
        <v>1481.1393424657572</v>
      </c>
      <c r="F142" s="178">
        <v>406.23005391780822</v>
      </c>
      <c r="G142" s="178">
        <v>33.622630136986267</v>
      </c>
      <c r="H142" s="178">
        <v>5.8519999999999968</v>
      </c>
      <c r="I142" s="178"/>
      <c r="J142" s="178">
        <v>37.0165150684929</v>
      </c>
      <c r="K142" s="178">
        <v>140.49284931506782</v>
      </c>
      <c r="L142" s="178">
        <v>140.49284931506782</v>
      </c>
      <c r="M142" s="178">
        <v>3.8524931506849338</v>
      </c>
      <c r="N142" s="178">
        <v>3.8524931506849338</v>
      </c>
      <c r="O142" s="178"/>
      <c r="P142" s="178"/>
      <c r="Q142" s="178"/>
      <c r="R142" s="178">
        <v>2108.2058840547975</v>
      </c>
      <c r="S142" s="179">
        <v>1.0649767927429985</v>
      </c>
    </row>
    <row r="143" spans="1:19" x14ac:dyDescent="0.35">
      <c r="A143" s="176" t="s">
        <v>264</v>
      </c>
      <c r="B143" s="180">
        <v>1979.5791780819916</v>
      </c>
      <c r="C143" s="180">
        <v>1979.5791780819916</v>
      </c>
      <c r="D143" s="180"/>
      <c r="E143" s="180">
        <v>1481.1393424657588</v>
      </c>
      <c r="F143" s="180">
        <v>406.23005391780777</v>
      </c>
      <c r="G143" s="180">
        <v>33.622630136986288</v>
      </c>
      <c r="H143" s="180">
        <v>5.8519999999999968</v>
      </c>
      <c r="I143" s="180"/>
      <c r="J143" s="180">
        <v>37.016515068492801</v>
      </c>
      <c r="K143" s="180">
        <v>140.49284931506779</v>
      </c>
      <c r="L143" s="180">
        <v>140.49284931506779</v>
      </c>
      <c r="M143" s="180">
        <v>3.8524931506849338</v>
      </c>
      <c r="N143" s="180">
        <v>3.8524931506849338</v>
      </c>
      <c r="O143" s="180"/>
      <c r="P143" s="180"/>
      <c r="Q143" s="180"/>
      <c r="R143" s="180">
        <v>2108.2058840547984</v>
      </c>
      <c r="S143" s="181">
        <v>1.0649767927431086</v>
      </c>
    </row>
    <row r="144" spans="1:19" x14ac:dyDescent="0.35">
      <c r="A144" s="177" t="s">
        <v>72</v>
      </c>
      <c r="B144" s="178">
        <v>2883.243287671326</v>
      </c>
      <c r="C144" s="178">
        <v>2883.243287671326</v>
      </c>
      <c r="D144" s="178"/>
      <c r="E144" s="178">
        <v>2217.3147753424496</v>
      </c>
      <c r="F144" s="178">
        <v>450.39964208219294</v>
      </c>
      <c r="G144" s="178">
        <v>92.096219178082492</v>
      </c>
      <c r="H144" s="178">
        <v>85.275495890411463</v>
      </c>
      <c r="I144" s="178"/>
      <c r="J144" s="178">
        <v>61.965534246574663</v>
      </c>
      <c r="K144" s="178">
        <v>234.86849315068577</v>
      </c>
      <c r="L144" s="178">
        <v>234.86849315068577</v>
      </c>
      <c r="M144" s="178">
        <v>23.438958904109569</v>
      </c>
      <c r="N144" s="178">
        <v>23.438958904109569</v>
      </c>
      <c r="O144" s="178"/>
      <c r="P144" s="178">
        <v>1.5657013726027389</v>
      </c>
      <c r="Q144" s="178"/>
      <c r="R144" s="178">
        <v>3166.9248201671098</v>
      </c>
      <c r="S144" s="179">
        <v>1.0983897313517728</v>
      </c>
    </row>
    <row r="145" spans="1:19" x14ac:dyDescent="0.35">
      <c r="A145" s="176" t="s">
        <v>263</v>
      </c>
      <c r="B145" s="180">
        <v>2883.2432876711055</v>
      </c>
      <c r="C145" s="180">
        <v>2883.2432876711055</v>
      </c>
      <c r="D145" s="180"/>
      <c r="E145" s="180">
        <v>2217.3147753423755</v>
      </c>
      <c r="F145" s="180">
        <v>450.39964208218919</v>
      </c>
      <c r="G145" s="180">
        <v>92.09621917808245</v>
      </c>
      <c r="H145" s="180">
        <v>85.275495890411463</v>
      </c>
      <c r="I145" s="180"/>
      <c r="J145" s="180">
        <v>61.965534246573974</v>
      </c>
      <c r="K145" s="180">
        <v>234.86849315068963</v>
      </c>
      <c r="L145" s="180">
        <v>234.86849315068963</v>
      </c>
      <c r="M145" s="180">
        <v>23.438958904109569</v>
      </c>
      <c r="N145" s="180">
        <v>23.438958904109569</v>
      </c>
      <c r="O145" s="180"/>
      <c r="P145" s="180">
        <v>1.5657013726027458</v>
      </c>
      <c r="Q145" s="180"/>
      <c r="R145" s="180">
        <v>3166.9248201670343</v>
      </c>
      <c r="S145" s="181">
        <v>1.0983897313518305</v>
      </c>
    </row>
    <row r="146" spans="1:19" x14ac:dyDescent="0.35">
      <c r="A146" s="177" t="s">
        <v>73</v>
      </c>
      <c r="B146" s="178">
        <v>4927.7858904105451</v>
      </c>
      <c r="C146" s="178">
        <v>4894.2406849310928</v>
      </c>
      <c r="D146" s="178">
        <v>33.545205479452072</v>
      </c>
      <c r="E146" s="178">
        <v>3601.572315068408</v>
      </c>
      <c r="F146" s="178">
        <v>1007.7523264109859</v>
      </c>
      <c r="G146" s="178">
        <v>108.82947945205498</v>
      </c>
      <c r="H146" s="178">
        <v>4.4470136986301387</v>
      </c>
      <c r="I146" s="178">
        <v>31.867945205479451</v>
      </c>
      <c r="J146" s="178">
        <v>100.91990136986377</v>
      </c>
      <c r="K146" s="178">
        <v>318.63956164384172</v>
      </c>
      <c r="L146" s="178">
        <v>318.63956164384172</v>
      </c>
      <c r="M146" s="178">
        <v>38.758684931506657</v>
      </c>
      <c r="N146" s="178">
        <v>38.758684931506657</v>
      </c>
      <c r="O146" s="178">
        <v>-1.7245802739726028</v>
      </c>
      <c r="P146" s="178">
        <v>9.5767884789041613</v>
      </c>
      <c r="Q146" s="178"/>
      <c r="R146" s="178">
        <v>5220.6394359857022</v>
      </c>
      <c r="S146" s="179">
        <v>1.0594290320415602</v>
      </c>
    </row>
    <row r="147" spans="1:19" x14ac:dyDescent="0.35">
      <c r="A147" s="176" t="s">
        <v>262</v>
      </c>
      <c r="B147" s="180">
        <v>4927.7858904106188</v>
      </c>
      <c r="C147" s="180">
        <v>4894.2406849311665</v>
      </c>
      <c r="D147" s="180">
        <v>33.545205479452164</v>
      </c>
      <c r="E147" s="180">
        <v>3601.5723150682829</v>
      </c>
      <c r="F147" s="180">
        <v>1007.7523264110587</v>
      </c>
      <c r="G147" s="180">
        <v>108.82947945205494</v>
      </c>
      <c r="H147" s="180">
        <v>4.4470136986301387</v>
      </c>
      <c r="I147" s="180">
        <v>31.867945205479511</v>
      </c>
      <c r="J147" s="180">
        <v>100.91990136986178</v>
      </c>
      <c r="K147" s="180">
        <v>318.63956164385525</v>
      </c>
      <c r="L147" s="180">
        <v>318.63956164385525</v>
      </c>
      <c r="M147" s="180">
        <v>38.758684931506657</v>
      </c>
      <c r="N147" s="180">
        <v>38.758684931506657</v>
      </c>
      <c r="O147" s="180">
        <v>-1.7245802739726028</v>
      </c>
      <c r="P147" s="180">
        <v>9.5767884789042039</v>
      </c>
      <c r="Q147" s="180"/>
      <c r="R147" s="180">
        <v>5220.6394359856604</v>
      </c>
      <c r="S147" s="181">
        <v>1.059429032041536</v>
      </c>
    </row>
    <row r="148" spans="1:19" x14ac:dyDescent="0.35">
      <c r="A148" s="177" t="s">
        <v>74</v>
      </c>
      <c r="B148" s="178">
        <v>276.99452054794483</v>
      </c>
      <c r="C148" s="178">
        <v>276.99452054794483</v>
      </c>
      <c r="D148" s="178"/>
      <c r="E148" s="178">
        <v>264.30465753424539</v>
      </c>
      <c r="F148" s="178">
        <v>22.409381917808251</v>
      </c>
      <c r="G148" s="178"/>
      <c r="H148" s="178"/>
      <c r="I148" s="178"/>
      <c r="J148" s="178">
        <v>0.97660273972602829</v>
      </c>
      <c r="K148" s="178">
        <v>9.3835616438356269</v>
      </c>
      <c r="L148" s="178">
        <v>9.3835616438356269</v>
      </c>
      <c r="M148" s="178"/>
      <c r="N148" s="178"/>
      <c r="O148" s="178"/>
      <c r="P148" s="178"/>
      <c r="Q148" s="178"/>
      <c r="R148" s="178">
        <v>297.07420383561532</v>
      </c>
      <c r="S148" s="179">
        <v>1.0724912653432612</v>
      </c>
    </row>
    <row r="149" spans="1:19" x14ac:dyDescent="0.35">
      <c r="A149" s="176" t="s">
        <v>260</v>
      </c>
      <c r="B149" s="180">
        <v>276.99452054793636</v>
      </c>
      <c r="C149" s="180">
        <v>276.99452054793636</v>
      </c>
      <c r="D149" s="180"/>
      <c r="E149" s="180">
        <v>264.30465753424699</v>
      </c>
      <c r="F149" s="180">
        <v>22.409381917808325</v>
      </c>
      <c r="G149" s="180"/>
      <c r="H149" s="180"/>
      <c r="I149" s="180"/>
      <c r="J149" s="180">
        <v>0.97660273972602918</v>
      </c>
      <c r="K149" s="180">
        <v>9.3835616438356286</v>
      </c>
      <c r="L149" s="180">
        <v>9.3835616438356286</v>
      </c>
      <c r="M149" s="180"/>
      <c r="N149" s="180"/>
      <c r="O149" s="180"/>
      <c r="P149" s="180"/>
      <c r="Q149" s="180"/>
      <c r="R149" s="180">
        <v>297.07420383561697</v>
      </c>
      <c r="S149" s="181">
        <v>1.0724912653432999</v>
      </c>
    </row>
    <row r="150" spans="1:19" x14ac:dyDescent="0.35">
      <c r="A150" s="177" t="s">
        <v>75</v>
      </c>
      <c r="B150" s="178">
        <v>114.23013698630143</v>
      </c>
      <c r="C150" s="178">
        <v>114.23013698630143</v>
      </c>
      <c r="D150" s="178"/>
      <c r="E150" s="178"/>
      <c r="F150" s="178">
        <v>82.862541369863067</v>
      </c>
      <c r="G150" s="178"/>
      <c r="H150" s="178"/>
      <c r="I150" s="178"/>
      <c r="J150" s="178"/>
      <c r="K150" s="178"/>
      <c r="L150" s="178"/>
      <c r="M150" s="178"/>
      <c r="N150" s="178"/>
      <c r="O150" s="178"/>
      <c r="P150" s="178"/>
      <c r="Q150" s="178"/>
      <c r="R150" s="178">
        <v>82.862541369863067</v>
      </c>
      <c r="S150" s="179">
        <v>0.72540000000000004</v>
      </c>
    </row>
    <row r="151" spans="1:19" x14ac:dyDescent="0.35">
      <c r="A151" s="176" t="s">
        <v>256</v>
      </c>
      <c r="B151" s="180">
        <v>114.23013698630109</v>
      </c>
      <c r="C151" s="180">
        <v>114.23013698630109</v>
      </c>
      <c r="D151" s="180"/>
      <c r="E151" s="180"/>
      <c r="F151" s="180">
        <v>82.862541369863422</v>
      </c>
      <c r="G151" s="180"/>
      <c r="H151" s="180"/>
      <c r="I151" s="180"/>
      <c r="J151" s="180"/>
      <c r="K151" s="180"/>
      <c r="L151" s="180"/>
      <c r="M151" s="180"/>
      <c r="N151" s="180"/>
      <c r="O151" s="180"/>
      <c r="P151" s="180"/>
      <c r="Q151" s="180"/>
      <c r="R151" s="180">
        <v>82.862541369863422</v>
      </c>
      <c r="S151" s="181">
        <v>0.72540000000000537</v>
      </c>
    </row>
    <row r="152" spans="1:19" x14ac:dyDescent="0.35">
      <c r="A152" s="177" t="s">
        <v>76</v>
      </c>
      <c r="B152" s="178">
        <v>182.25589041095816</v>
      </c>
      <c r="C152" s="178">
        <v>182.25589041095816</v>
      </c>
      <c r="D152" s="178"/>
      <c r="E152" s="178">
        <v>99.923819178082269</v>
      </c>
      <c r="F152" s="178">
        <v>50.931427068493242</v>
      </c>
      <c r="G152" s="178"/>
      <c r="H152" s="178">
        <v>13.906410958904116</v>
      </c>
      <c r="I152" s="178"/>
      <c r="J152" s="178">
        <v>0.83473972602739688</v>
      </c>
      <c r="K152" s="178">
        <v>12.528219178082207</v>
      </c>
      <c r="L152" s="178">
        <v>12.528219178082207</v>
      </c>
      <c r="M152" s="178"/>
      <c r="N152" s="178"/>
      <c r="O152" s="178"/>
      <c r="P152" s="178">
        <v>0.43160306301369805</v>
      </c>
      <c r="Q152" s="178"/>
      <c r="R152" s="178">
        <v>178.55621917260294</v>
      </c>
      <c r="S152" s="179">
        <v>0.97970067672428551</v>
      </c>
    </row>
    <row r="153" spans="1:19" x14ac:dyDescent="0.35">
      <c r="A153" s="176" t="s">
        <v>258</v>
      </c>
      <c r="B153" s="180">
        <v>182.25589041095404</v>
      </c>
      <c r="C153" s="180">
        <v>182.25589041095404</v>
      </c>
      <c r="D153" s="180"/>
      <c r="E153" s="180">
        <v>99.923819178082127</v>
      </c>
      <c r="F153" s="180">
        <v>50.931427068493896</v>
      </c>
      <c r="G153" s="180"/>
      <c r="H153" s="180">
        <v>13.906410958904116</v>
      </c>
      <c r="I153" s="180"/>
      <c r="J153" s="180">
        <v>0.83473972602739732</v>
      </c>
      <c r="K153" s="180">
        <v>12.528219178082239</v>
      </c>
      <c r="L153" s="180">
        <v>12.528219178082239</v>
      </c>
      <c r="M153" s="180"/>
      <c r="N153" s="180"/>
      <c r="O153" s="180"/>
      <c r="P153" s="180">
        <v>0.43160306301369766</v>
      </c>
      <c r="Q153" s="180"/>
      <c r="R153" s="180">
        <v>178.55621917260351</v>
      </c>
      <c r="S153" s="181">
        <v>0.97970067672431083</v>
      </c>
    </row>
    <row r="154" spans="1:19" x14ac:dyDescent="0.35">
      <c r="A154" s="177" t="s">
        <v>461</v>
      </c>
      <c r="B154" s="178">
        <v>908.03123287672315</v>
      </c>
      <c r="C154" s="178">
        <v>908.03123287672315</v>
      </c>
      <c r="D154" s="178"/>
      <c r="E154" s="178">
        <v>580.87137534246506</v>
      </c>
      <c r="F154" s="178">
        <v>118.65854712328789</v>
      </c>
      <c r="G154" s="178"/>
      <c r="H154" s="178">
        <v>0.99572602739726035</v>
      </c>
      <c r="I154" s="178"/>
      <c r="J154" s="178">
        <v>22.811284931506833</v>
      </c>
      <c r="K154" s="178">
        <v>41.980136986301332</v>
      </c>
      <c r="L154" s="178">
        <v>41.980136986301332</v>
      </c>
      <c r="M154" s="178"/>
      <c r="N154" s="178"/>
      <c r="O154" s="178">
        <v>-19.084479041095843</v>
      </c>
      <c r="P154" s="178"/>
      <c r="Q154" s="178"/>
      <c r="R154" s="178">
        <v>746.23259136986258</v>
      </c>
      <c r="S154" s="179">
        <v>0.82181379268831078</v>
      </c>
    </row>
    <row r="155" spans="1:19" x14ac:dyDescent="0.35">
      <c r="A155" s="176" t="s">
        <v>290</v>
      </c>
      <c r="B155" s="180">
        <v>908.03123287673657</v>
      </c>
      <c r="C155" s="180">
        <v>908.03123287673657</v>
      </c>
      <c r="D155" s="180"/>
      <c r="E155" s="180">
        <v>580.87137534246392</v>
      </c>
      <c r="F155" s="180">
        <v>118.65854712328799</v>
      </c>
      <c r="G155" s="180"/>
      <c r="H155" s="180">
        <v>0.99572602739726035</v>
      </c>
      <c r="I155" s="180"/>
      <c r="J155" s="180">
        <v>22.811284931506847</v>
      </c>
      <c r="K155" s="180">
        <v>41.980136986301304</v>
      </c>
      <c r="L155" s="180">
        <v>41.980136986301304</v>
      </c>
      <c r="M155" s="180"/>
      <c r="N155" s="180"/>
      <c r="O155" s="180">
        <v>-19.084479041095843</v>
      </c>
      <c r="P155" s="180"/>
      <c r="Q155" s="180"/>
      <c r="R155" s="180">
        <v>746.23259136986155</v>
      </c>
      <c r="S155" s="181">
        <v>0.82181379268829746</v>
      </c>
    </row>
    <row r="156" spans="1:19" x14ac:dyDescent="0.35">
      <c r="A156" s="177" t="s">
        <v>149</v>
      </c>
      <c r="B156" s="178">
        <v>12.775068493150672</v>
      </c>
      <c r="C156" s="178">
        <v>3.2997260273972593</v>
      </c>
      <c r="D156" s="178">
        <v>9.4753424657534122</v>
      </c>
      <c r="E156" s="178"/>
      <c r="F156" s="178">
        <v>2.3936212602739717</v>
      </c>
      <c r="G156" s="178"/>
      <c r="H156" s="178"/>
      <c r="I156" s="178">
        <v>9.0015753424658147</v>
      </c>
      <c r="J156" s="178"/>
      <c r="K156" s="178"/>
      <c r="L156" s="178"/>
      <c r="M156" s="178"/>
      <c r="N156" s="178"/>
      <c r="O156" s="178"/>
      <c r="P156" s="178">
        <v>0.1629824745205479</v>
      </c>
      <c r="Q156" s="178"/>
      <c r="R156" s="178">
        <v>11.558179077260336</v>
      </c>
      <c r="S156" s="179">
        <v>0.90474497913316332</v>
      </c>
    </row>
    <row r="157" spans="1:19" x14ac:dyDescent="0.35">
      <c r="A157" s="176" t="s">
        <v>257</v>
      </c>
      <c r="B157" s="180">
        <v>12.775068493150672</v>
      </c>
      <c r="C157" s="180">
        <v>3.2997260273972593</v>
      </c>
      <c r="D157" s="180">
        <v>9.4753424657534122</v>
      </c>
      <c r="E157" s="180"/>
      <c r="F157" s="180">
        <v>2.3936212602739717</v>
      </c>
      <c r="G157" s="180"/>
      <c r="H157" s="180"/>
      <c r="I157" s="180">
        <v>9.0015753424658147</v>
      </c>
      <c r="J157" s="180"/>
      <c r="K157" s="180"/>
      <c r="L157" s="180"/>
      <c r="M157" s="180"/>
      <c r="N157" s="180"/>
      <c r="O157" s="180"/>
      <c r="P157" s="180">
        <v>0.16298247452054793</v>
      </c>
      <c r="Q157" s="180"/>
      <c r="R157" s="180">
        <v>11.558179077260336</v>
      </c>
      <c r="S157" s="181">
        <v>0.90474497913316332</v>
      </c>
    </row>
    <row r="158" spans="1:19" x14ac:dyDescent="0.35">
      <c r="A158" s="177" t="s">
        <v>77</v>
      </c>
      <c r="B158" s="178">
        <v>1221.7208219177924</v>
      </c>
      <c r="C158" s="178">
        <v>1221.7208219177924</v>
      </c>
      <c r="D158" s="178"/>
      <c r="E158" s="178">
        <v>1054.9073479451861</v>
      </c>
      <c r="F158" s="178">
        <v>125.9833137534244</v>
      </c>
      <c r="G158" s="178">
        <v>97.518706849315578</v>
      </c>
      <c r="H158" s="178">
        <v>16.530739726027381</v>
      </c>
      <c r="I158" s="178"/>
      <c r="J158" s="178">
        <v>37.022531506848786</v>
      </c>
      <c r="K158" s="178">
        <v>444.22427945206118</v>
      </c>
      <c r="L158" s="178">
        <v>444.22427945206118</v>
      </c>
      <c r="M158" s="178">
        <v>97.508975342466329</v>
      </c>
      <c r="N158" s="178">
        <v>97.508975342466329</v>
      </c>
      <c r="O158" s="178"/>
      <c r="P158" s="178"/>
      <c r="Q158" s="178"/>
      <c r="R158" s="178">
        <v>1873.6958945753297</v>
      </c>
      <c r="S158" s="179">
        <v>1.5336530743857675</v>
      </c>
    </row>
    <row r="159" spans="1:19" x14ac:dyDescent="0.35">
      <c r="A159" s="176" t="s">
        <v>255</v>
      </c>
      <c r="B159" s="180">
        <v>1221.7208219177744</v>
      </c>
      <c r="C159" s="180">
        <v>1221.7208219177744</v>
      </c>
      <c r="D159" s="180"/>
      <c r="E159" s="180">
        <v>1054.9073479451963</v>
      </c>
      <c r="F159" s="180">
        <v>125.98331375342515</v>
      </c>
      <c r="G159" s="180">
        <v>97.518706849315592</v>
      </c>
      <c r="H159" s="180">
        <v>16.530739726027381</v>
      </c>
      <c r="I159" s="180"/>
      <c r="J159" s="180">
        <v>37.022531506848765</v>
      </c>
      <c r="K159" s="180">
        <v>444.22427945206357</v>
      </c>
      <c r="L159" s="180">
        <v>444.22427945206357</v>
      </c>
      <c r="M159" s="180">
        <v>97.508975342466329</v>
      </c>
      <c r="N159" s="180">
        <v>97.508975342466329</v>
      </c>
      <c r="O159" s="180"/>
      <c r="P159" s="180"/>
      <c r="Q159" s="180"/>
      <c r="R159" s="180">
        <v>1873.6958945753431</v>
      </c>
      <c r="S159" s="181">
        <v>1.5336530743858017</v>
      </c>
    </row>
    <row r="160" spans="1:19" x14ac:dyDescent="0.35">
      <c r="A160" s="177" t="s">
        <v>78</v>
      </c>
      <c r="B160" s="178">
        <v>36.970328767123313</v>
      </c>
      <c r="C160" s="178">
        <v>36.970328767123313</v>
      </c>
      <c r="D160" s="178"/>
      <c r="E160" s="178">
        <v>53.59273479452051</v>
      </c>
      <c r="F160" s="178"/>
      <c r="G160" s="178"/>
      <c r="H160" s="178"/>
      <c r="I160" s="178"/>
      <c r="J160" s="178">
        <v>0.23030136986301364</v>
      </c>
      <c r="K160" s="178"/>
      <c r="L160" s="178"/>
      <c r="M160" s="178"/>
      <c r="N160" s="178"/>
      <c r="O160" s="178"/>
      <c r="P160" s="178"/>
      <c r="Q160" s="178"/>
      <c r="R160" s="178">
        <v>53.823036164383524</v>
      </c>
      <c r="S160" s="179">
        <v>1.4558441312062893</v>
      </c>
    </row>
    <row r="161" spans="1:19" x14ac:dyDescent="0.35">
      <c r="A161" s="176" t="s">
        <v>254</v>
      </c>
      <c r="B161" s="180">
        <v>36.970328767123306</v>
      </c>
      <c r="C161" s="180">
        <v>36.970328767123306</v>
      </c>
      <c r="D161" s="180"/>
      <c r="E161" s="180">
        <v>53.59273479452051</v>
      </c>
      <c r="F161" s="180"/>
      <c r="G161" s="180"/>
      <c r="H161" s="180"/>
      <c r="I161" s="180"/>
      <c r="J161" s="180">
        <v>0.23030136986301364</v>
      </c>
      <c r="K161" s="180"/>
      <c r="L161" s="180"/>
      <c r="M161" s="180"/>
      <c r="N161" s="180"/>
      <c r="O161" s="180"/>
      <c r="P161" s="180"/>
      <c r="Q161" s="180"/>
      <c r="R161" s="180">
        <v>53.823036164383524</v>
      </c>
      <c r="S161" s="181">
        <v>1.4558441312062895</v>
      </c>
    </row>
    <row r="162" spans="1:19" x14ac:dyDescent="0.35">
      <c r="A162" s="177" t="s">
        <v>79</v>
      </c>
      <c r="B162" s="178">
        <v>47.126027397260287</v>
      </c>
      <c r="C162" s="178">
        <v>47.126027397260287</v>
      </c>
      <c r="D162" s="178"/>
      <c r="E162" s="178">
        <v>50.414986301369815</v>
      </c>
      <c r="F162" s="178"/>
      <c r="G162" s="178"/>
      <c r="H162" s="178"/>
      <c r="I162" s="178"/>
      <c r="J162" s="178">
        <v>1.4593972602739733</v>
      </c>
      <c r="K162" s="178">
        <v>1.5301369863013699</v>
      </c>
      <c r="L162" s="178">
        <v>1.5301369863013699</v>
      </c>
      <c r="M162" s="178">
        <v>16.710054794520548</v>
      </c>
      <c r="N162" s="178">
        <v>16.710054794520548</v>
      </c>
      <c r="O162" s="178"/>
      <c r="P162" s="178"/>
      <c r="Q162" s="178"/>
      <c r="R162" s="178">
        <v>70.114575342465713</v>
      </c>
      <c r="S162" s="179">
        <v>1.4878100110458681</v>
      </c>
    </row>
    <row r="163" spans="1:19" x14ac:dyDescent="0.35">
      <c r="A163" s="176" t="s">
        <v>250</v>
      </c>
      <c r="B163" s="180">
        <v>47.126027397260309</v>
      </c>
      <c r="C163" s="180">
        <v>47.126027397260309</v>
      </c>
      <c r="D163" s="180"/>
      <c r="E163" s="180">
        <v>50.414986301369801</v>
      </c>
      <c r="F163" s="180"/>
      <c r="G163" s="180"/>
      <c r="H163" s="180"/>
      <c r="I163" s="180"/>
      <c r="J163" s="180">
        <v>1.4593972602739733</v>
      </c>
      <c r="K163" s="180">
        <v>1.5301369863013699</v>
      </c>
      <c r="L163" s="180">
        <v>1.5301369863013699</v>
      </c>
      <c r="M163" s="180">
        <v>16.710054794520548</v>
      </c>
      <c r="N163" s="180">
        <v>16.710054794520548</v>
      </c>
      <c r="O163" s="180"/>
      <c r="P163" s="180"/>
      <c r="Q163" s="180"/>
      <c r="R163" s="180">
        <v>70.114575342465699</v>
      </c>
      <c r="S163" s="181">
        <v>1.4878100110458672</v>
      </c>
    </row>
    <row r="164" spans="1:19" x14ac:dyDescent="0.35">
      <c r="A164" s="177" t="s">
        <v>80</v>
      </c>
      <c r="B164" s="178">
        <v>67.837260273972689</v>
      </c>
      <c r="C164" s="178">
        <v>67.837260273972689</v>
      </c>
      <c r="D164" s="178"/>
      <c r="E164" s="178"/>
      <c r="F164" s="178">
        <v>62.243911397260646</v>
      </c>
      <c r="G164" s="178"/>
      <c r="H164" s="178"/>
      <c r="I164" s="178"/>
      <c r="J164" s="178"/>
      <c r="K164" s="178"/>
      <c r="L164" s="178"/>
      <c r="M164" s="178"/>
      <c r="N164" s="178"/>
      <c r="O164" s="178"/>
      <c r="P164" s="178"/>
      <c r="Q164" s="178"/>
      <c r="R164" s="178">
        <v>62.243911397260646</v>
      </c>
      <c r="S164" s="179">
        <v>0.91754754165893015</v>
      </c>
    </row>
    <row r="165" spans="1:19" x14ac:dyDescent="0.35">
      <c r="A165" s="176" t="s">
        <v>249</v>
      </c>
      <c r="B165" s="180">
        <v>67.837260273972632</v>
      </c>
      <c r="C165" s="180">
        <v>67.837260273972632</v>
      </c>
      <c r="D165" s="180"/>
      <c r="E165" s="180"/>
      <c r="F165" s="180">
        <v>62.243911397260476</v>
      </c>
      <c r="G165" s="180"/>
      <c r="H165" s="180"/>
      <c r="I165" s="180"/>
      <c r="J165" s="180"/>
      <c r="K165" s="180"/>
      <c r="L165" s="180"/>
      <c r="M165" s="180"/>
      <c r="N165" s="180"/>
      <c r="O165" s="180"/>
      <c r="P165" s="180"/>
      <c r="Q165" s="180"/>
      <c r="R165" s="180">
        <v>62.243911397260476</v>
      </c>
      <c r="S165" s="181">
        <v>0.91754754165892849</v>
      </c>
    </row>
    <row r="166" spans="1:19" x14ac:dyDescent="0.35">
      <c r="A166" s="177" t="s">
        <v>81</v>
      </c>
      <c r="B166" s="178">
        <v>50.659452054794649</v>
      </c>
      <c r="C166" s="178">
        <v>50.659452054794649</v>
      </c>
      <c r="D166" s="178"/>
      <c r="E166" s="178"/>
      <c r="F166" s="178">
        <v>41.949143095890527</v>
      </c>
      <c r="G166" s="178"/>
      <c r="H166" s="178"/>
      <c r="I166" s="178"/>
      <c r="J166" s="178"/>
      <c r="K166" s="178"/>
      <c r="L166" s="178"/>
      <c r="M166" s="178"/>
      <c r="N166" s="178"/>
      <c r="O166" s="178"/>
      <c r="P166" s="178"/>
      <c r="Q166" s="178"/>
      <c r="R166" s="178">
        <v>41.949143095890527</v>
      </c>
      <c r="S166" s="179">
        <v>0.82806152444201697</v>
      </c>
    </row>
    <row r="167" spans="1:19" x14ac:dyDescent="0.35">
      <c r="A167" s="176" t="s">
        <v>248</v>
      </c>
      <c r="B167" s="180">
        <v>50.659452054794535</v>
      </c>
      <c r="C167" s="180">
        <v>50.659452054794535</v>
      </c>
      <c r="D167" s="180"/>
      <c r="E167" s="180"/>
      <c r="F167" s="180">
        <v>41.949143095890612</v>
      </c>
      <c r="G167" s="180"/>
      <c r="H167" s="180"/>
      <c r="I167" s="180"/>
      <c r="J167" s="180"/>
      <c r="K167" s="180"/>
      <c r="L167" s="180"/>
      <c r="M167" s="180"/>
      <c r="N167" s="180"/>
      <c r="O167" s="180"/>
      <c r="P167" s="180"/>
      <c r="Q167" s="180"/>
      <c r="R167" s="180">
        <v>41.949143095890612</v>
      </c>
      <c r="S167" s="181">
        <v>0.82806152444202052</v>
      </c>
    </row>
    <row r="168" spans="1:19" x14ac:dyDescent="0.35">
      <c r="A168" s="177" t="s">
        <v>82</v>
      </c>
      <c r="B168" s="178">
        <v>999.5295890411212</v>
      </c>
      <c r="C168" s="178">
        <v>999.5295890411212</v>
      </c>
      <c r="D168" s="178"/>
      <c r="E168" s="178">
        <v>887.89647945204649</v>
      </c>
      <c r="F168" s="178">
        <v>199.73091875342334</v>
      </c>
      <c r="G168" s="178"/>
      <c r="H168" s="178"/>
      <c r="I168" s="178"/>
      <c r="J168" s="178">
        <v>8.598246575342511</v>
      </c>
      <c r="K168" s="178">
        <v>60.457260273972459</v>
      </c>
      <c r="L168" s="178">
        <v>60.457260273972459</v>
      </c>
      <c r="M168" s="178">
        <v>82.188517808219871</v>
      </c>
      <c r="N168" s="178">
        <v>82.188517808219871</v>
      </c>
      <c r="O168" s="178"/>
      <c r="P168" s="178"/>
      <c r="Q168" s="178">
        <v>2.1654794520547953</v>
      </c>
      <c r="R168" s="178">
        <v>1241.0369023150595</v>
      </c>
      <c r="S168" s="179">
        <v>1.2416209744282036</v>
      </c>
    </row>
    <row r="169" spans="1:19" x14ac:dyDescent="0.35">
      <c r="A169" s="176" t="s">
        <v>247</v>
      </c>
      <c r="B169" s="180">
        <v>999.52958904119293</v>
      </c>
      <c r="C169" s="180">
        <v>999.52958904119293</v>
      </c>
      <c r="D169" s="180"/>
      <c r="E169" s="180">
        <v>887.89647945203774</v>
      </c>
      <c r="F169" s="180">
        <v>199.73091875342544</v>
      </c>
      <c r="G169" s="180"/>
      <c r="H169" s="180"/>
      <c r="I169" s="180"/>
      <c r="J169" s="180">
        <v>8.5982465753425164</v>
      </c>
      <c r="K169" s="180">
        <v>60.457260273972452</v>
      </c>
      <c r="L169" s="180">
        <v>60.457260273972452</v>
      </c>
      <c r="M169" s="180">
        <v>82.188517808219871</v>
      </c>
      <c r="N169" s="180">
        <v>82.188517808219871</v>
      </c>
      <c r="O169" s="180"/>
      <c r="P169" s="180"/>
      <c r="Q169" s="180">
        <v>2.1654794520547953</v>
      </c>
      <c r="R169" s="180">
        <v>1241.0369023150527</v>
      </c>
      <c r="S169" s="181">
        <v>1.2416209744281084</v>
      </c>
    </row>
    <row r="170" spans="1:19" x14ac:dyDescent="0.35">
      <c r="A170" s="177" t="s">
        <v>83</v>
      </c>
      <c r="B170" s="178">
        <v>1485.4036986301348</v>
      </c>
      <c r="C170" s="178">
        <v>1485.4036986301348</v>
      </c>
      <c r="D170" s="178"/>
      <c r="E170" s="178">
        <v>1121.7021260273982</v>
      </c>
      <c r="F170" s="178">
        <v>138.45073832876813</v>
      </c>
      <c r="G170" s="178"/>
      <c r="H170" s="178">
        <v>17.366136986301374</v>
      </c>
      <c r="I170" s="178"/>
      <c r="J170" s="178">
        <v>37.373194520547976</v>
      </c>
      <c r="K170" s="178">
        <v>73.124383561643398</v>
      </c>
      <c r="L170" s="178">
        <v>73.124383561643398</v>
      </c>
      <c r="M170" s="178"/>
      <c r="N170" s="178"/>
      <c r="O170" s="178">
        <v>-3.4316785972602739</v>
      </c>
      <c r="P170" s="178">
        <v>1.0721213260273954</v>
      </c>
      <c r="Q170" s="178"/>
      <c r="R170" s="178">
        <v>1385.6570221534262</v>
      </c>
      <c r="S170" s="179">
        <v>0.93284877601375515</v>
      </c>
    </row>
    <row r="171" spans="1:19" x14ac:dyDescent="0.35">
      <c r="A171" s="176" t="s">
        <v>246</v>
      </c>
      <c r="B171" s="180">
        <v>1485.4036986301962</v>
      </c>
      <c r="C171" s="180">
        <v>1485.4036986301962</v>
      </c>
      <c r="D171" s="180"/>
      <c r="E171" s="180">
        <v>1121.7021260274025</v>
      </c>
      <c r="F171" s="180">
        <v>138.45073832876858</v>
      </c>
      <c r="G171" s="180"/>
      <c r="H171" s="180">
        <v>17.366136986301374</v>
      </c>
      <c r="I171" s="180"/>
      <c r="J171" s="180">
        <v>37.373194520547827</v>
      </c>
      <c r="K171" s="180">
        <v>73.124383561642958</v>
      </c>
      <c r="L171" s="180">
        <v>73.124383561642958</v>
      </c>
      <c r="M171" s="180"/>
      <c r="N171" s="180"/>
      <c r="O171" s="180">
        <v>-3.4316785972602739</v>
      </c>
      <c r="P171" s="180">
        <v>1.0721213260273967</v>
      </c>
      <c r="Q171" s="180"/>
      <c r="R171" s="180">
        <v>1385.6570221534303</v>
      </c>
      <c r="S171" s="181">
        <v>0.93284877601371941</v>
      </c>
    </row>
    <row r="172" spans="1:19" x14ac:dyDescent="0.35">
      <c r="A172" s="177" t="s">
        <v>84</v>
      </c>
      <c r="B172" s="178">
        <v>98.367123287671106</v>
      </c>
      <c r="C172" s="178">
        <v>98.367123287671106</v>
      </c>
      <c r="D172" s="178"/>
      <c r="E172" s="178">
        <v>84.397972602739557</v>
      </c>
      <c r="F172" s="178">
        <v>8.2397490410958891</v>
      </c>
      <c r="G172" s="178"/>
      <c r="H172" s="178"/>
      <c r="I172" s="178"/>
      <c r="J172" s="178">
        <v>1.1400000000000006</v>
      </c>
      <c r="K172" s="178">
        <v>2.0013698630136978</v>
      </c>
      <c r="L172" s="178">
        <v>2.0013698630136978</v>
      </c>
      <c r="M172" s="178">
        <v>13.929150684931503</v>
      </c>
      <c r="N172" s="178">
        <v>13.929150684931503</v>
      </c>
      <c r="O172" s="178"/>
      <c r="P172" s="178">
        <v>0.101953479452055</v>
      </c>
      <c r="Q172" s="178"/>
      <c r="R172" s="178">
        <v>109.81019567123269</v>
      </c>
      <c r="S172" s="179">
        <v>1.1163302534536537</v>
      </c>
    </row>
    <row r="173" spans="1:19" x14ac:dyDescent="0.35">
      <c r="A173" s="176" t="s">
        <v>245</v>
      </c>
      <c r="B173" s="180">
        <v>98.367123287671077</v>
      </c>
      <c r="C173" s="180">
        <v>98.367123287671077</v>
      </c>
      <c r="D173" s="180"/>
      <c r="E173" s="180">
        <v>84.3979726027396</v>
      </c>
      <c r="F173" s="180">
        <v>8.2397490410958714</v>
      </c>
      <c r="G173" s="180"/>
      <c r="H173" s="180"/>
      <c r="I173" s="180"/>
      <c r="J173" s="180">
        <v>1.1400000000000008</v>
      </c>
      <c r="K173" s="180">
        <v>2.0013698630136978</v>
      </c>
      <c r="L173" s="180">
        <v>2.0013698630136978</v>
      </c>
      <c r="M173" s="180">
        <v>13.929150684931503</v>
      </c>
      <c r="N173" s="180">
        <v>13.929150684931503</v>
      </c>
      <c r="O173" s="180"/>
      <c r="P173" s="180">
        <v>0.101953479452055</v>
      </c>
      <c r="Q173" s="180"/>
      <c r="R173" s="180">
        <v>109.81019567123272</v>
      </c>
      <c r="S173" s="181">
        <v>1.1163302534536543</v>
      </c>
    </row>
    <row r="174" spans="1:19" x14ac:dyDescent="0.35">
      <c r="A174" s="177" t="s">
        <v>85</v>
      </c>
      <c r="B174" s="178">
        <v>5503.2835068484856</v>
      </c>
      <c r="C174" s="178">
        <v>5489.5848767114994</v>
      </c>
      <c r="D174" s="178">
        <v>13.698630136986319</v>
      </c>
      <c r="E174" s="178">
        <v>4911.935902191849</v>
      </c>
      <c r="F174" s="178">
        <v>661.45945826302307</v>
      </c>
      <c r="G174" s="178">
        <v>110.98839068493186</v>
      </c>
      <c r="H174" s="178">
        <v>38.068799999999946</v>
      </c>
      <c r="I174" s="178">
        <v>13.013698630137004</v>
      </c>
      <c r="J174" s="178">
        <v>101.8758279452061</v>
      </c>
      <c r="K174" s="178">
        <v>362.73456164385061</v>
      </c>
      <c r="L174" s="178">
        <v>362.73456164385061</v>
      </c>
      <c r="M174" s="178">
        <v>229.94190684931823</v>
      </c>
      <c r="N174" s="178">
        <v>229.94190684931823</v>
      </c>
      <c r="O174" s="178">
        <v>-0.7597000000000006</v>
      </c>
      <c r="P174" s="178">
        <v>4.2139420273972448</v>
      </c>
      <c r="Q174" s="178">
        <v>1.0349939726027402</v>
      </c>
      <c r="R174" s="178">
        <v>6434.5077822083158</v>
      </c>
      <c r="S174" s="179">
        <v>1.1692124845469047</v>
      </c>
    </row>
    <row r="175" spans="1:19" x14ac:dyDescent="0.35">
      <c r="A175" s="176" t="s">
        <v>252</v>
      </c>
      <c r="B175" s="180">
        <v>5503.2835068490485</v>
      </c>
      <c r="C175" s="180">
        <v>5489.5848767120624</v>
      </c>
      <c r="D175" s="180">
        <v>13.69863013698634</v>
      </c>
      <c r="E175" s="180">
        <v>4911.9359021920545</v>
      </c>
      <c r="F175" s="180">
        <v>661.45945826304478</v>
      </c>
      <c r="G175" s="180">
        <v>110.98839068493174</v>
      </c>
      <c r="H175" s="180">
        <v>38.068799999999946</v>
      </c>
      <c r="I175" s="180">
        <v>13.013698630137043</v>
      </c>
      <c r="J175" s="180">
        <v>101.87582794520449</v>
      </c>
      <c r="K175" s="180">
        <v>362.73456164386948</v>
      </c>
      <c r="L175" s="180">
        <v>362.73456164386948</v>
      </c>
      <c r="M175" s="180">
        <v>229.94190684931823</v>
      </c>
      <c r="N175" s="180">
        <v>229.94190684931823</v>
      </c>
      <c r="O175" s="180">
        <v>-0.7597000000000006</v>
      </c>
      <c r="P175" s="180">
        <v>4.2139420273972634</v>
      </c>
      <c r="Q175" s="180">
        <v>1.0349939726027402</v>
      </c>
      <c r="R175" s="180">
        <v>6434.5077822085605</v>
      </c>
      <c r="S175" s="181">
        <v>1.1692124845468288</v>
      </c>
    </row>
    <row r="176" spans="1:19" x14ac:dyDescent="0.35">
      <c r="A176" s="177" t="s">
        <v>516</v>
      </c>
      <c r="B176" s="178">
        <v>145.31986301369881</v>
      </c>
      <c r="C176" s="178">
        <v>135.07054794520565</v>
      </c>
      <c r="D176" s="178">
        <v>10.24931506849315</v>
      </c>
      <c r="E176" s="178">
        <v>95.327815068493365</v>
      </c>
      <c r="F176" s="178">
        <v>27.344598904109599</v>
      </c>
      <c r="G176" s="178"/>
      <c r="H176" s="178"/>
      <c r="I176" s="178">
        <v>9.7368493150684916</v>
      </c>
      <c r="J176" s="178"/>
      <c r="K176" s="178">
        <v>0.20684931506849313</v>
      </c>
      <c r="L176" s="178">
        <v>0.20684931506849313</v>
      </c>
      <c r="M176" s="178">
        <v>0.23732876712328771</v>
      </c>
      <c r="N176" s="178">
        <v>0.23732876712328771</v>
      </c>
      <c r="O176" s="178"/>
      <c r="P176" s="178"/>
      <c r="Q176" s="178"/>
      <c r="R176" s="178">
        <v>132.85344136986325</v>
      </c>
      <c r="S176" s="179">
        <v>0.91421391828135434</v>
      </c>
    </row>
    <row r="177" spans="1:19" x14ac:dyDescent="0.35">
      <c r="A177" s="176" t="s">
        <v>242</v>
      </c>
      <c r="B177" s="180">
        <v>145.31986301369693</v>
      </c>
      <c r="C177" s="180">
        <v>135.07054794520374</v>
      </c>
      <c r="D177" s="180">
        <v>10.249315068493178</v>
      </c>
      <c r="E177" s="180">
        <v>95.327815068492995</v>
      </c>
      <c r="F177" s="180">
        <v>27.34459890410978</v>
      </c>
      <c r="G177" s="180"/>
      <c r="H177" s="180"/>
      <c r="I177" s="180">
        <v>9.7368493150685005</v>
      </c>
      <c r="J177" s="180"/>
      <c r="K177" s="180">
        <v>0.20684931506849313</v>
      </c>
      <c r="L177" s="180">
        <v>0.20684931506849313</v>
      </c>
      <c r="M177" s="180">
        <v>0.23732876712328771</v>
      </c>
      <c r="N177" s="180">
        <v>0.23732876712328771</v>
      </c>
      <c r="O177" s="180"/>
      <c r="P177" s="180"/>
      <c r="Q177" s="180"/>
      <c r="R177" s="180">
        <v>132.85344136986308</v>
      </c>
      <c r="S177" s="181">
        <v>0.914213918281365</v>
      </c>
    </row>
    <row r="178" spans="1:19" x14ac:dyDescent="0.35">
      <c r="A178" s="177" t="s">
        <v>87</v>
      </c>
      <c r="B178" s="178">
        <v>50.416986301369874</v>
      </c>
      <c r="C178" s="178">
        <v>50.416986301369874</v>
      </c>
      <c r="D178" s="178"/>
      <c r="E178" s="178">
        <v>48.558997260274026</v>
      </c>
      <c r="F178" s="178"/>
      <c r="G178" s="178"/>
      <c r="H178" s="178">
        <v>0.54849315068493154</v>
      </c>
      <c r="I178" s="178"/>
      <c r="J178" s="178">
        <v>0.37989041095890425</v>
      </c>
      <c r="K178" s="178">
        <v>1.7479452054794518</v>
      </c>
      <c r="L178" s="178">
        <v>1.7479452054794518</v>
      </c>
      <c r="M178" s="178">
        <v>9.8349041095890399</v>
      </c>
      <c r="N178" s="178">
        <v>9.8349041095890399</v>
      </c>
      <c r="O178" s="178"/>
      <c r="P178" s="178"/>
      <c r="Q178" s="178"/>
      <c r="R178" s="178">
        <v>61.07023013698636</v>
      </c>
      <c r="S178" s="179">
        <v>1.211302670332896</v>
      </c>
    </row>
    <row r="179" spans="1:19" x14ac:dyDescent="0.35">
      <c r="A179" s="176" t="s">
        <v>241</v>
      </c>
      <c r="B179" s="180">
        <v>50.416986301369775</v>
      </c>
      <c r="C179" s="180">
        <v>50.416986301369775</v>
      </c>
      <c r="D179" s="180"/>
      <c r="E179" s="180">
        <v>48.558997260274026</v>
      </c>
      <c r="F179" s="180"/>
      <c r="G179" s="180"/>
      <c r="H179" s="180">
        <v>0.54849315068493154</v>
      </c>
      <c r="I179" s="180"/>
      <c r="J179" s="180">
        <v>0.37989041095890413</v>
      </c>
      <c r="K179" s="180">
        <v>1.7479452054794515</v>
      </c>
      <c r="L179" s="180">
        <v>1.7479452054794515</v>
      </c>
      <c r="M179" s="180">
        <v>9.8349041095890399</v>
      </c>
      <c r="N179" s="180">
        <v>9.8349041095890399</v>
      </c>
      <c r="O179" s="180"/>
      <c r="P179" s="180"/>
      <c r="Q179" s="180"/>
      <c r="R179" s="180">
        <v>61.07023013698636</v>
      </c>
      <c r="S179" s="181">
        <v>1.2113026703328982</v>
      </c>
    </row>
    <row r="180" spans="1:19" x14ac:dyDescent="0.35">
      <c r="A180" s="177" t="s">
        <v>88</v>
      </c>
      <c r="B180" s="178">
        <v>294.22465753424524</v>
      </c>
      <c r="C180" s="178">
        <v>294.22465753424524</v>
      </c>
      <c r="D180" s="178"/>
      <c r="E180" s="178">
        <v>181.63237123287644</v>
      </c>
      <c r="F180" s="178">
        <v>68.300033178082614</v>
      </c>
      <c r="G180" s="178"/>
      <c r="H180" s="178">
        <v>1.6876712328767123E-2</v>
      </c>
      <c r="I180" s="178"/>
      <c r="J180" s="178">
        <v>7.3479452054794503E-2</v>
      </c>
      <c r="K180" s="178"/>
      <c r="L180" s="178"/>
      <c r="M180" s="178"/>
      <c r="N180" s="178"/>
      <c r="O180" s="178"/>
      <c r="P180" s="178">
        <v>4.0605387879451973</v>
      </c>
      <c r="Q180" s="178"/>
      <c r="R180" s="178">
        <v>254.08329936328784</v>
      </c>
      <c r="S180" s="179">
        <v>0.86356902066821073</v>
      </c>
    </row>
    <row r="181" spans="1:19" x14ac:dyDescent="0.35">
      <c r="A181" s="176" t="s">
        <v>240</v>
      </c>
      <c r="B181" s="180">
        <v>294.2246575342383</v>
      </c>
      <c r="C181" s="180">
        <v>294.2246575342383</v>
      </c>
      <c r="D181" s="180"/>
      <c r="E181" s="180">
        <v>181.63237123287792</v>
      </c>
      <c r="F181" s="180">
        <v>68.300033178083041</v>
      </c>
      <c r="G181" s="180"/>
      <c r="H181" s="180">
        <v>1.6876712328767123E-2</v>
      </c>
      <c r="I181" s="180"/>
      <c r="J181" s="180">
        <v>7.3479452054794503E-2</v>
      </c>
      <c r="K181" s="180"/>
      <c r="L181" s="180"/>
      <c r="M181" s="180"/>
      <c r="N181" s="180"/>
      <c r="O181" s="180"/>
      <c r="P181" s="180">
        <v>4.0605387879451964</v>
      </c>
      <c r="Q181" s="180"/>
      <c r="R181" s="180">
        <v>254.08329936328971</v>
      </c>
      <c r="S181" s="181">
        <v>0.86356902066823737</v>
      </c>
    </row>
    <row r="182" spans="1:19" x14ac:dyDescent="0.35">
      <c r="A182" s="177" t="s">
        <v>89</v>
      </c>
      <c r="B182" s="178">
        <v>131.22465753424663</v>
      </c>
      <c r="C182" s="178">
        <v>131.22465753424663</v>
      </c>
      <c r="D182" s="178"/>
      <c r="E182" s="178">
        <v>152.48273972602718</v>
      </c>
      <c r="F182" s="178">
        <v>22.957827123287672</v>
      </c>
      <c r="G182" s="178"/>
      <c r="H182" s="178"/>
      <c r="I182" s="178"/>
      <c r="J182" s="178">
        <v>0.25199999999999989</v>
      </c>
      <c r="K182" s="178">
        <v>0.19999999999999998</v>
      </c>
      <c r="L182" s="178">
        <v>0.19999999999999998</v>
      </c>
      <c r="M182" s="178"/>
      <c r="N182" s="178"/>
      <c r="O182" s="178"/>
      <c r="P182" s="178"/>
      <c r="Q182" s="178"/>
      <c r="R182" s="178">
        <v>175.89256684931485</v>
      </c>
      <c r="S182" s="179">
        <v>1.3403926529845271</v>
      </c>
    </row>
    <row r="183" spans="1:19" x14ac:dyDescent="0.35">
      <c r="A183" s="176" t="s">
        <v>244</v>
      </c>
      <c r="B183" s="180">
        <v>131.22465753424643</v>
      </c>
      <c r="C183" s="180">
        <v>131.22465753424643</v>
      </c>
      <c r="D183" s="180"/>
      <c r="E183" s="180">
        <v>152.48273972602732</v>
      </c>
      <c r="F183" s="180">
        <v>22.957827123287736</v>
      </c>
      <c r="G183" s="180"/>
      <c r="H183" s="180"/>
      <c r="I183" s="180"/>
      <c r="J183" s="180">
        <v>0.25199999999999984</v>
      </c>
      <c r="K183" s="180">
        <v>0.19999999999999998</v>
      </c>
      <c r="L183" s="180">
        <v>0.19999999999999998</v>
      </c>
      <c r="M183" s="180"/>
      <c r="N183" s="180"/>
      <c r="O183" s="180"/>
      <c r="P183" s="180"/>
      <c r="Q183" s="180"/>
      <c r="R183" s="180">
        <v>175.89256684931505</v>
      </c>
      <c r="S183" s="181">
        <v>1.3403926529845305</v>
      </c>
    </row>
    <row r="184" spans="1:19" x14ac:dyDescent="0.35">
      <c r="A184" s="177" t="s">
        <v>90</v>
      </c>
      <c r="B184" s="178">
        <v>61.048082191780772</v>
      </c>
      <c r="C184" s="178">
        <v>61.048082191780772</v>
      </c>
      <c r="D184" s="178"/>
      <c r="E184" s="178">
        <v>50.502584931506888</v>
      </c>
      <c r="F184" s="178">
        <v>6.5166756164383548</v>
      </c>
      <c r="G184" s="178"/>
      <c r="H184" s="178"/>
      <c r="I184" s="178"/>
      <c r="J184" s="178">
        <v>0.92778082191780864</v>
      </c>
      <c r="K184" s="178"/>
      <c r="L184" s="178"/>
      <c r="M184" s="178">
        <v>9.3159452054794496</v>
      </c>
      <c r="N184" s="178">
        <v>9.3159452054794496</v>
      </c>
      <c r="O184" s="178"/>
      <c r="P184" s="178"/>
      <c r="Q184" s="178"/>
      <c r="R184" s="178">
        <v>67.262986575342495</v>
      </c>
      <c r="S184" s="179">
        <v>1.1018034336285583</v>
      </c>
    </row>
    <row r="185" spans="1:19" x14ac:dyDescent="0.35">
      <c r="A185" s="176" t="s">
        <v>243</v>
      </c>
      <c r="B185" s="180">
        <v>61.048082191780715</v>
      </c>
      <c r="C185" s="180">
        <v>61.048082191780715</v>
      </c>
      <c r="D185" s="180"/>
      <c r="E185" s="180">
        <v>50.502584931506902</v>
      </c>
      <c r="F185" s="180">
        <v>6.5166756164383441</v>
      </c>
      <c r="G185" s="180"/>
      <c r="H185" s="180"/>
      <c r="I185" s="180"/>
      <c r="J185" s="180">
        <v>0.92778082191780864</v>
      </c>
      <c r="K185" s="180"/>
      <c r="L185" s="180"/>
      <c r="M185" s="180">
        <v>9.3159452054794496</v>
      </c>
      <c r="N185" s="180">
        <v>9.3159452054794496</v>
      </c>
      <c r="O185" s="180"/>
      <c r="P185" s="180"/>
      <c r="Q185" s="180"/>
      <c r="R185" s="180">
        <v>67.262986575342495</v>
      </c>
      <c r="S185" s="181">
        <v>1.1018034336285594</v>
      </c>
    </row>
    <row r="186" spans="1:19" x14ac:dyDescent="0.35">
      <c r="A186" s="177" t="s">
        <v>91</v>
      </c>
      <c r="B186" s="178">
        <v>180.32931506849278</v>
      </c>
      <c r="C186" s="178">
        <v>180.32931506849278</v>
      </c>
      <c r="D186" s="178"/>
      <c r="E186" s="178">
        <v>113.39116164383559</v>
      </c>
      <c r="F186" s="178">
        <v>31.119461260274015</v>
      </c>
      <c r="G186" s="178"/>
      <c r="H186" s="178"/>
      <c r="I186" s="178"/>
      <c r="J186" s="178">
        <v>4.0474520547945181</v>
      </c>
      <c r="K186" s="178">
        <v>12.15342465753425</v>
      </c>
      <c r="L186" s="178">
        <v>12.15342465753425</v>
      </c>
      <c r="M186" s="178"/>
      <c r="N186" s="178"/>
      <c r="O186" s="178"/>
      <c r="P186" s="178"/>
      <c r="Q186" s="178"/>
      <c r="R186" s="178">
        <v>160.71149961643837</v>
      </c>
      <c r="S186" s="179">
        <v>0.89121116860781535</v>
      </c>
    </row>
    <row r="187" spans="1:19" x14ac:dyDescent="0.35">
      <c r="A187" s="176" t="s">
        <v>238</v>
      </c>
      <c r="B187" s="180">
        <v>180.32931506849175</v>
      </c>
      <c r="C187" s="180">
        <v>180.32931506849175</v>
      </c>
      <c r="D187" s="180"/>
      <c r="E187" s="180">
        <v>113.39116164383536</v>
      </c>
      <c r="F187" s="180">
        <v>31.119461260274178</v>
      </c>
      <c r="G187" s="180"/>
      <c r="H187" s="180"/>
      <c r="I187" s="180"/>
      <c r="J187" s="180">
        <v>4.047452054794519</v>
      </c>
      <c r="K187" s="180">
        <v>12.153424657534284</v>
      </c>
      <c r="L187" s="180">
        <v>12.153424657534284</v>
      </c>
      <c r="M187" s="180"/>
      <c r="N187" s="180"/>
      <c r="O187" s="180"/>
      <c r="P187" s="180"/>
      <c r="Q187" s="180"/>
      <c r="R187" s="180">
        <v>160.71149961643835</v>
      </c>
      <c r="S187" s="181">
        <v>0.89121116860782024</v>
      </c>
    </row>
    <row r="188" spans="1:19" x14ac:dyDescent="0.35">
      <c r="A188" s="177" t="s">
        <v>92</v>
      </c>
      <c r="B188" s="178">
        <v>1864.2160821917719</v>
      </c>
      <c r="C188" s="178">
        <v>1862.724986301361</v>
      </c>
      <c r="D188" s="178">
        <v>1.4910958904109579</v>
      </c>
      <c r="E188" s="178">
        <v>1372.5257205479411</v>
      </c>
      <c r="F188" s="178">
        <v>288.94686876164548</v>
      </c>
      <c r="G188" s="178">
        <v>67.353271232876807</v>
      </c>
      <c r="H188" s="178">
        <v>17.57941643835618</v>
      </c>
      <c r="I188" s="178">
        <v>1.4165410958904101</v>
      </c>
      <c r="J188" s="178">
        <v>36.14077808219168</v>
      </c>
      <c r="K188" s="178">
        <v>98.781479452054583</v>
      </c>
      <c r="L188" s="178">
        <v>98.781479452054583</v>
      </c>
      <c r="M188" s="178"/>
      <c r="N188" s="178"/>
      <c r="O188" s="178"/>
      <c r="P188" s="178">
        <v>1.6809803506849395</v>
      </c>
      <c r="Q188" s="178"/>
      <c r="R188" s="178">
        <v>1884.425055961641</v>
      </c>
      <c r="S188" s="179">
        <v>1.0108404674559557</v>
      </c>
    </row>
    <row r="189" spans="1:19" x14ac:dyDescent="0.35">
      <c r="A189" s="176" t="s">
        <v>237</v>
      </c>
      <c r="B189" s="180">
        <v>1864.2160821916652</v>
      </c>
      <c r="C189" s="180">
        <v>1862.7249863012544</v>
      </c>
      <c r="D189" s="180">
        <v>1.4910958904109652</v>
      </c>
      <c r="E189" s="180">
        <v>1372.525720547939</v>
      </c>
      <c r="F189" s="180">
        <v>288.94686876164468</v>
      </c>
      <c r="G189" s="180">
        <v>67.353271232876693</v>
      </c>
      <c r="H189" s="180">
        <v>17.57941643835618</v>
      </c>
      <c r="I189" s="180">
        <v>1.4165410958904041</v>
      </c>
      <c r="J189" s="180">
        <v>36.140778082191623</v>
      </c>
      <c r="K189" s="180">
        <v>98.781479452051315</v>
      </c>
      <c r="L189" s="180">
        <v>98.781479452051315</v>
      </c>
      <c r="M189" s="180"/>
      <c r="N189" s="180"/>
      <c r="O189" s="180"/>
      <c r="P189" s="180">
        <v>1.6809803506849439</v>
      </c>
      <c r="Q189" s="180"/>
      <c r="R189" s="180">
        <v>1884.4250559616351</v>
      </c>
      <c r="S189" s="181">
        <v>1.0108404674560103</v>
      </c>
    </row>
    <row r="190" spans="1:19" x14ac:dyDescent="0.35">
      <c r="A190" s="177" t="s">
        <v>93</v>
      </c>
      <c r="B190" s="178">
        <v>372.39457534245929</v>
      </c>
      <c r="C190" s="178">
        <v>104.7685479452029</v>
      </c>
      <c r="D190" s="178">
        <v>267.62602739725639</v>
      </c>
      <c r="E190" s="178"/>
      <c r="F190" s="178">
        <v>75.999104679452046</v>
      </c>
      <c r="G190" s="178"/>
      <c r="H190" s="178"/>
      <c r="I190" s="178">
        <v>254.24472602739917</v>
      </c>
      <c r="J190" s="178"/>
      <c r="K190" s="178"/>
      <c r="L190" s="178"/>
      <c r="M190" s="178"/>
      <c r="N190" s="178"/>
      <c r="O190" s="178"/>
      <c r="P190" s="178"/>
      <c r="Q190" s="178"/>
      <c r="R190" s="178">
        <v>330.24383070685121</v>
      </c>
      <c r="S190" s="179">
        <v>0.88681160407117732</v>
      </c>
    </row>
    <row r="191" spans="1:19" x14ac:dyDescent="0.35">
      <c r="A191" s="176" t="s">
        <v>236</v>
      </c>
      <c r="B191" s="180">
        <v>372.39457534245906</v>
      </c>
      <c r="C191" s="180">
        <v>104.76854794520267</v>
      </c>
      <c r="D191" s="180">
        <v>267.62602739725639</v>
      </c>
      <c r="E191" s="180"/>
      <c r="F191" s="180">
        <v>75.999104679452415</v>
      </c>
      <c r="G191" s="180"/>
      <c r="H191" s="180"/>
      <c r="I191" s="180">
        <v>254.24472602739917</v>
      </c>
      <c r="J191" s="180"/>
      <c r="K191" s="180"/>
      <c r="L191" s="180"/>
      <c r="M191" s="180"/>
      <c r="N191" s="180"/>
      <c r="O191" s="180"/>
      <c r="P191" s="180"/>
      <c r="Q191" s="180"/>
      <c r="R191" s="180">
        <v>330.24383070685155</v>
      </c>
      <c r="S191" s="181">
        <v>0.88681160407117876</v>
      </c>
    </row>
    <row r="192" spans="1:19" x14ac:dyDescent="0.35">
      <c r="A192" s="177" t="s">
        <v>456</v>
      </c>
      <c r="B192" s="178">
        <v>1734.3632876712641</v>
      </c>
      <c r="C192" s="178">
        <v>1734.3632876712641</v>
      </c>
      <c r="D192" s="178"/>
      <c r="E192" s="178">
        <v>348.45933698629688</v>
      </c>
      <c r="F192" s="178">
        <v>933.91970794522183</v>
      </c>
      <c r="G192" s="178"/>
      <c r="H192" s="178">
        <v>0.25526027397260276</v>
      </c>
      <c r="I192" s="178"/>
      <c r="J192" s="178">
        <v>5.7978082191780814E-2</v>
      </c>
      <c r="K192" s="178">
        <v>2.8932876712328781</v>
      </c>
      <c r="L192" s="178">
        <v>2.8932876712328781</v>
      </c>
      <c r="M192" s="178"/>
      <c r="N192" s="178"/>
      <c r="O192" s="178"/>
      <c r="P192" s="178"/>
      <c r="Q192" s="178"/>
      <c r="R192" s="178">
        <v>1285.5855709589162</v>
      </c>
      <c r="S192" s="179">
        <v>0.74124353305764246</v>
      </c>
    </row>
    <row r="193" spans="1:19" x14ac:dyDescent="0.35">
      <c r="A193" s="176" t="s">
        <v>259</v>
      </c>
      <c r="B193" s="180">
        <v>1734.3632876710678</v>
      </c>
      <c r="C193" s="180">
        <v>1734.3632876710678</v>
      </c>
      <c r="D193" s="180"/>
      <c r="E193" s="180">
        <v>348.45933698629659</v>
      </c>
      <c r="F193" s="180">
        <v>933.91970794523991</v>
      </c>
      <c r="G193" s="180"/>
      <c r="H193" s="180">
        <v>0.25526027397260276</v>
      </c>
      <c r="I193" s="180"/>
      <c r="J193" s="180">
        <v>5.7978082191780814E-2</v>
      </c>
      <c r="K193" s="180">
        <v>2.8932876712328786</v>
      </c>
      <c r="L193" s="180">
        <v>2.8932876712328786</v>
      </c>
      <c r="M193" s="180"/>
      <c r="N193" s="180"/>
      <c r="O193" s="180"/>
      <c r="P193" s="180"/>
      <c r="Q193" s="180"/>
      <c r="R193" s="180">
        <v>1285.5855709589339</v>
      </c>
      <c r="S193" s="181">
        <v>0.7412435330577366</v>
      </c>
    </row>
    <row r="194" spans="1:19" x14ac:dyDescent="0.35">
      <c r="A194" s="177" t="s">
        <v>94</v>
      </c>
      <c r="B194" s="178">
        <v>43.584931506849266</v>
      </c>
      <c r="C194" s="178">
        <v>40.173972602739674</v>
      </c>
      <c r="D194" s="178">
        <v>3.4109589041095889</v>
      </c>
      <c r="E194" s="178"/>
      <c r="F194" s="178">
        <v>29.1421997260274</v>
      </c>
      <c r="G194" s="178"/>
      <c r="H194" s="178"/>
      <c r="I194" s="178">
        <v>3.2404109589041097</v>
      </c>
      <c r="J194" s="178">
        <v>1.9232876712328765E-2</v>
      </c>
      <c r="K194" s="178">
        <v>0.50684931506849307</v>
      </c>
      <c r="L194" s="178">
        <v>0.50684931506849307</v>
      </c>
      <c r="M194" s="178"/>
      <c r="N194" s="178"/>
      <c r="O194" s="178"/>
      <c r="P194" s="178"/>
      <c r="Q194" s="178"/>
      <c r="R194" s="178">
        <v>32.90869287671233</v>
      </c>
      <c r="S194" s="179">
        <v>0.75504748404940847</v>
      </c>
    </row>
    <row r="195" spans="1:19" x14ac:dyDescent="0.35">
      <c r="A195" s="176" t="s">
        <v>235</v>
      </c>
      <c r="B195" s="180">
        <v>43.584931506849344</v>
      </c>
      <c r="C195" s="180">
        <v>40.173972602739752</v>
      </c>
      <c r="D195" s="180">
        <v>3.410958904109588</v>
      </c>
      <c r="E195" s="180"/>
      <c r="F195" s="180">
        <v>29.142199726027521</v>
      </c>
      <c r="G195" s="180"/>
      <c r="H195" s="180"/>
      <c r="I195" s="180">
        <v>3.2404109589041084</v>
      </c>
      <c r="J195" s="180">
        <v>1.9232876712328765E-2</v>
      </c>
      <c r="K195" s="180">
        <v>0.50684931506849307</v>
      </c>
      <c r="L195" s="180">
        <v>0.50684931506849307</v>
      </c>
      <c r="M195" s="180"/>
      <c r="N195" s="180"/>
      <c r="O195" s="180"/>
      <c r="P195" s="180"/>
      <c r="Q195" s="180"/>
      <c r="R195" s="180">
        <v>32.90869287671245</v>
      </c>
      <c r="S195" s="181">
        <v>0.7550474840494098</v>
      </c>
    </row>
    <row r="196" spans="1:19" x14ac:dyDescent="0.35">
      <c r="A196" s="177" t="s">
        <v>95</v>
      </c>
      <c r="B196" s="178">
        <v>54.121643835616482</v>
      </c>
      <c r="C196" s="178">
        <v>54.121643835616482</v>
      </c>
      <c r="D196" s="178"/>
      <c r="E196" s="178">
        <v>47.96530410958912</v>
      </c>
      <c r="F196" s="178">
        <v>2.8888806575342456</v>
      </c>
      <c r="G196" s="178"/>
      <c r="H196" s="178">
        <v>1.0632328767123287</v>
      </c>
      <c r="I196" s="178"/>
      <c r="J196" s="178">
        <v>0.80843835616438386</v>
      </c>
      <c r="K196" s="178">
        <v>1.7561643835616438</v>
      </c>
      <c r="L196" s="178">
        <v>1.7561643835616438</v>
      </c>
      <c r="M196" s="178">
        <v>6.792876712328769</v>
      </c>
      <c r="N196" s="178">
        <v>6.792876712328769</v>
      </c>
      <c r="O196" s="178"/>
      <c r="P196" s="178"/>
      <c r="Q196" s="178"/>
      <c r="R196" s="178">
        <v>61.274897095890488</v>
      </c>
      <c r="S196" s="179">
        <v>1.1321699186004135</v>
      </c>
    </row>
    <row r="197" spans="1:19" x14ac:dyDescent="0.35">
      <c r="A197" s="176" t="s">
        <v>234</v>
      </c>
      <c r="B197" s="180">
        <v>54.121643835616425</v>
      </c>
      <c r="C197" s="180">
        <v>54.121643835616425</v>
      </c>
      <c r="D197" s="180"/>
      <c r="E197" s="180">
        <v>47.965304109589155</v>
      </c>
      <c r="F197" s="180">
        <v>2.8888806575342474</v>
      </c>
      <c r="G197" s="180"/>
      <c r="H197" s="180">
        <v>1.0632328767123287</v>
      </c>
      <c r="I197" s="180"/>
      <c r="J197" s="180">
        <v>0.80843835616438398</v>
      </c>
      <c r="K197" s="180">
        <v>1.7561643835616438</v>
      </c>
      <c r="L197" s="180">
        <v>1.7561643835616438</v>
      </c>
      <c r="M197" s="180">
        <v>6.792876712328769</v>
      </c>
      <c r="N197" s="180">
        <v>6.792876712328769</v>
      </c>
      <c r="O197" s="180"/>
      <c r="P197" s="180"/>
      <c r="Q197" s="180"/>
      <c r="R197" s="180">
        <v>61.274897095890523</v>
      </c>
      <c r="S197" s="181">
        <v>1.1321699186004155</v>
      </c>
    </row>
    <row r="198" spans="1:19" x14ac:dyDescent="0.35">
      <c r="A198" s="177" t="s">
        <v>96</v>
      </c>
      <c r="B198" s="178">
        <v>3279.1775342466722</v>
      </c>
      <c r="C198" s="178">
        <v>3277.6515068494118</v>
      </c>
      <c r="D198" s="178">
        <v>1.526027397260274</v>
      </c>
      <c r="E198" s="178">
        <v>3091.2731506848058</v>
      </c>
      <c r="F198" s="178">
        <v>397.88023364383537</v>
      </c>
      <c r="G198" s="178">
        <v>102.4543013698635</v>
      </c>
      <c r="H198" s="178"/>
      <c r="I198" s="178">
        <v>1.4497260273972603</v>
      </c>
      <c r="J198" s="178">
        <v>75.631199999999168</v>
      </c>
      <c r="K198" s="178">
        <v>197.91276712328698</v>
      </c>
      <c r="L198" s="178">
        <v>197.91276712328698</v>
      </c>
      <c r="M198" s="178">
        <v>208.77135890411171</v>
      </c>
      <c r="N198" s="178">
        <v>208.77135890411171</v>
      </c>
      <c r="O198" s="178">
        <v>-0.50577287671232907</v>
      </c>
      <c r="P198" s="178">
        <v>0.89844267945205469</v>
      </c>
      <c r="Q198" s="178"/>
      <c r="R198" s="178">
        <v>4075.7654075560404</v>
      </c>
      <c r="S198" s="179">
        <v>1.242923069882633</v>
      </c>
    </row>
    <row r="199" spans="1:19" x14ac:dyDescent="0.35">
      <c r="A199" s="176" t="s">
        <v>233</v>
      </c>
      <c r="B199" s="180">
        <v>3279.1775342466162</v>
      </c>
      <c r="C199" s="180">
        <v>3277.6515068493559</v>
      </c>
      <c r="D199" s="180">
        <v>1.5260273972602738</v>
      </c>
      <c r="E199" s="180">
        <v>3091.2731506847153</v>
      </c>
      <c r="F199" s="180">
        <v>397.8802336438348</v>
      </c>
      <c r="G199" s="180">
        <v>102.45430136986367</v>
      </c>
      <c r="H199" s="180"/>
      <c r="I199" s="180">
        <v>1.4497260273972608</v>
      </c>
      <c r="J199" s="180">
        <v>75.631199999998998</v>
      </c>
      <c r="K199" s="180">
        <v>197.91276712328866</v>
      </c>
      <c r="L199" s="180">
        <v>197.91276712328866</v>
      </c>
      <c r="M199" s="180">
        <v>208.77135890411171</v>
      </c>
      <c r="N199" s="180">
        <v>208.77135890411171</v>
      </c>
      <c r="O199" s="180">
        <v>-0.50577287671232907</v>
      </c>
      <c r="P199" s="180">
        <v>0.89844267945205403</v>
      </c>
      <c r="Q199" s="180"/>
      <c r="R199" s="180">
        <v>4075.7654075559503</v>
      </c>
      <c r="S199" s="181">
        <v>1.2429230698826279</v>
      </c>
    </row>
    <row r="200" spans="1:19" x14ac:dyDescent="0.35">
      <c r="A200" s="177" t="s">
        <v>97</v>
      </c>
      <c r="B200" s="178">
        <v>2026.730547945207</v>
      </c>
      <c r="C200" s="178">
        <v>2014.3847945205496</v>
      </c>
      <c r="D200" s="178">
        <v>12.345753424657532</v>
      </c>
      <c r="E200" s="178">
        <v>1676.1541712328469</v>
      </c>
      <c r="F200" s="178">
        <v>259.74235495890525</v>
      </c>
      <c r="G200" s="178">
        <v>45.19583561643838</v>
      </c>
      <c r="H200" s="178">
        <v>0.23627397260273972</v>
      </c>
      <c r="I200" s="178">
        <v>11.728465753424661</v>
      </c>
      <c r="J200" s="178">
        <v>41.943994520547882</v>
      </c>
      <c r="K200" s="178">
        <v>150.21208219177979</v>
      </c>
      <c r="L200" s="178">
        <v>150.21208219177979</v>
      </c>
      <c r="M200" s="178"/>
      <c r="N200" s="178"/>
      <c r="O200" s="178"/>
      <c r="P200" s="178">
        <v>2.1138140219178045</v>
      </c>
      <c r="Q200" s="178"/>
      <c r="R200" s="178">
        <v>2187.3269922684631</v>
      </c>
      <c r="S200" s="179">
        <v>1.0792391689591276</v>
      </c>
    </row>
    <row r="201" spans="1:19" x14ac:dyDescent="0.35">
      <c r="A201" s="176" t="s">
        <v>231</v>
      </c>
      <c r="B201" s="180">
        <v>2026.7305479450617</v>
      </c>
      <c r="C201" s="180">
        <v>2014.3847945204043</v>
      </c>
      <c r="D201" s="180">
        <v>12.345753424657545</v>
      </c>
      <c r="E201" s="180">
        <v>1676.1541712328385</v>
      </c>
      <c r="F201" s="180">
        <v>259.74235495890429</v>
      </c>
      <c r="G201" s="180">
        <v>45.195835616438366</v>
      </c>
      <c r="H201" s="180">
        <v>0.23627397260273972</v>
      </c>
      <c r="I201" s="180">
        <v>11.728465753424684</v>
      </c>
      <c r="J201" s="180">
        <v>41.943994520547363</v>
      </c>
      <c r="K201" s="180">
        <v>150.21208219178098</v>
      </c>
      <c r="L201" s="180">
        <v>150.21208219178098</v>
      </c>
      <c r="M201" s="180"/>
      <c r="N201" s="180"/>
      <c r="O201" s="180"/>
      <c r="P201" s="180">
        <v>2.1138140219178054</v>
      </c>
      <c r="Q201" s="180"/>
      <c r="R201" s="180">
        <v>2187.3269922684544</v>
      </c>
      <c r="S201" s="181">
        <v>1.0792391689592009</v>
      </c>
    </row>
    <row r="202" spans="1:19" x14ac:dyDescent="0.35">
      <c r="A202" s="177" t="s">
        <v>98</v>
      </c>
      <c r="B202" s="178">
        <v>4006.5620547946482</v>
      </c>
      <c r="C202" s="178">
        <v>3996.4815068494427</v>
      </c>
      <c r="D202" s="178">
        <v>10.080547945205486</v>
      </c>
      <c r="E202" s="178">
        <v>2966.8573068492874</v>
      </c>
      <c r="F202" s="178">
        <v>768.44524619178935</v>
      </c>
      <c r="G202" s="178">
        <v>77.008438356164547</v>
      </c>
      <c r="H202" s="178">
        <v>31.411780821917755</v>
      </c>
      <c r="I202" s="178">
        <v>9.5765205479452007</v>
      </c>
      <c r="J202" s="178">
        <v>58.615199999999248</v>
      </c>
      <c r="K202" s="178">
        <v>158.59643835616248</v>
      </c>
      <c r="L202" s="178">
        <v>158.59643835616248</v>
      </c>
      <c r="M202" s="178">
        <v>96.833095890411627</v>
      </c>
      <c r="N202" s="178">
        <v>96.833095890411627</v>
      </c>
      <c r="O202" s="178">
        <v>-0.65115753424657541</v>
      </c>
      <c r="P202" s="178">
        <v>0.94502655616438402</v>
      </c>
      <c r="Q202" s="178">
        <v>12.885917808219167</v>
      </c>
      <c r="R202" s="178">
        <v>4180.5238138438144</v>
      </c>
      <c r="S202" s="179">
        <v>1.0434192099535775</v>
      </c>
    </row>
    <row r="203" spans="1:19" x14ac:dyDescent="0.35">
      <c r="A203" s="176" t="s">
        <v>230</v>
      </c>
      <c r="B203" s="180">
        <v>4006.5620547951639</v>
      </c>
      <c r="C203" s="180">
        <v>3996.4815068499584</v>
      </c>
      <c r="D203" s="180">
        <v>10.080547945205439</v>
      </c>
      <c r="E203" s="180">
        <v>2966.8573068491728</v>
      </c>
      <c r="F203" s="180">
        <v>768.44524619181379</v>
      </c>
      <c r="G203" s="180">
        <v>77.008438356164518</v>
      </c>
      <c r="H203" s="180">
        <v>31.411780821917755</v>
      </c>
      <c r="I203" s="180">
        <v>9.576520547945222</v>
      </c>
      <c r="J203" s="180">
        <v>58.615199999999049</v>
      </c>
      <c r="K203" s="180">
        <v>158.59643835616447</v>
      </c>
      <c r="L203" s="180">
        <v>158.59643835616447</v>
      </c>
      <c r="M203" s="180">
        <v>96.833095890411627</v>
      </c>
      <c r="N203" s="180">
        <v>96.833095890411627</v>
      </c>
      <c r="O203" s="180">
        <v>-0.65115753424657541</v>
      </c>
      <c r="P203" s="180">
        <v>0.94502655616438291</v>
      </c>
      <c r="Q203" s="180">
        <v>12.885917808219167</v>
      </c>
      <c r="R203" s="180">
        <v>4180.5238138437262</v>
      </c>
      <c r="S203" s="181">
        <v>1.0434192099534212</v>
      </c>
    </row>
    <row r="204" spans="1:19" x14ac:dyDescent="0.35">
      <c r="A204" s="177" t="s">
        <v>99</v>
      </c>
      <c r="B204" s="178">
        <v>2455.303808219217</v>
      </c>
      <c r="C204" s="178">
        <v>2455.0443835616829</v>
      </c>
      <c r="D204" s="178">
        <v>0.25942465753424676</v>
      </c>
      <c r="E204" s="178">
        <v>1919.9825753424504</v>
      </c>
      <c r="F204" s="178">
        <v>392.10176909589177</v>
      </c>
      <c r="G204" s="178">
        <v>47.6391616438356</v>
      </c>
      <c r="H204" s="178">
        <v>16.887260273972608</v>
      </c>
      <c r="I204" s="178">
        <v>0.24645342465753428</v>
      </c>
      <c r="J204" s="178">
        <v>40.18094794520524</v>
      </c>
      <c r="K204" s="178">
        <v>123.53727123287563</v>
      </c>
      <c r="L204" s="178">
        <v>123.53727123287563</v>
      </c>
      <c r="M204" s="178">
        <v>10.61358904109589</v>
      </c>
      <c r="N204" s="178">
        <v>10.61358904109589</v>
      </c>
      <c r="O204" s="178">
        <v>-3.3902251013698637</v>
      </c>
      <c r="P204" s="178">
        <v>1.303179189041096</v>
      </c>
      <c r="Q204" s="178">
        <v>1.8042739726027404</v>
      </c>
      <c r="R204" s="178">
        <v>2550.9062560602592</v>
      </c>
      <c r="S204" s="179">
        <v>1.0389371154482021</v>
      </c>
    </row>
    <row r="205" spans="1:19" x14ac:dyDescent="0.35">
      <c r="A205" s="176" t="s">
        <v>229</v>
      </c>
      <c r="B205" s="180">
        <v>2455.3038082188814</v>
      </c>
      <c r="C205" s="180">
        <v>2455.0443835613473</v>
      </c>
      <c r="D205" s="180">
        <v>0.25942465753424665</v>
      </c>
      <c r="E205" s="180">
        <v>1919.9825753424682</v>
      </c>
      <c r="F205" s="180">
        <v>392.10176909589075</v>
      </c>
      <c r="G205" s="180">
        <v>47.639161643835592</v>
      </c>
      <c r="H205" s="180">
        <v>16.887260273972608</v>
      </c>
      <c r="I205" s="180">
        <v>0.24645342465753428</v>
      </c>
      <c r="J205" s="180">
        <v>40.180947945204956</v>
      </c>
      <c r="K205" s="180">
        <v>123.53727123287308</v>
      </c>
      <c r="L205" s="180">
        <v>123.53727123287308</v>
      </c>
      <c r="M205" s="180">
        <v>10.61358904109589</v>
      </c>
      <c r="N205" s="180">
        <v>10.61358904109589</v>
      </c>
      <c r="O205" s="180">
        <v>-3.3902251013698637</v>
      </c>
      <c r="P205" s="180">
        <v>1.3031791890411004</v>
      </c>
      <c r="Q205" s="180">
        <v>1.8042739726027404</v>
      </c>
      <c r="R205" s="180">
        <v>2550.9062560602729</v>
      </c>
      <c r="S205" s="181">
        <v>1.0389371154483498</v>
      </c>
    </row>
    <row r="206" spans="1:19" x14ac:dyDescent="0.35">
      <c r="A206" s="177" t="s">
        <v>100</v>
      </c>
      <c r="B206" s="178">
        <v>6288.6972602733404</v>
      </c>
      <c r="C206" s="178">
        <v>6219.8167123281346</v>
      </c>
      <c r="D206" s="178">
        <v>68.88054794520545</v>
      </c>
      <c r="E206" s="178">
        <v>4812.8259589040626</v>
      </c>
      <c r="F206" s="178">
        <v>1072.6191282739753</v>
      </c>
      <c r="G206" s="178">
        <v>280.91793972602704</v>
      </c>
      <c r="H206" s="178">
        <v>25.787616438356146</v>
      </c>
      <c r="I206" s="178">
        <v>65.43652054794525</v>
      </c>
      <c r="J206" s="178">
        <v>118.28128767123292</v>
      </c>
      <c r="K206" s="178">
        <v>572.33592054796384</v>
      </c>
      <c r="L206" s="178">
        <v>572.33592054796384</v>
      </c>
      <c r="M206" s="178">
        <v>30.407178082191781</v>
      </c>
      <c r="N206" s="178">
        <v>30.407178082191781</v>
      </c>
      <c r="O206" s="178">
        <v>-1.4099232131506851</v>
      </c>
      <c r="P206" s="178">
        <v>2.1077632109589057</v>
      </c>
      <c r="Q206" s="178">
        <v>4.4887671232876709</v>
      </c>
      <c r="R206" s="178">
        <v>6983.7981573128509</v>
      </c>
      <c r="S206" s="179">
        <v>1.1105317792018021</v>
      </c>
    </row>
    <row r="207" spans="1:19" x14ac:dyDescent="0.35">
      <c r="A207" s="176" t="s">
        <v>228</v>
      </c>
      <c r="B207" s="180">
        <v>6288.6972602741289</v>
      </c>
      <c r="C207" s="180">
        <v>6219.8167123289231</v>
      </c>
      <c r="D207" s="180">
        <v>68.880547945205421</v>
      </c>
      <c r="E207" s="180">
        <v>4812.82595890419</v>
      </c>
      <c r="F207" s="180">
        <v>1072.6191282739858</v>
      </c>
      <c r="G207" s="180">
        <v>280.91793972602778</v>
      </c>
      <c r="H207" s="180">
        <v>25.787616438356146</v>
      </c>
      <c r="I207" s="180">
        <v>65.436520547946003</v>
      </c>
      <c r="J207" s="180">
        <v>118.28128767123133</v>
      </c>
      <c r="K207" s="180">
        <v>572.33592054792405</v>
      </c>
      <c r="L207" s="180">
        <v>572.33592054792405</v>
      </c>
      <c r="M207" s="180">
        <v>30.407178082191781</v>
      </c>
      <c r="N207" s="180">
        <v>30.407178082191781</v>
      </c>
      <c r="O207" s="180">
        <v>-1.4099232131506851</v>
      </c>
      <c r="P207" s="180">
        <v>2.1077632109589173</v>
      </c>
      <c r="Q207" s="180">
        <v>4.4887671232876709</v>
      </c>
      <c r="R207" s="180">
        <v>6983.7981573129482</v>
      </c>
      <c r="S207" s="181">
        <v>1.1105317792016782</v>
      </c>
    </row>
    <row r="208" spans="1:19" x14ac:dyDescent="0.35">
      <c r="A208" s="177" t="s">
        <v>101</v>
      </c>
      <c r="B208" s="178">
        <v>4863.643835615977</v>
      </c>
      <c r="C208" s="178">
        <v>4850.322739725566</v>
      </c>
      <c r="D208" s="178">
        <v>13.321095890410971</v>
      </c>
      <c r="E208" s="178">
        <v>4070.5131876711284</v>
      </c>
      <c r="F208" s="178">
        <v>718.6763634575467</v>
      </c>
      <c r="G208" s="178">
        <v>153.94093150684938</v>
      </c>
      <c r="H208" s="178">
        <v>39.082246575342438</v>
      </c>
      <c r="I208" s="178">
        <v>12.655041095890409</v>
      </c>
      <c r="J208" s="178">
        <v>116.70304109589166</v>
      </c>
      <c r="K208" s="178">
        <v>339.17895890412171</v>
      </c>
      <c r="L208" s="178">
        <v>339.17895890412171</v>
      </c>
      <c r="M208" s="178">
        <v>93.039780821918313</v>
      </c>
      <c r="N208" s="178">
        <v>93.039780821918313</v>
      </c>
      <c r="O208" s="178">
        <v>-0.1199394246575342</v>
      </c>
      <c r="P208" s="178">
        <v>5.2602147863013622</v>
      </c>
      <c r="Q208" s="178"/>
      <c r="R208" s="178">
        <v>5548.9298264903337</v>
      </c>
      <c r="S208" s="179">
        <v>1.1408997068938469</v>
      </c>
    </row>
    <row r="209" spans="1:19" x14ac:dyDescent="0.35">
      <c r="A209" s="176" t="s">
        <v>227</v>
      </c>
      <c r="B209" s="180">
        <v>4863.6438356161962</v>
      </c>
      <c r="C209" s="180">
        <v>4850.3227397257851</v>
      </c>
      <c r="D209" s="180">
        <v>13.321095890410971</v>
      </c>
      <c r="E209" s="180">
        <v>4070.5131876709938</v>
      </c>
      <c r="F209" s="180">
        <v>718.67636345758547</v>
      </c>
      <c r="G209" s="180">
        <v>153.9409315068491</v>
      </c>
      <c r="H209" s="180">
        <v>39.082246575342438</v>
      </c>
      <c r="I209" s="180">
        <v>12.655041095890432</v>
      </c>
      <c r="J209" s="180">
        <v>116.70304109589023</v>
      </c>
      <c r="K209" s="180">
        <v>339.17895890413666</v>
      </c>
      <c r="L209" s="180">
        <v>339.17895890413666</v>
      </c>
      <c r="M209" s="180">
        <v>93.039780821918313</v>
      </c>
      <c r="N209" s="180">
        <v>93.039780821918313</v>
      </c>
      <c r="O209" s="180">
        <v>-0.1199394246575342</v>
      </c>
      <c r="P209" s="180">
        <v>5.260214786301364</v>
      </c>
      <c r="Q209" s="180"/>
      <c r="R209" s="180">
        <v>5548.9298264902509</v>
      </c>
      <c r="S209" s="181">
        <v>1.1408997068937785</v>
      </c>
    </row>
    <row r="210" spans="1:19" x14ac:dyDescent="0.35">
      <c r="A210" s="177" t="s">
        <v>102</v>
      </c>
      <c r="B210" s="178">
        <v>2120.790136986278</v>
      </c>
      <c r="C210" s="178">
        <v>2119.5490410958669</v>
      </c>
      <c r="D210" s="178">
        <v>1.2410958904109579</v>
      </c>
      <c r="E210" s="178">
        <v>1634.1526219178354</v>
      </c>
      <c r="F210" s="178">
        <v>228.08386569863126</v>
      </c>
      <c r="G210" s="178">
        <v>139.02023013698678</v>
      </c>
      <c r="H210" s="178">
        <v>46.436273972602748</v>
      </c>
      <c r="I210" s="178">
        <v>1.1790410958904078</v>
      </c>
      <c r="J210" s="178">
        <v>20.46286027397262</v>
      </c>
      <c r="K210" s="178">
        <v>206.82113972602613</v>
      </c>
      <c r="L210" s="178">
        <v>206.82113972602613</v>
      </c>
      <c r="M210" s="178"/>
      <c r="N210" s="178"/>
      <c r="O210" s="178"/>
      <c r="P210" s="178">
        <v>0.41536388712328742</v>
      </c>
      <c r="Q210" s="178"/>
      <c r="R210" s="178">
        <v>2276.5713967090687</v>
      </c>
      <c r="S210" s="179">
        <v>1.0734543493983624</v>
      </c>
    </row>
    <row r="211" spans="1:19" x14ac:dyDescent="0.35">
      <c r="A211" s="176" t="s">
        <v>226</v>
      </c>
      <c r="B211" s="180">
        <v>2120.7901369859774</v>
      </c>
      <c r="C211" s="180">
        <v>2119.5490410955663</v>
      </c>
      <c r="D211" s="180">
        <v>1.2410958904109579</v>
      </c>
      <c r="E211" s="180">
        <v>1634.1526219178381</v>
      </c>
      <c r="F211" s="180">
        <v>228.08386569863137</v>
      </c>
      <c r="G211" s="180">
        <v>139.02023013698701</v>
      </c>
      <c r="H211" s="180">
        <v>46.436273972602748</v>
      </c>
      <c r="I211" s="180">
        <v>1.1790410958904078</v>
      </c>
      <c r="J211" s="180">
        <v>20.462860273972513</v>
      </c>
      <c r="K211" s="180">
        <v>206.8211397260294</v>
      </c>
      <c r="L211" s="180">
        <v>206.8211397260294</v>
      </c>
      <c r="M211" s="180"/>
      <c r="N211" s="180"/>
      <c r="O211" s="180"/>
      <c r="P211" s="180">
        <v>0.41536388712328731</v>
      </c>
      <c r="Q211" s="180"/>
      <c r="R211" s="180">
        <v>2276.5713967090751</v>
      </c>
      <c r="S211" s="181">
        <v>1.0734543493985176</v>
      </c>
    </row>
    <row r="212" spans="1:19" x14ac:dyDescent="0.35">
      <c r="A212" s="177" t="s">
        <v>151</v>
      </c>
      <c r="B212" s="178">
        <v>76.515068493150821</v>
      </c>
      <c r="C212" s="178"/>
      <c r="D212" s="178">
        <v>76.515068493150821</v>
      </c>
      <c r="E212" s="178"/>
      <c r="F212" s="178"/>
      <c r="G212" s="178"/>
      <c r="H212" s="178"/>
      <c r="I212" s="178">
        <v>72.689315068493173</v>
      </c>
      <c r="J212" s="178"/>
      <c r="K212" s="178"/>
      <c r="L212" s="178"/>
      <c r="M212" s="178">
        <v>10.212657534246578</v>
      </c>
      <c r="N212" s="178">
        <v>10.212657534246578</v>
      </c>
      <c r="O212" s="178"/>
      <c r="P212" s="178"/>
      <c r="Q212" s="178"/>
      <c r="R212" s="178">
        <v>82.901972602739747</v>
      </c>
      <c r="S212" s="179">
        <v>1.0834725007161254</v>
      </c>
    </row>
    <row r="213" spans="1:19" x14ac:dyDescent="0.35">
      <c r="A213" s="176" t="s">
        <v>225</v>
      </c>
      <c r="B213" s="180">
        <v>76.515068493150764</v>
      </c>
      <c r="C213" s="180"/>
      <c r="D213" s="180">
        <v>76.515068493150764</v>
      </c>
      <c r="E213" s="180"/>
      <c r="F213" s="180"/>
      <c r="G213" s="180"/>
      <c r="H213" s="180"/>
      <c r="I213" s="180">
        <v>72.689315068493343</v>
      </c>
      <c r="J213" s="180"/>
      <c r="K213" s="180"/>
      <c r="L213" s="180"/>
      <c r="M213" s="180">
        <v>10.212657534246578</v>
      </c>
      <c r="N213" s="180">
        <v>10.212657534246578</v>
      </c>
      <c r="O213" s="180"/>
      <c r="P213" s="180"/>
      <c r="Q213" s="180"/>
      <c r="R213" s="180">
        <v>82.901972602739917</v>
      </c>
      <c r="S213" s="181">
        <v>1.0834725007161286</v>
      </c>
    </row>
    <row r="214" spans="1:19" x14ac:dyDescent="0.35">
      <c r="A214" s="177" t="s">
        <v>103</v>
      </c>
      <c r="B214" s="178">
        <v>30.783561643835629</v>
      </c>
      <c r="C214" s="178">
        <v>30.783561643835629</v>
      </c>
      <c r="D214" s="178"/>
      <c r="E214" s="178">
        <v>32.938410958904107</v>
      </c>
      <c r="F214" s="178"/>
      <c r="G214" s="178"/>
      <c r="H214" s="178"/>
      <c r="I214" s="178"/>
      <c r="J214" s="178">
        <v>1.5170958904109586</v>
      </c>
      <c r="K214" s="178"/>
      <c r="L214" s="178"/>
      <c r="M214" s="178"/>
      <c r="N214" s="178"/>
      <c r="O214" s="178"/>
      <c r="P214" s="178"/>
      <c r="Q214" s="178"/>
      <c r="R214" s="178">
        <v>34.455506849315064</v>
      </c>
      <c r="S214" s="179">
        <v>1.119282662869348</v>
      </c>
    </row>
    <row r="215" spans="1:19" x14ac:dyDescent="0.35">
      <c r="A215" s="176" t="s">
        <v>223</v>
      </c>
      <c r="B215" s="180">
        <v>30.78356164383564</v>
      </c>
      <c r="C215" s="180">
        <v>30.78356164383564</v>
      </c>
      <c r="D215" s="180"/>
      <c r="E215" s="180">
        <v>32.938410958904107</v>
      </c>
      <c r="F215" s="180"/>
      <c r="G215" s="180"/>
      <c r="H215" s="180"/>
      <c r="I215" s="180"/>
      <c r="J215" s="180">
        <v>1.5170958904109584</v>
      </c>
      <c r="K215" s="180"/>
      <c r="L215" s="180"/>
      <c r="M215" s="180"/>
      <c r="N215" s="180"/>
      <c r="O215" s="180"/>
      <c r="P215" s="180"/>
      <c r="Q215" s="180"/>
      <c r="R215" s="180">
        <v>34.455506849315064</v>
      </c>
      <c r="S215" s="181">
        <v>1.1192826628693475</v>
      </c>
    </row>
    <row r="216" spans="1:19" x14ac:dyDescent="0.35">
      <c r="A216" s="177" t="s">
        <v>133</v>
      </c>
      <c r="B216" s="178">
        <v>25.265890410958924</v>
      </c>
      <c r="C216" s="178">
        <v>25.265890410958924</v>
      </c>
      <c r="D216" s="178"/>
      <c r="E216" s="178"/>
      <c r="F216" s="178">
        <v>25.142087547945181</v>
      </c>
      <c r="G216" s="178"/>
      <c r="H216" s="178"/>
      <c r="I216" s="178"/>
      <c r="J216" s="178"/>
      <c r="K216" s="178"/>
      <c r="L216" s="178"/>
      <c r="M216" s="178"/>
      <c r="N216" s="178"/>
      <c r="O216" s="178"/>
      <c r="P216" s="178"/>
      <c r="Q216" s="178"/>
      <c r="R216" s="178">
        <v>25.142087547945181</v>
      </c>
      <c r="S216" s="179">
        <v>0.99509999999999821</v>
      </c>
    </row>
    <row r="217" spans="1:19" x14ac:dyDescent="0.35">
      <c r="A217" s="176" t="s">
        <v>222</v>
      </c>
      <c r="B217" s="180">
        <v>25.265890410958939</v>
      </c>
      <c r="C217" s="180">
        <v>25.265890410958939</v>
      </c>
      <c r="D217" s="180"/>
      <c r="E217" s="180"/>
      <c r="F217" s="180">
        <v>25.142087547945181</v>
      </c>
      <c r="G217" s="180"/>
      <c r="H217" s="180"/>
      <c r="I217" s="180"/>
      <c r="J217" s="180"/>
      <c r="K217" s="180"/>
      <c r="L217" s="180"/>
      <c r="M217" s="180"/>
      <c r="N217" s="180"/>
      <c r="O217" s="180"/>
      <c r="P217" s="180"/>
      <c r="Q217" s="180"/>
      <c r="R217" s="180">
        <v>25.142087547945181</v>
      </c>
      <c r="S217" s="181">
        <v>0.99509999999999765</v>
      </c>
    </row>
    <row r="218" spans="1:19" x14ac:dyDescent="0.35">
      <c r="A218" s="177" t="s">
        <v>104</v>
      </c>
      <c r="B218" s="178">
        <v>107.07561643835629</v>
      </c>
      <c r="C218" s="178">
        <v>107.07561643835629</v>
      </c>
      <c r="D218" s="178"/>
      <c r="E218" s="178">
        <v>103.86334794520555</v>
      </c>
      <c r="F218" s="178"/>
      <c r="G218" s="178"/>
      <c r="H218" s="178"/>
      <c r="I218" s="178"/>
      <c r="J218" s="178">
        <v>2.4547397260273924</v>
      </c>
      <c r="K218" s="178">
        <v>15.347945205479473</v>
      </c>
      <c r="L218" s="178">
        <v>15.347945205479473</v>
      </c>
      <c r="M218" s="178">
        <v>36.371424657534234</v>
      </c>
      <c r="N218" s="178">
        <v>36.371424657534234</v>
      </c>
      <c r="O218" s="178"/>
      <c r="P218" s="178"/>
      <c r="Q218" s="178"/>
      <c r="R218" s="178">
        <v>158.03745753424664</v>
      </c>
      <c r="S218" s="179">
        <v>1.4759425422054817</v>
      </c>
    </row>
    <row r="219" spans="1:19" x14ac:dyDescent="0.35">
      <c r="A219" s="176" t="s">
        <v>221</v>
      </c>
      <c r="B219" s="180">
        <v>107.07561643835629</v>
      </c>
      <c r="C219" s="180">
        <v>107.07561643835629</v>
      </c>
      <c r="D219" s="180"/>
      <c r="E219" s="180">
        <v>103.86334794520553</v>
      </c>
      <c r="F219" s="180"/>
      <c r="G219" s="180"/>
      <c r="H219" s="180"/>
      <c r="I219" s="180"/>
      <c r="J219" s="180">
        <v>2.4547397260273938</v>
      </c>
      <c r="K219" s="180">
        <v>15.34794520547949</v>
      </c>
      <c r="L219" s="180">
        <v>15.34794520547949</v>
      </c>
      <c r="M219" s="180">
        <v>36.371424657534234</v>
      </c>
      <c r="N219" s="180">
        <v>36.371424657534234</v>
      </c>
      <c r="O219" s="180"/>
      <c r="P219" s="180"/>
      <c r="Q219" s="180"/>
      <c r="R219" s="180">
        <v>158.03745753424667</v>
      </c>
      <c r="S219" s="181">
        <v>1.4759425422054819</v>
      </c>
    </row>
    <row r="220" spans="1:19" x14ac:dyDescent="0.35">
      <c r="A220" s="177" t="s">
        <v>105</v>
      </c>
      <c r="B220" s="178">
        <v>306.25698630136577</v>
      </c>
      <c r="C220" s="178">
        <v>306.25698630136577</v>
      </c>
      <c r="D220" s="178"/>
      <c r="E220" s="178">
        <v>204.56799999999993</v>
      </c>
      <c r="F220" s="178">
        <v>120.51934717808365</v>
      </c>
      <c r="G220" s="178"/>
      <c r="H220" s="178"/>
      <c r="I220" s="178"/>
      <c r="J220" s="178">
        <v>2.92964383561644</v>
      </c>
      <c r="K220" s="178">
        <v>0.64383561643835607</v>
      </c>
      <c r="L220" s="178">
        <v>0.64383561643835607</v>
      </c>
      <c r="M220" s="178">
        <v>59.233041095890584</v>
      </c>
      <c r="N220" s="178">
        <v>59.233041095890584</v>
      </c>
      <c r="O220" s="178"/>
      <c r="P220" s="178"/>
      <c r="Q220" s="178"/>
      <c r="R220" s="178">
        <v>387.89386772602899</v>
      </c>
      <c r="S220" s="179">
        <v>1.2665633277809707</v>
      </c>
    </row>
    <row r="221" spans="1:19" x14ac:dyDescent="0.35">
      <c r="A221" s="176" t="s">
        <v>220</v>
      </c>
      <c r="B221" s="180">
        <v>306.25698630136321</v>
      </c>
      <c r="C221" s="180">
        <v>306.25698630136321</v>
      </c>
      <c r="D221" s="180"/>
      <c r="E221" s="180">
        <v>204.56799999999996</v>
      </c>
      <c r="F221" s="180">
        <v>120.51934717808339</v>
      </c>
      <c r="G221" s="180"/>
      <c r="H221" s="180"/>
      <c r="I221" s="180"/>
      <c r="J221" s="180">
        <v>2.92964383561644</v>
      </c>
      <c r="K221" s="180">
        <v>0.64383561643835607</v>
      </c>
      <c r="L221" s="180">
        <v>0.64383561643835607</v>
      </c>
      <c r="M221" s="180">
        <v>59.233041095890584</v>
      </c>
      <c r="N221" s="180">
        <v>59.233041095890584</v>
      </c>
      <c r="O221" s="180"/>
      <c r="P221" s="180"/>
      <c r="Q221" s="180"/>
      <c r="R221" s="180">
        <v>387.89386772602876</v>
      </c>
      <c r="S221" s="181">
        <v>1.2665633277809805</v>
      </c>
    </row>
    <row r="222" spans="1:19" x14ac:dyDescent="0.35">
      <c r="A222" s="177" t="s">
        <v>106</v>
      </c>
      <c r="B222" s="178">
        <v>267.31643835616455</v>
      </c>
      <c r="C222" s="178">
        <v>267.31643835616455</v>
      </c>
      <c r="D222" s="178"/>
      <c r="E222" s="178"/>
      <c r="F222" s="178">
        <v>193.91134438356147</v>
      </c>
      <c r="G222" s="178"/>
      <c r="H222" s="178"/>
      <c r="I222" s="178"/>
      <c r="J222" s="178"/>
      <c r="K222" s="178">
        <v>0.50410958904109582</v>
      </c>
      <c r="L222" s="178">
        <v>0.50410958904109582</v>
      </c>
      <c r="M222" s="178"/>
      <c r="N222" s="178"/>
      <c r="O222" s="178"/>
      <c r="P222" s="178">
        <v>2.4032402630137044</v>
      </c>
      <c r="Q222" s="178"/>
      <c r="R222" s="178">
        <v>196.81869423561628</v>
      </c>
      <c r="S222" s="179">
        <v>0.7362760608585579</v>
      </c>
    </row>
    <row r="223" spans="1:19" x14ac:dyDescent="0.35">
      <c r="A223" s="176" t="s">
        <v>219</v>
      </c>
      <c r="B223" s="180">
        <v>267.31643835615228</v>
      </c>
      <c r="C223" s="180">
        <v>267.31643835615228</v>
      </c>
      <c r="D223" s="180"/>
      <c r="E223" s="180"/>
      <c r="F223" s="180">
        <v>193.91134438356056</v>
      </c>
      <c r="G223" s="180"/>
      <c r="H223" s="180"/>
      <c r="I223" s="180"/>
      <c r="J223" s="180"/>
      <c r="K223" s="180">
        <v>0.50410958904109582</v>
      </c>
      <c r="L223" s="180">
        <v>0.50410958904109582</v>
      </c>
      <c r="M223" s="180"/>
      <c r="N223" s="180"/>
      <c r="O223" s="180"/>
      <c r="P223" s="180">
        <v>2.403240263013716</v>
      </c>
      <c r="Q223" s="180"/>
      <c r="R223" s="180">
        <v>196.81869423561537</v>
      </c>
      <c r="S223" s="181">
        <v>0.73627606085858799</v>
      </c>
    </row>
    <row r="224" spans="1:19" x14ac:dyDescent="0.35">
      <c r="A224" s="177" t="s">
        <v>453</v>
      </c>
      <c r="B224" s="178">
        <v>809.33369863013968</v>
      </c>
      <c r="C224" s="178">
        <v>761.1534246575369</v>
      </c>
      <c r="D224" s="178">
        <v>48.180273972602805</v>
      </c>
      <c r="E224" s="178">
        <v>238.94363287671169</v>
      </c>
      <c r="F224" s="178">
        <v>367.37034279452007</v>
      </c>
      <c r="G224" s="178"/>
      <c r="H224" s="178"/>
      <c r="I224" s="178">
        <v>45.771260273972672</v>
      </c>
      <c r="J224" s="178">
        <v>2.2915068493150687E-2</v>
      </c>
      <c r="K224" s="178"/>
      <c r="L224" s="178"/>
      <c r="M224" s="178">
        <v>1.4139123287671242</v>
      </c>
      <c r="N224" s="178">
        <v>1.4139123287671242</v>
      </c>
      <c r="O224" s="178"/>
      <c r="P224" s="178">
        <v>5.008956558904095</v>
      </c>
      <c r="Q224" s="178"/>
      <c r="R224" s="178">
        <v>658.53101990136872</v>
      </c>
      <c r="S224" s="179">
        <v>0.81367057990540093</v>
      </c>
    </row>
    <row r="225" spans="1:19" x14ac:dyDescent="0.35">
      <c r="A225" s="176" t="s">
        <v>218</v>
      </c>
      <c r="B225" s="180">
        <v>809.33369863015503</v>
      </c>
      <c r="C225" s="180">
        <v>761.15342465755225</v>
      </c>
      <c r="D225" s="180">
        <v>48.180273972602834</v>
      </c>
      <c r="E225" s="180">
        <v>238.94363287671169</v>
      </c>
      <c r="F225" s="180">
        <v>367.37034279451996</v>
      </c>
      <c r="G225" s="180"/>
      <c r="H225" s="180"/>
      <c r="I225" s="180">
        <v>45.771260273972885</v>
      </c>
      <c r="J225" s="180">
        <v>2.2915068493150687E-2</v>
      </c>
      <c r="K225" s="180"/>
      <c r="L225" s="180"/>
      <c r="M225" s="180">
        <v>1.4139123287671242</v>
      </c>
      <c r="N225" s="180">
        <v>1.4139123287671242</v>
      </c>
      <c r="O225" s="180"/>
      <c r="P225" s="180">
        <v>5.0089565589041012</v>
      </c>
      <c r="Q225" s="180"/>
      <c r="R225" s="180">
        <v>658.53101990136884</v>
      </c>
      <c r="S225" s="181">
        <v>0.8136705799053856</v>
      </c>
    </row>
    <row r="226" spans="1:19" x14ac:dyDescent="0.35">
      <c r="A226" s="177" t="s">
        <v>107</v>
      </c>
      <c r="B226" s="178">
        <v>472.41547945205332</v>
      </c>
      <c r="C226" s="178">
        <v>472.41547945205332</v>
      </c>
      <c r="D226" s="178"/>
      <c r="E226" s="178">
        <v>538.06627808219798</v>
      </c>
      <c r="F226" s="178">
        <v>0.83512216438356268</v>
      </c>
      <c r="G226" s="178"/>
      <c r="H226" s="178"/>
      <c r="I226" s="178"/>
      <c r="J226" s="178">
        <v>15.135591780821921</v>
      </c>
      <c r="K226" s="178">
        <v>28.054794520547873</v>
      </c>
      <c r="L226" s="178">
        <v>28.054794520547873</v>
      </c>
      <c r="M226" s="178">
        <v>22.388843835616438</v>
      </c>
      <c r="N226" s="178">
        <v>22.388843835616438</v>
      </c>
      <c r="O226" s="178"/>
      <c r="P226" s="178"/>
      <c r="Q226" s="178"/>
      <c r="R226" s="178">
        <v>604.48063038356759</v>
      </c>
      <c r="S226" s="179">
        <v>1.2795529712207871</v>
      </c>
    </row>
    <row r="227" spans="1:19" x14ac:dyDescent="0.35">
      <c r="A227" s="176" t="s">
        <v>217</v>
      </c>
      <c r="B227" s="180">
        <v>472.41547945205383</v>
      </c>
      <c r="C227" s="180">
        <v>472.41547945205383</v>
      </c>
      <c r="D227" s="180"/>
      <c r="E227" s="180">
        <v>538.06627808219821</v>
      </c>
      <c r="F227" s="180">
        <v>0.83512216438356268</v>
      </c>
      <c r="G227" s="180"/>
      <c r="H227" s="180"/>
      <c r="I227" s="180"/>
      <c r="J227" s="180">
        <v>15.135591780821889</v>
      </c>
      <c r="K227" s="180">
        <v>28.054794520547887</v>
      </c>
      <c r="L227" s="180">
        <v>28.054794520547887</v>
      </c>
      <c r="M227" s="180">
        <v>22.388843835616438</v>
      </c>
      <c r="N227" s="180">
        <v>22.388843835616438</v>
      </c>
      <c r="O227" s="180"/>
      <c r="P227" s="180"/>
      <c r="Q227" s="180"/>
      <c r="R227" s="180">
        <v>604.48063038356781</v>
      </c>
      <c r="S227" s="181">
        <v>1.2795529712207863</v>
      </c>
    </row>
    <row r="228" spans="1:19" x14ac:dyDescent="0.35">
      <c r="A228" s="177" t="s">
        <v>108</v>
      </c>
      <c r="B228" s="178">
        <v>983.38791780824113</v>
      </c>
      <c r="C228" s="178">
        <v>983.38791780824113</v>
      </c>
      <c r="D228" s="178"/>
      <c r="E228" s="178">
        <v>945.29054219176032</v>
      </c>
      <c r="F228" s="178">
        <v>18.2184706849315</v>
      </c>
      <c r="G228" s="178">
        <v>6.2021917808219182</v>
      </c>
      <c r="H228" s="178">
        <v>1.0210410958904108</v>
      </c>
      <c r="I228" s="178"/>
      <c r="J228" s="178">
        <v>30.168789041095739</v>
      </c>
      <c r="K228" s="178">
        <v>58.901726027397459</v>
      </c>
      <c r="L228" s="178">
        <v>58.901726027397459</v>
      </c>
      <c r="M228" s="178"/>
      <c r="N228" s="178"/>
      <c r="O228" s="178"/>
      <c r="P228" s="178"/>
      <c r="Q228" s="178"/>
      <c r="R228" s="178">
        <v>1059.8027608218974</v>
      </c>
      <c r="S228" s="179">
        <v>1.0777056964295111</v>
      </c>
    </row>
    <row r="229" spans="1:19" x14ac:dyDescent="0.35">
      <c r="A229" s="176" t="s">
        <v>216</v>
      </c>
      <c r="B229" s="180">
        <v>983.38791780828649</v>
      </c>
      <c r="C229" s="180">
        <v>983.38791780828649</v>
      </c>
      <c r="D229" s="180"/>
      <c r="E229" s="180">
        <v>945.29054219177033</v>
      </c>
      <c r="F229" s="180">
        <v>18.218470684931511</v>
      </c>
      <c r="G229" s="180">
        <v>6.2021917808219182</v>
      </c>
      <c r="H229" s="180">
        <v>1.0210410958904108</v>
      </c>
      <c r="I229" s="180"/>
      <c r="J229" s="180">
        <v>30.168789041095835</v>
      </c>
      <c r="K229" s="180">
        <v>58.901726027397373</v>
      </c>
      <c r="L229" s="180">
        <v>58.901726027397373</v>
      </c>
      <c r="M229" s="180"/>
      <c r="N229" s="180"/>
      <c r="O229" s="180"/>
      <c r="P229" s="180"/>
      <c r="Q229" s="180"/>
      <c r="R229" s="180">
        <v>1059.8027608219072</v>
      </c>
      <c r="S229" s="181">
        <v>1.0777056964294713</v>
      </c>
    </row>
    <row r="230" spans="1:19" x14ac:dyDescent="0.35">
      <c r="A230" s="177" t="s">
        <v>109</v>
      </c>
      <c r="B230" s="178">
        <v>1549.7472602739608</v>
      </c>
      <c r="C230" s="178">
        <v>1549.7472602739608</v>
      </c>
      <c r="D230" s="178"/>
      <c r="E230" s="178">
        <v>1374.8038616438271</v>
      </c>
      <c r="F230" s="178">
        <v>188.57626561643903</v>
      </c>
      <c r="G230" s="178">
        <v>46.689424657534289</v>
      </c>
      <c r="H230" s="178">
        <v>8.7801095890410927</v>
      </c>
      <c r="I230" s="178"/>
      <c r="J230" s="178">
        <v>30.265758904109418</v>
      </c>
      <c r="K230" s="178">
        <v>30.588438356164314</v>
      </c>
      <c r="L230" s="178">
        <v>30.588438356164314</v>
      </c>
      <c r="M230" s="178">
        <v>81.688536986301855</v>
      </c>
      <c r="N230" s="178">
        <v>81.688536986301855</v>
      </c>
      <c r="O230" s="178"/>
      <c r="P230" s="178">
        <v>0.37060984109588968</v>
      </c>
      <c r="Q230" s="178"/>
      <c r="R230" s="178">
        <v>1761.7630055945131</v>
      </c>
      <c r="S230" s="179">
        <v>1.1368066592245951</v>
      </c>
    </row>
    <row r="231" spans="1:19" x14ac:dyDescent="0.35">
      <c r="A231" s="176" t="s">
        <v>215</v>
      </c>
      <c r="B231" s="180">
        <v>1549.7472602739672</v>
      </c>
      <c r="C231" s="180">
        <v>1549.7472602739672</v>
      </c>
      <c r="D231" s="180"/>
      <c r="E231" s="180">
        <v>1374.8038616438182</v>
      </c>
      <c r="F231" s="180">
        <v>188.57626561643912</v>
      </c>
      <c r="G231" s="180">
        <v>46.68942465753409</v>
      </c>
      <c r="H231" s="180">
        <v>8.7801095890410927</v>
      </c>
      <c r="I231" s="180"/>
      <c r="J231" s="180">
        <v>30.265758904109603</v>
      </c>
      <c r="K231" s="180">
        <v>30.588438356164286</v>
      </c>
      <c r="L231" s="180">
        <v>30.588438356164286</v>
      </c>
      <c r="M231" s="180">
        <v>81.688536986301855</v>
      </c>
      <c r="N231" s="180">
        <v>81.688536986301855</v>
      </c>
      <c r="O231" s="180"/>
      <c r="P231" s="180">
        <v>0.37060984109588968</v>
      </c>
      <c r="Q231" s="180"/>
      <c r="R231" s="180">
        <v>1761.7630055945042</v>
      </c>
      <c r="S231" s="181">
        <v>1.1368066592245865</v>
      </c>
    </row>
    <row r="232" spans="1:19" x14ac:dyDescent="0.35">
      <c r="A232" s="177" t="s">
        <v>110</v>
      </c>
      <c r="B232" s="178">
        <v>2571.5158904109862</v>
      </c>
      <c r="C232" s="178">
        <v>2557.150958904137</v>
      </c>
      <c r="D232" s="178">
        <v>14.36493150684934</v>
      </c>
      <c r="E232" s="178">
        <v>1346.7389726027495</v>
      </c>
      <c r="F232" s="178">
        <v>837.31122131507823</v>
      </c>
      <c r="G232" s="178">
        <v>121.55452054794638</v>
      </c>
      <c r="H232" s="178"/>
      <c r="I232" s="178">
        <v>13.646684931506872</v>
      </c>
      <c r="J232" s="178">
        <v>0.28323287671232883</v>
      </c>
      <c r="K232" s="178">
        <v>13.04197260273973</v>
      </c>
      <c r="L232" s="178">
        <v>13.04197260273973</v>
      </c>
      <c r="M232" s="178"/>
      <c r="N232" s="178"/>
      <c r="O232" s="178"/>
      <c r="P232" s="178">
        <v>4.0569049479451982</v>
      </c>
      <c r="Q232" s="178"/>
      <c r="R232" s="178">
        <v>2336.6335098246782</v>
      </c>
      <c r="S232" s="179">
        <v>0.90865995366306351</v>
      </c>
    </row>
    <row r="233" spans="1:19" x14ac:dyDescent="0.35">
      <c r="A233" s="176" t="s">
        <v>214</v>
      </c>
      <c r="B233" s="180">
        <v>2571.5158904110936</v>
      </c>
      <c r="C233" s="180">
        <v>2557.1509589042444</v>
      </c>
      <c r="D233" s="180">
        <v>14.364931506849304</v>
      </c>
      <c r="E233" s="180">
        <v>1346.7389726027536</v>
      </c>
      <c r="F233" s="180">
        <v>837.31122131513087</v>
      </c>
      <c r="G233" s="180">
        <v>121.5545205479485</v>
      </c>
      <c r="H233" s="180"/>
      <c r="I233" s="180">
        <v>13.646684931506899</v>
      </c>
      <c r="J233" s="180">
        <v>0.28323287671232877</v>
      </c>
      <c r="K233" s="180">
        <v>13.041972602739735</v>
      </c>
      <c r="L233" s="180">
        <v>13.041972602739735</v>
      </c>
      <c r="M233" s="180"/>
      <c r="N233" s="180"/>
      <c r="O233" s="180"/>
      <c r="P233" s="180">
        <v>4.0569049479452133</v>
      </c>
      <c r="Q233" s="180"/>
      <c r="R233" s="180">
        <v>2336.6335098247368</v>
      </c>
      <c r="S233" s="181">
        <v>0.90865995366304841</v>
      </c>
    </row>
    <row r="234" spans="1:19" x14ac:dyDescent="0.35">
      <c r="A234" s="177" t="s">
        <v>111</v>
      </c>
      <c r="B234" s="178">
        <v>8904.1068219173976</v>
      </c>
      <c r="C234" s="178">
        <v>8842.3780547941096</v>
      </c>
      <c r="D234" s="178">
        <v>61.728767123287724</v>
      </c>
      <c r="E234" s="178">
        <v>7778.8897309591293</v>
      </c>
      <c r="F234" s="178">
        <v>748.3297054520574</v>
      </c>
      <c r="G234" s="178">
        <v>349.08213698630055</v>
      </c>
      <c r="H234" s="178">
        <v>108.40313150684955</v>
      </c>
      <c r="I234" s="178">
        <v>58.64232876712321</v>
      </c>
      <c r="J234" s="178">
        <v>203.24358904109752</v>
      </c>
      <c r="K234" s="178">
        <v>829.81659999999374</v>
      </c>
      <c r="L234" s="178">
        <v>829.81659999999374</v>
      </c>
      <c r="M234" s="178">
        <v>35.689265753424692</v>
      </c>
      <c r="N234" s="178">
        <v>35.689265753424692</v>
      </c>
      <c r="O234" s="178"/>
      <c r="P234" s="178">
        <v>4.1525177671232827</v>
      </c>
      <c r="Q234" s="178"/>
      <c r="R234" s="178">
        <v>10116.249006233098</v>
      </c>
      <c r="S234" s="179">
        <v>1.1361329337752339</v>
      </c>
    </row>
    <row r="235" spans="1:19" x14ac:dyDescent="0.35">
      <c r="A235" s="176" t="s">
        <v>213</v>
      </c>
      <c r="B235" s="180">
        <v>8904.1068219180834</v>
      </c>
      <c r="C235" s="180">
        <v>8842.3780547947954</v>
      </c>
      <c r="D235" s="180">
        <v>61.72876712328754</v>
      </c>
      <c r="E235" s="180">
        <v>7778.8897309596741</v>
      </c>
      <c r="F235" s="180">
        <v>748.329705452094</v>
      </c>
      <c r="G235" s="180">
        <v>349.08213698630436</v>
      </c>
      <c r="H235" s="180">
        <v>108.40313150684955</v>
      </c>
      <c r="I235" s="180">
        <v>58.642328767123651</v>
      </c>
      <c r="J235" s="180">
        <v>203.24358904109502</v>
      </c>
      <c r="K235" s="180">
        <v>829.81659999987676</v>
      </c>
      <c r="L235" s="180">
        <v>829.81659999987676</v>
      </c>
      <c r="M235" s="180">
        <v>35.689265753424692</v>
      </c>
      <c r="N235" s="180">
        <v>35.689265753424692</v>
      </c>
      <c r="O235" s="180"/>
      <c r="P235" s="180">
        <v>4.1525177671232818</v>
      </c>
      <c r="Q235" s="180"/>
      <c r="R235" s="180">
        <v>10116.249006233564</v>
      </c>
      <c r="S235" s="181">
        <v>1.1361329337752</v>
      </c>
    </row>
    <row r="236" spans="1:19" x14ac:dyDescent="0.35">
      <c r="A236" s="177" t="s">
        <v>112</v>
      </c>
      <c r="B236" s="178">
        <v>70.250410958904027</v>
      </c>
      <c r="C236" s="178">
        <v>70.250410958904027</v>
      </c>
      <c r="D236" s="178"/>
      <c r="E236" s="178">
        <v>91.875326027397179</v>
      </c>
      <c r="F236" s="178"/>
      <c r="G236" s="178"/>
      <c r="H236" s="178"/>
      <c r="I236" s="178"/>
      <c r="J236" s="178">
        <v>0.91660273972602802</v>
      </c>
      <c r="K236" s="178">
        <v>1.1594520547945206</v>
      </c>
      <c r="L236" s="178">
        <v>1.1594520547945206</v>
      </c>
      <c r="M236" s="178"/>
      <c r="N236" s="178"/>
      <c r="O236" s="178"/>
      <c r="P236" s="178"/>
      <c r="Q236" s="178"/>
      <c r="R236" s="178">
        <v>93.951380821917724</v>
      </c>
      <c r="S236" s="179">
        <v>1.3373783802756483</v>
      </c>
    </row>
    <row r="237" spans="1:19" x14ac:dyDescent="0.35">
      <c r="A237" s="176" t="s">
        <v>212</v>
      </c>
      <c r="B237" s="180">
        <v>70.250410958903956</v>
      </c>
      <c r="C237" s="180">
        <v>70.250410958903956</v>
      </c>
      <c r="D237" s="180"/>
      <c r="E237" s="180">
        <v>91.875326027397193</v>
      </c>
      <c r="F237" s="180"/>
      <c r="G237" s="180"/>
      <c r="H237" s="180"/>
      <c r="I237" s="180"/>
      <c r="J237" s="180">
        <v>0.91660273972602813</v>
      </c>
      <c r="K237" s="180">
        <v>1.1594520547945206</v>
      </c>
      <c r="L237" s="180">
        <v>1.1594520547945206</v>
      </c>
      <c r="M237" s="180"/>
      <c r="N237" s="180"/>
      <c r="O237" s="180"/>
      <c r="P237" s="180"/>
      <c r="Q237" s="180"/>
      <c r="R237" s="180">
        <v>93.951380821917738</v>
      </c>
      <c r="S237" s="181">
        <v>1.3373783802756498</v>
      </c>
    </row>
    <row r="238" spans="1:19" x14ac:dyDescent="0.35">
      <c r="A238" s="177" t="s">
        <v>113</v>
      </c>
      <c r="B238" s="178">
        <v>102.24657534246573</v>
      </c>
      <c r="C238" s="178">
        <v>102.24657534246573</v>
      </c>
      <c r="D238" s="178"/>
      <c r="E238" s="178">
        <v>96.327999999999989</v>
      </c>
      <c r="F238" s="178">
        <v>25.633449863013702</v>
      </c>
      <c r="G238" s="178"/>
      <c r="H238" s="178"/>
      <c r="I238" s="178"/>
      <c r="J238" s="178">
        <v>2.1662465753424649</v>
      </c>
      <c r="K238" s="178">
        <v>4.9068493150684986</v>
      </c>
      <c r="L238" s="178">
        <v>4.9068493150684986</v>
      </c>
      <c r="M238" s="178">
        <v>49.214602739726033</v>
      </c>
      <c r="N238" s="178">
        <v>48.5441902399998</v>
      </c>
      <c r="O238" s="178"/>
      <c r="P238" s="178"/>
      <c r="Q238" s="178"/>
      <c r="R238" s="178">
        <v>177.57873599342443</v>
      </c>
      <c r="S238" s="179">
        <v>1.7367695240514451</v>
      </c>
    </row>
    <row r="239" spans="1:19" x14ac:dyDescent="0.35">
      <c r="A239" s="176" t="s">
        <v>211</v>
      </c>
      <c r="B239" s="180">
        <v>102.24657534246577</v>
      </c>
      <c r="C239" s="180">
        <v>102.24657534246577</v>
      </c>
      <c r="D239" s="180"/>
      <c r="E239" s="180">
        <v>96.327999999999989</v>
      </c>
      <c r="F239" s="180">
        <v>25.633449863013748</v>
      </c>
      <c r="G239" s="180"/>
      <c r="H239" s="180"/>
      <c r="I239" s="180"/>
      <c r="J239" s="180">
        <v>2.1662465753424649</v>
      </c>
      <c r="K239" s="180">
        <v>4.9068493150684986</v>
      </c>
      <c r="L239" s="180">
        <v>4.9068493150684986</v>
      </c>
      <c r="M239" s="180">
        <v>49.214602739726033</v>
      </c>
      <c r="N239" s="180">
        <v>48.5441902399998</v>
      </c>
      <c r="O239" s="180"/>
      <c r="P239" s="180"/>
      <c r="Q239" s="180"/>
      <c r="R239" s="180">
        <v>177.57873599342449</v>
      </c>
      <c r="S239" s="181">
        <v>1.7367695240514449</v>
      </c>
    </row>
    <row r="240" spans="1:19" x14ac:dyDescent="0.35">
      <c r="A240" s="177" t="s">
        <v>114</v>
      </c>
      <c r="B240" s="178">
        <v>215.64424657534099</v>
      </c>
      <c r="C240" s="178">
        <v>215.64424657534099</v>
      </c>
      <c r="D240" s="178"/>
      <c r="E240" s="178">
        <v>228.60652191780844</v>
      </c>
      <c r="F240" s="178"/>
      <c r="G240" s="178"/>
      <c r="H240" s="178">
        <v>3.0124931506849304</v>
      </c>
      <c r="I240" s="178"/>
      <c r="J240" s="178">
        <v>3.9247397260273948</v>
      </c>
      <c r="K240" s="178">
        <v>50.606164383561541</v>
      </c>
      <c r="L240" s="178">
        <v>50.606164383561541</v>
      </c>
      <c r="M240" s="178"/>
      <c r="N240" s="178"/>
      <c r="O240" s="178"/>
      <c r="P240" s="178"/>
      <c r="Q240" s="178"/>
      <c r="R240" s="178">
        <v>286.14991917808226</v>
      </c>
      <c r="S240" s="179">
        <v>1.3269536457496363</v>
      </c>
    </row>
    <row r="241" spans="1:19" x14ac:dyDescent="0.35">
      <c r="A241" s="176" t="s">
        <v>206</v>
      </c>
      <c r="B241" s="180">
        <v>215.6442465753384</v>
      </c>
      <c r="C241" s="180">
        <v>215.6442465753384</v>
      </c>
      <c r="D241" s="180"/>
      <c r="E241" s="180">
        <v>228.60652191780818</v>
      </c>
      <c r="F241" s="180"/>
      <c r="G241" s="180"/>
      <c r="H241" s="180">
        <v>3.0124931506849304</v>
      </c>
      <c r="I241" s="180"/>
      <c r="J241" s="180">
        <v>3.9247397260273953</v>
      </c>
      <c r="K241" s="180">
        <v>50.606164383561577</v>
      </c>
      <c r="L241" s="180">
        <v>50.606164383561577</v>
      </c>
      <c r="M241" s="180"/>
      <c r="N241" s="180"/>
      <c r="O241" s="180"/>
      <c r="P241" s="180"/>
      <c r="Q241" s="180"/>
      <c r="R241" s="180">
        <v>286.14991917808209</v>
      </c>
      <c r="S241" s="181">
        <v>1.3269536457496516</v>
      </c>
    </row>
    <row r="242" spans="1:19" x14ac:dyDescent="0.35">
      <c r="A242" s="177" t="s">
        <v>115</v>
      </c>
      <c r="B242" s="178">
        <v>34.59452054794518</v>
      </c>
      <c r="C242" s="178">
        <v>34.59452054794518</v>
      </c>
      <c r="D242" s="178"/>
      <c r="E242" s="178">
        <v>33.943315068493177</v>
      </c>
      <c r="F242" s="178"/>
      <c r="G242" s="178"/>
      <c r="H242" s="178"/>
      <c r="I242" s="178"/>
      <c r="J242" s="178"/>
      <c r="K242" s="178"/>
      <c r="L242" s="178"/>
      <c r="M242" s="178"/>
      <c r="N242" s="178"/>
      <c r="O242" s="178"/>
      <c r="P242" s="178"/>
      <c r="Q242" s="178"/>
      <c r="R242" s="178">
        <v>33.943315068493177</v>
      </c>
      <c r="S242" s="179">
        <v>0.98117605131860453</v>
      </c>
    </row>
    <row r="243" spans="1:19" x14ac:dyDescent="0.35">
      <c r="A243" s="176" t="s">
        <v>207</v>
      </c>
      <c r="B243" s="180">
        <v>34.594520547945223</v>
      </c>
      <c r="C243" s="180">
        <v>34.594520547945223</v>
      </c>
      <c r="D243" s="180"/>
      <c r="E243" s="180">
        <v>33.943315068493234</v>
      </c>
      <c r="F243" s="180"/>
      <c r="G243" s="180"/>
      <c r="H243" s="180"/>
      <c r="I243" s="180"/>
      <c r="J243" s="180"/>
      <c r="K243" s="180"/>
      <c r="L243" s="180"/>
      <c r="M243" s="180"/>
      <c r="N243" s="180"/>
      <c r="O243" s="180"/>
      <c r="P243" s="180"/>
      <c r="Q243" s="180"/>
      <c r="R243" s="180">
        <v>33.943315068493234</v>
      </c>
      <c r="S243" s="181">
        <v>0.98117605131860497</v>
      </c>
    </row>
    <row r="244" spans="1:19" x14ac:dyDescent="0.35">
      <c r="A244" s="177" t="s">
        <v>116</v>
      </c>
      <c r="B244" s="178">
        <v>1342.4690410958974</v>
      </c>
      <c r="C244" s="178">
        <v>1317.3835616438425</v>
      </c>
      <c r="D244" s="178">
        <v>25.08547945205482</v>
      </c>
      <c r="E244" s="178">
        <v>664.04101369862849</v>
      </c>
      <c r="F244" s="178">
        <v>487.53723271232923</v>
      </c>
      <c r="G244" s="178">
        <v>63.874136986301373</v>
      </c>
      <c r="H244" s="178">
        <v>0.59490410958904105</v>
      </c>
      <c r="I244" s="178">
        <v>23.831205479452045</v>
      </c>
      <c r="J244" s="178">
        <v>8.6794520547945175E-2</v>
      </c>
      <c r="K244" s="178">
        <v>1.9219178082191775</v>
      </c>
      <c r="L244" s="178">
        <v>1.9219178082191775</v>
      </c>
      <c r="M244" s="178"/>
      <c r="N244" s="178"/>
      <c r="O244" s="178">
        <v>-4.9704349479452041</v>
      </c>
      <c r="P244" s="178">
        <v>5.1831449753424712</v>
      </c>
      <c r="Q244" s="178"/>
      <c r="R244" s="178">
        <v>1242.0999153424648</v>
      </c>
      <c r="S244" s="179">
        <v>0.92523542615813448</v>
      </c>
    </row>
    <row r="245" spans="1:19" x14ac:dyDescent="0.35">
      <c r="A245" s="176" t="s">
        <v>204</v>
      </c>
      <c r="B245" s="180">
        <v>1342.4690410957419</v>
      </c>
      <c r="C245" s="180">
        <v>1317.383561643687</v>
      </c>
      <c r="D245" s="180">
        <v>25.085479452054816</v>
      </c>
      <c r="E245" s="180">
        <v>664.04101369858631</v>
      </c>
      <c r="F245" s="180">
        <v>487.53723271232832</v>
      </c>
      <c r="G245" s="180">
        <v>63.87413698630106</v>
      </c>
      <c r="H245" s="180">
        <v>0.59490410958904105</v>
      </c>
      <c r="I245" s="180">
        <v>23.831205479451889</v>
      </c>
      <c r="J245" s="180">
        <v>8.6794520547945175E-2</v>
      </c>
      <c r="K245" s="180">
        <v>1.9219178082191772</v>
      </c>
      <c r="L245" s="180">
        <v>1.9219178082191772</v>
      </c>
      <c r="M245" s="180"/>
      <c r="N245" s="180"/>
      <c r="O245" s="180">
        <v>-4.9704349479452041</v>
      </c>
      <c r="P245" s="180">
        <v>5.183144975342473</v>
      </c>
      <c r="Q245" s="180"/>
      <c r="R245" s="180">
        <v>1242.0999153424211</v>
      </c>
      <c r="S245" s="181">
        <v>0.9252354261582092</v>
      </c>
    </row>
    <row r="246" spans="1:19" x14ac:dyDescent="0.35">
      <c r="A246" s="177" t="s">
        <v>117</v>
      </c>
      <c r="B246" s="178">
        <v>329.54657534246343</v>
      </c>
      <c r="C246" s="178">
        <v>329.54657534246343</v>
      </c>
      <c r="D246" s="178"/>
      <c r="E246" s="178">
        <v>301.76146575342807</v>
      </c>
      <c r="F246" s="178">
        <v>33.665375753424762</v>
      </c>
      <c r="G246" s="178"/>
      <c r="H246" s="178"/>
      <c r="I246" s="178"/>
      <c r="J246" s="178">
        <v>2.5142465753424617</v>
      </c>
      <c r="K246" s="178">
        <v>19.563013698630165</v>
      </c>
      <c r="L246" s="178">
        <v>19.563013698630165</v>
      </c>
      <c r="M246" s="178"/>
      <c r="N246" s="178"/>
      <c r="O246" s="178"/>
      <c r="P246" s="178"/>
      <c r="Q246" s="178"/>
      <c r="R246" s="178">
        <v>357.50410178082547</v>
      </c>
      <c r="S246" s="179">
        <v>1.0848363434191624</v>
      </c>
    </row>
    <row r="247" spans="1:19" x14ac:dyDescent="0.35">
      <c r="A247" s="176" t="s">
        <v>203</v>
      </c>
      <c r="B247" s="180">
        <v>329.54657534246218</v>
      </c>
      <c r="C247" s="180">
        <v>329.54657534246218</v>
      </c>
      <c r="D247" s="180"/>
      <c r="E247" s="180">
        <v>301.76146575343097</v>
      </c>
      <c r="F247" s="180">
        <v>33.665375753424904</v>
      </c>
      <c r="G247" s="180"/>
      <c r="H247" s="180"/>
      <c r="I247" s="180"/>
      <c r="J247" s="180">
        <v>2.5142465753424634</v>
      </c>
      <c r="K247" s="180">
        <v>19.563013698630208</v>
      </c>
      <c r="L247" s="180">
        <v>19.563013698630208</v>
      </c>
      <c r="M247" s="180"/>
      <c r="N247" s="180"/>
      <c r="O247" s="180"/>
      <c r="P247" s="180"/>
      <c r="Q247" s="180"/>
      <c r="R247" s="180">
        <v>357.50410178082848</v>
      </c>
      <c r="S247" s="181">
        <v>1.0848363434191755</v>
      </c>
    </row>
    <row r="248" spans="1:19" x14ac:dyDescent="0.35">
      <c r="A248" s="177" t="s">
        <v>118</v>
      </c>
      <c r="B248" s="178">
        <v>4793.2552054791695</v>
      </c>
      <c r="C248" s="178">
        <v>4789.4926027394431</v>
      </c>
      <c r="D248" s="178">
        <v>3.7626027397260282</v>
      </c>
      <c r="E248" s="178">
        <v>4040.4371479451311</v>
      </c>
      <c r="F248" s="178">
        <v>488.71310178082666</v>
      </c>
      <c r="G248" s="178">
        <v>185.89192328767317</v>
      </c>
      <c r="H248" s="178">
        <v>16.899917808219186</v>
      </c>
      <c r="I248" s="178">
        <v>3.5744726027397289</v>
      </c>
      <c r="J248" s="178">
        <v>111.84424109589092</v>
      </c>
      <c r="K248" s="178">
        <v>200.31520547945155</v>
      </c>
      <c r="L248" s="178">
        <v>200.31520547945155</v>
      </c>
      <c r="M248" s="178"/>
      <c r="N248" s="178"/>
      <c r="O248" s="178"/>
      <c r="P248" s="178">
        <v>0.69106847671232607</v>
      </c>
      <c r="Q248" s="178">
        <v>0.81499178082191781</v>
      </c>
      <c r="R248" s="178">
        <v>5049.1820702574678</v>
      </c>
      <c r="S248" s="179">
        <v>1.053393123004543</v>
      </c>
    </row>
    <row r="249" spans="1:19" x14ac:dyDescent="0.35">
      <c r="A249" s="176" t="s">
        <v>202</v>
      </c>
      <c r="B249" s="180">
        <v>4793.2552054791631</v>
      </c>
      <c r="C249" s="180">
        <v>4789.4926027394367</v>
      </c>
      <c r="D249" s="180">
        <v>3.7626027397260282</v>
      </c>
      <c r="E249" s="180">
        <v>4040.4371479451884</v>
      </c>
      <c r="F249" s="180">
        <v>488.71310178082553</v>
      </c>
      <c r="G249" s="180">
        <v>185.89192328767356</v>
      </c>
      <c r="H249" s="180">
        <v>16.899917808219186</v>
      </c>
      <c r="I249" s="180">
        <v>3.5744726027397276</v>
      </c>
      <c r="J249" s="180">
        <v>111.84424109588997</v>
      </c>
      <c r="K249" s="180">
        <v>200.31520547945314</v>
      </c>
      <c r="L249" s="180">
        <v>200.31520547945314</v>
      </c>
      <c r="M249" s="180"/>
      <c r="N249" s="180"/>
      <c r="O249" s="180"/>
      <c r="P249" s="180">
        <v>0.69106847671232585</v>
      </c>
      <c r="Q249" s="180">
        <v>0.81499178082191781</v>
      </c>
      <c r="R249" s="180">
        <v>5049.1820702575233</v>
      </c>
      <c r="S249" s="181">
        <v>1.0533931230045523</v>
      </c>
    </row>
    <row r="250" spans="1:19" x14ac:dyDescent="0.35">
      <c r="A250" s="177" t="s">
        <v>119</v>
      </c>
      <c r="B250" s="178">
        <v>267.2768767123282</v>
      </c>
      <c r="C250" s="178">
        <v>259.39013698630083</v>
      </c>
      <c r="D250" s="178">
        <v>7.8867397260274004</v>
      </c>
      <c r="E250" s="178">
        <v>207.24302465753499</v>
      </c>
      <c r="F250" s="178">
        <v>35.624261506849265</v>
      </c>
      <c r="G250" s="178"/>
      <c r="H250" s="178"/>
      <c r="I250" s="178">
        <v>7.4924027397260335</v>
      </c>
      <c r="J250" s="178">
        <v>1.3744109589041096</v>
      </c>
      <c r="K250" s="178">
        <v>0.39863013698630134</v>
      </c>
      <c r="L250" s="178">
        <v>0.39863013698630134</v>
      </c>
      <c r="M250" s="178">
        <v>12.710273972602753</v>
      </c>
      <c r="N250" s="178">
        <v>12.710273972602753</v>
      </c>
      <c r="O250" s="178"/>
      <c r="P250" s="178"/>
      <c r="Q250" s="178"/>
      <c r="R250" s="178">
        <v>264.84300397260347</v>
      </c>
      <c r="S250" s="179">
        <v>0.99089381479736338</v>
      </c>
    </row>
    <row r="251" spans="1:19" x14ac:dyDescent="0.35">
      <c r="A251" s="176" t="s">
        <v>201</v>
      </c>
      <c r="B251" s="180">
        <v>267.27687671232178</v>
      </c>
      <c r="C251" s="180">
        <v>259.39013698629435</v>
      </c>
      <c r="D251" s="180">
        <v>7.8867397260274199</v>
      </c>
      <c r="E251" s="180">
        <v>207.24302465753607</v>
      </c>
      <c r="F251" s="180">
        <v>35.624261506849429</v>
      </c>
      <c r="G251" s="180"/>
      <c r="H251" s="180"/>
      <c r="I251" s="180">
        <v>7.4924027397260318</v>
      </c>
      <c r="J251" s="180">
        <v>1.3744109589041096</v>
      </c>
      <c r="K251" s="180">
        <v>0.39863013698630134</v>
      </c>
      <c r="L251" s="180">
        <v>0.39863013698630134</v>
      </c>
      <c r="M251" s="180">
        <v>12.710273972602753</v>
      </c>
      <c r="N251" s="180">
        <v>12.710273972602753</v>
      </c>
      <c r="O251" s="180"/>
      <c r="P251" s="180"/>
      <c r="Q251" s="180"/>
      <c r="R251" s="180">
        <v>264.84300397260466</v>
      </c>
      <c r="S251" s="181">
        <v>0.99089381479739169</v>
      </c>
    </row>
    <row r="252" spans="1:19" x14ac:dyDescent="0.35">
      <c r="A252" s="177" t="s">
        <v>395</v>
      </c>
      <c r="B252" s="178">
        <v>110.29013698630153</v>
      </c>
      <c r="C252" s="178">
        <v>110.29013698630153</v>
      </c>
      <c r="D252" s="178"/>
      <c r="E252" s="178">
        <v>147.90013424657536</v>
      </c>
      <c r="F252" s="178">
        <v>7.6606826301369857</v>
      </c>
      <c r="G252" s="178"/>
      <c r="H252" s="178"/>
      <c r="I252" s="178"/>
      <c r="J252" s="178">
        <v>0.27452054794520542</v>
      </c>
      <c r="K252" s="178">
        <v>0.61095890410958908</v>
      </c>
      <c r="L252" s="178">
        <v>0.61095890410958908</v>
      </c>
      <c r="M252" s="178"/>
      <c r="N252" s="178"/>
      <c r="O252" s="178"/>
      <c r="P252" s="178"/>
      <c r="Q252" s="178"/>
      <c r="R252" s="178">
        <v>156.44629632876715</v>
      </c>
      <c r="S252" s="179">
        <v>1.4184976155048061</v>
      </c>
    </row>
    <row r="253" spans="1:19" x14ac:dyDescent="0.35">
      <c r="A253" s="176" t="s">
        <v>394</v>
      </c>
      <c r="B253" s="180">
        <v>110.29013698630162</v>
      </c>
      <c r="C253" s="180">
        <v>110.29013698630162</v>
      </c>
      <c r="D253" s="180"/>
      <c r="E253" s="180">
        <v>147.90013424657539</v>
      </c>
      <c r="F253" s="180">
        <v>7.6606826301369901</v>
      </c>
      <c r="G253" s="180"/>
      <c r="H253" s="180"/>
      <c r="I253" s="180"/>
      <c r="J253" s="180">
        <v>0.27452054794520547</v>
      </c>
      <c r="K253" s="180">
        <v>0.61095890410958897</v>
      </c>
      <c r="L253" s="180">
        <v>0.61095890410958897</v>
      </c>
      <c r="M253" s="180"/>
      <c r="N253" s="180"/>
      <c r="O253" s="180"/>
      <c r="P253" s="180"/>
      <c r="Q253" s="180"/>
      <c r="R253" s="180">
        <v>156.44629632876718</v>
      </c>
      <c r="S253" s="181">
        <v>1.4184976155048052</v>
      </c>
    </row>
    <row r="254" spans="1:19" x14ac:dyDescent="0.35">
      <c r="A254" s="177" t="s">
        <v>134</v>
      </c>
      <c r="B254" s="178">
        <v>24.830136986301373</v>
      </c>
      <c r="C254" s="178">
        <v>24.830136986301373</v>
      </c>
      <c r="D254" s="178"/>
      <c r="E254" s="178"/>
      <c r="F254" s="178">
        <v>18.011781369863016</v>
      </c>
      <c r="G254" s="178"/>
      <c r="H254" s="178"/>
      <c r="I254" s="178"/>
      <c r="J254" s="178"/>
      <c r="K254" s="178"/>
      <c r="L254" s="178"/>
      <c r="M254" s="178"/>
      <c r="N254" s="178"/>
      <c r="O254" s="178"/>
      <c r="P254" s="178"/>
      <c r="Q254" s="178"/>
      <c r="R254" s="178">
        <v>18.011781369863016</v>
      </c>
      <c r="S254" s="179">
        <v>0.72540000000000004</v>
      </c>
    </row>
    <row r="255" spans="1:19" x14ac:dyDescent="0.35">
      <c r="A255" s="176" t="s">
        <v>261</v>
      </c>
      <c r="B255" s="180">
        <v>24.83013698630138</v>
      </c>
      <c r="C255" s="180">
        <v>24.83013698630138</v>
      </c>
      <c r="D255" s="180"/>
      <c r="E255" s="180"/>
      <c r="F255" s="180">
        <v>18.011781369863026</v>
      </c>
      <c r="G255" s="180"/>
      <c r="H255" s="180"/>
      <c r="I255" s="180"/>
      <c r="J255" s="180"/>
      <c r="K255" s="180"/>
      <c r="L255" s="180"/>
      <c r="M255" s="180"/>
      <c r="N255" s="180"/>
      <c r="O255" s="180"/>
      <c r="P255" s="180"/>
      <c r="Q255" s="180"/>
      <c r="R255" s="180">
        <v>18.011781369863026</v>
      </c>
      <c r="S255" s="181">
        <v>0.72540000000000027</v>
      </c>
    </row>
    <row r="256" spans="1:19" x14ac:dyDescent="0.35">
      <c r="A256" s="177" t="s">
        <v>459</v>
      </c>
      <c r="B256" s="178">
        <v>1345.7292876712204</v>
      </c>
      <c r="C256" s="178">
        <v>1345.7292876712204</v>
      </c>
      <c r="D256" s="178"/>
      <c r="E256" s="178">
        <v>1093.1879712328785</v>
      </c>
      <c r="F256" s="178">
        <v>389.94745951233602</v>
      </c>
      <c r="G256" s="178"/>
      <c r="H256" s="178">
        <v>0.59912328767123291</v>
      </c>
      <c r="I256" s="178"/>
      <c r="J256" s="178">
        <v>3.7100136986301386</v>
      </c>
      <c r="K256" s="178">
        <v>5.5965753424657612</v>
      </c>
      <c r="L256" s="178">
        <v>5.5965753424657612</v>
      </c>
      <c r="M256" s="178"/>
      <c r="N256" s="178"/>
      <c r="O256" s="178">
        <v>-23.049643857534157</v>
      </c>
      <c r="P256" s="178">
        <v>5.2014518827397289</v>
      </c>
      <c r="Q256" s="178"/>
      <c r="R256" s="178">
        <v>1475.1929510991872</v>
      </c>
      <c r="S256" s="179">
        <v>1.0962033483361293</v>
      </c>
    </row>
    <row r="257" spans="1:19" x14ac:dyDescent="0.35">
      <c r="A257" s="176" t="s">
        <v>200</v>
      </c>
      <c r="B257" s="180">
        <v>1345.7292876711413</v>
      </c>
      <c r="C257" s="180">
        <v>1345.7292876711413</v>
      </c>
      <c r="D257" s="180"/>
      <c r="E257" s="180">
        <v>1093.1879712328569</v>
      </c>
      <c r="F257" s="180">
        <v>389.94745951233409</v>
      </c>
      <c r="G257" s="180"/>
      <c r="H257" s="180">
        <v>0.59912328767123291</v>
      </c>
      <c r="I257" s="180"/>
      <c r="J257" s="180">
        <v>3.7100136986301373</v>
      </c>
      <c r="K257" s="180">
        <v>5.5965753424657665</v>
      </c>
      <c r="L257" s="180">
        <v>5.5965753424657665</v>
      </c>
      <c r="M257" s="180"/>
      <c r="N257" s="180"/>
      <c r="O257" s="180">
        <v>-23.049643857534157</v>
      </c>
      <c r="P257" s="180">
        <v>5.2014518827397254</v>
      </c>
      <c r="Q257" s="180"/>
      <c r="R257" s="180">
        <v>1475.1929510991636</v>
      </c>
      <c r="S257" s="181">
        <v>1.0962033483361771</v>
      </c>
    </row>
    <row r="258" spans="1:19" x14ac:dyDescent="0.35">
      <c r="A258" s="177" t="s">
        <v>121</v>
      </c>
      <c r="B258" s="178">
        <v>2692.3649315068624</v>
      </c>
      <c r="C258" s="178">
        <v>2692.3649315068624</v>
      </c>
      <c r="D258" s="178"/>
      <c r="E258" s="178">
        <v>2095.6129589041361</v>
      </c>
      <c r="F258" s="178">
        <v>347.02776230136749</v>
      </c>
      <c r="G258" s="178">
        <v>111.15424657534285</v>
      </c>
      <c r="H258" s="178">
        <v>39.042586301369816</v>
      </c>
      <c r="I258" s="178"/>
      <c r="J258" s="178">
        <v>46.511342465753195</v>
      </c>
      <c r="K258" s="178">
        <v>170.48263013698525</v>
      </c>
      <c r="L258" s="178">
        <v>170.48263013698525</v>
      </c>
      <c r="M258" s="178"/>
      <c r="N258" s="178"/>
      <c r="O258" s="178"/>
      <c r="P258" s="178">
        <v>1.6407355561643813</v>
      </c>
      <c r="Q258" s="178">
        <v>9.1686575342465737</v>
      </c>
      <c r="R258" s="178">
        <v>2820.640919775366</v>
      </c>
      <c r="S258" s="179">
        <v>1.0476443541391356</v>
      </c>
    </row>
    <row r="259" spans="1:19" x14ac:dyDescent="0.35">
      <c r="A259" s="176" t="s">
        <v>199</v>
      </c>
      <c r="B259" s="180">
        <v>2692.364931506565</v>
      </c>
      <c r="C259" s="180">
        <v>2692.364931506565</v>
      </c>
      <c r="D259" s="180"/>
      <c r="E259" s="180">
        <v>2095.6129589040738</v>
      </c>
      <c r="F259" s="180">
        <v>347.02776230136851</v>
      </c>
      <c r="G259" s="180">
        <v>111.15424657534339</v>
      </c>
      <c r="H259" s="180">
        <v>39.042586301369816</v>
      </c>
      <c r="I259" s="180"/>
      <c r="J259" s="180">
        <v>46.511342465752605</v>
      </c>
      <c r="K259" s="180">
        <v>170.48263013698494</v>
      </c>
      <c r="L259" s="180">
        <v>170.48263013698494</v>
      </c>
      <c r="M259" s="180"/>
      <c r="N259" s="180"/>
      <c r="O259" s="180"/>
      <c r="P259" s="180">
        <v>1.6407355561643855</v>
      </c>
      <c r="Q259" s="180">
        <v>9.1686575342465737</v>
      </c>
      <c r="R259" s="180">
        <v>2820.6409197753037</v>
      </c>
      <c r="S259" s="181">
        <v>1.0476443541392286</v>
      </c>
    </row>
    <row r="260" spans="1:19" x14ac:dyDescent="0.35">
      <c r="A260" s="177" t="s">
        <v>122</v>
      </c>
      <c r="B260" s="178">
        <v>1068.7198630136977</v>
      </c>
      <c r="C260" s="178">
        <v>1068.3297260273964</v>
      </c>
      <c r="D260" s="178">
        <v>0.39013698630136978</v>
      </c>
      <c r="E260" s="178">
        <v>919.77878493149683</v>
      </c>
      <c r="F260" s="178">
        <v>77.054097698630144</v>
      </c>
      <c r="G260" s="178">
        <v>32.787232876712331</v>
      </c>
      <c r="H260" s="178"/>
      <c r="I260" s="178">
        <v>0.37063013698630121</v>
      </c>
      <c r="J260" s="178">
        <v>27.409150684931394</v>
      </c>
      <c r="K260" s="178">
        <v>99.885041095889747</v>
      </c>
      <c r="L260" s="178">
        <v>99.885041095889747</v>
      </c>
      <c r="M260" s="178"/>
      <c r="N260" s="178"/>
      <c r="O260" s="178"/>
      <c r="P260" s="178">
        <v>0.2983755698630135</v>
      </c>
      <c r="Q260" s="178"/>
      <c r="R260" s="178">
        <v>1157.5833129945099</v>
      </c>
      <c r="S260" s="179">
        <v>1.083149432378121</v>
      </c>
    </row>
    <row r="261" spans="1:19" x14ac:dyDescent="0.35">
      <c r="A261" s="176" t="s">
        <v>198</v>
      </c>
      <c r="B261" s="180">
        <v>1068.7198630136888</v>
      </c>
      <c r="C261" s="180">
        <v>1068.3297260273876</v>
      </c>
      <c r="D261" s="180">
        <v>0.39013698630136978</v>
      </c>
      <c r="E261" s="180">
        <v>919.7787849314941</v>
      </c>
      <c r="F261" s="180">
        <v>77.054097698630997</v>
      </c>
      <c r="G261" s="180">
        <v>32.787232876712324</v>
      </c>
      <c r="H261" s="180"/>
      <c r="I261" s="180">
        <v>0.37063013698630121</v>
      </c>
      <c r="J261" s="180">
        <v>27.409150684931408</v>
      </c>
      <c r="K261" s="180">
        <v>99.88504109588834</v>
      </c>
      <c r="L261" s="180">
        <v>99.88504109588834</v>
      </c>
      <c r="M261" s="180"/>
      <c r="N261" s="180"/>
      <c r="O261" s="180"/>
      <c r="P261" s="180">
        <v>0.29837556986301345</v>
      </c>
      <c r="Q261" s="180"/>
      <c r="R261" s="180">
        <v>1157.5833129945065</v>
      </c>
      <c r="S261" s="181">
        <v>1.0831494323781268</v>
      </c>
    </row>
    <row r="262" spans="1:19" x14ac:dyDescent="0.35">
      <c r="A262" s="177" t="s">
        <v>123</v>
      </c>
      <c r="B262" s="178">
        <v>14.931506849315069</v>
      </c>
      <c r="C262" s="178">
        <v>14.931506849315069</v>
      </c>
      <c r="D262" s="178"/>
      <c r="E262" s="178"/>
      <c r="F262" s="178">
        <v>10.831315068493151</v>
      </c>
      <c r="G262" s="178"/>
      <c r="H262" s="178"/>
      <c r="I262" s="178"/>
      <c r="J262" s="178"/>
      <c r="K262" s="178"/>
      <c r="L262" s="178"/>
      <c r="M262" s="178"/>
      <c r="N262" s="178"/>
      <c r="O262" s="178"/>
      <c r="P262" s="178"/>
      <c r="Q262" s="178"/>
      <c r="R262" s="178">
        <v>10.831315068493151</v>
      </c>
      <c r="S262" s="179">
        <v>0.72540000000000004</v>
      </c>
    </row>
    <row r="263" spans="1:19" x14ac:dyDescent="0.35">
      <c r="A263" s="176" t="s">
        <v>197</v>
      </c>
      <c r="B263" s="180">
        <v>14.931506849315102</v>
      </c>
      <c r="C263" s="180">
        <v>14.931506849315102</v>
      </c>
      <c r="D263" s="180"/>
      <c r="E263" s="180"/>
      <c r="F263" s="180">
        <v>10.831315068493145</v>
      </c>
      <c r="G263" s="180"/>
      <c r="H263" s="180"/>
      <c r="I263" s="180"/>
      <c r="J263" s="180"/>
      <c r="K263" s="180"/>
      <c r="L263" s="180"/>
      <c r="M263" s="180"/>
      <c r="N263" s="180"/>
      <c r="O263" s="180"/>
      <c r="P263" s="180"/>
      <c r="Q263" s="180"/>
      <c r="R263" s="180">
        <v>10.831315068493145</v>
      </c>
      <c r="S263" s="181">
        <v>0.72539999999999805</v>
      </c>
    </row>
    <row r="264" spans="1:19" x14ac:dyDescent="0.35">
      <c r="A264" s="177" t="s">
        <v>125</v>
      </c>
      <c r="B264" s="178">
        <v>3589.3263013697592</v>
      </c>
      <c r="C264" s="178">
        <v>3589.3263013697592</v>
      </c>
      <c r="D264" s="178"/>
      <c r="E264" s="178">
        <v>3017.6432383560946</v>
      </c>
      <c r="F264" s="178">
        <v>395.43380876712234</v>
      </c>
      <c r="G264" s="178">
        <v>148.11846575342472</v>
      </c>
      <c r="H264" s="178">
        <v>123.78013698630254</v>
      </c>
      <c r="I264" s="178"/>
      <c r="J264" s="178">
        <v>63.728054794520979</v>
      </c>
      <c r="K264" s="178">
        <v>207.27241095890443</v>
      </c>
      <c r="L264" s="178">
        <v>207.27241095890443</v>
      </c>
      <c r="M264" s="178"/>
      <c r="N264" s="178"/>
      <c r="O264" s="178">
        <v>-20.623936832876669</v>
      </c>
      <c r="P264" s="178">
        <v>1.1474238082191757</v>
      </c>
      <c r="Q264" s="178"/>
      <c r="R264" s="178">
        <v>3936.4996025917121</v>
      </c>
      <c r="S264" s="179">
        <v>1.0967238061051916</v>
      </c>
    </row>
    <row r="265" spans="1:19" x14ac:dyDescent="0.35">
      <c r="A265" s="176" t="s">
        <v>191</v>
      </c>
      <c r="B265" s="180">
        <v>3589.3263013695655</v>
      </c>
      <c r="C265" s="180">
        <v>3589.3263013695655</v>
      </c>
      <c r="D265" s="180"/>
      <c r="E265" s="180">
        <v>3017.6432383561682</v>
      </c>
      <c r="F265" s="180">
        <v>395.43380876712109</v>
      </c>
      <c r="G265" s="180">
        <v>148.11846575342435</v>
      </c>
      <c r="H265" s="180">
        <v>123.78013698630254</v>
      </c>
      <c r="I265" s="180"/>
      <c r="J265" s="180">
        <v>63.728054794520652</v>
      </c>
      <c r="K265" s="180">
        <v>207.27241095890696</v>
      </c>
      <c r="L265" s="180">
        <v>207.27241095890696</v>
      </c>
      <c r="M265" s="180"/>
      <c r="N265" s="180"/>
      <c r="O265" s="180">
        <v>-20.623936832876669</v>
      </c>
      <c r="P265" s="180">
        <v>1.1474238082191781</v>
      </c>
      <c r="Q265" s="180"/>
      <c r="R265" s="180">
        <v>3936.4996025917872</v>
      </c>
      <c r="S265" s="181">
        <v>1.0967238061052715</v>
      </c>
    </row>
    <row r="266" spans="1:19" x14ac:dyDescent="0.35">
      <c r="A266" s="177" t="s">
        <v>126</v>
      </c>
      <c r="B266" s="178">
        <v>186.22410958903967</v>
      </c>
      <c r="C266" s="178">
        <v>186.22410958903967</v>
      </c>
      <c r="D266" s="178"/>
      <c r="E266" s="178">
        <v>169.14239999999972</v>
      </c>
      <c r="F266" s="178">
        <v>49.855052712328884</v>
      </c>
      <c r="G266" s="178"/>
      <c r="H266" s="178">
        <v>2.534038356164384</v>
      </c>
      <c r="I266" s="178"/>
      <c r="J266" s="178">
        <v>2.2259178082191782</v>
      </c>
      <c r="K266" s="178">
        <v>4.7150684931506852</v>
      </c>
      <c r="L266" s="178">
        <v>4.7150684931506852</v>
      </c>
      <c r="M266" s="178">
        <v>32.692301369862953</v>
      </c>
      <c r="N266" s="178">
        <v>32.692301369862953</v>
      </c>
      <c r="O266" s="178"/>
      <c r="P266" s="178"/>
      <c r="Q266" s="178"/>
      <c r="R266" s="178">
        <v>261.16477873972576</v>
      </c>
      <c r="S266" s="179">
        <v>1.4024219491024312</v>
      </c>
    </row>
    <row r="267" spans="1:19" x14ac:dyDescent="0.35">
      <c r="A267" s="176" t="s">
        <v>190</v>
      </c>
      <c r="B267" s="180">
        <v>186.22410958903811</v>
      </c>
      <c r="C267" s="180">
        <v>186.22410958903811</v>
      </c>
      <c r="D267" s="180"/>
      <c r="E267" s="180">
        <v>169.14239999999944</v>
      </c>
      <c r="F267" s="180">
        <v>49.855052712329247</v>
      </c>
      <c r="G267" s="180"/>
      <c r="H267" s="180">
        <v>2.534038356164384</v>
      </c>
      <c r="I267" s="180"/>
      <c r="J267" s="180">
        <v>2.2259178082191786</v>
      </c>
      <c r="K267" s="180">
        <v>4.7150684931506914</v>
      </c>
      <c r="L267" s="180">
        <v>4.7150684931506914</v>
      </c>
      <c r="M267" s="180">
        <v>32.692301369862953</v>
      </c>
      <c r="N267" s="180">
        <v>32.692301369862953</v>
      </c>
      <c r="O267" s="180"/>
      <c r="P267" s="180"/>
      <c r="Q267" s="180"/>
      <c r="R267" s="180">
        <v>261.16477873972588</v>
      </c>
      <c r="S267" s="181">
        <v>1.4024219491024437</v>
      </c>
    </row>
    <row r="268" spans="1:19" x14ac:dyDescent="0.35">
      <c r="A268" s="177" t="s">
        <v>127</v>
      </c>
      <c r="B268" s="178">
        <v>1578.0334246575076</v>
      </c>
      <c r="C268" s="178">
        <v>1536.8882191780554</v>
      </c>
      <c r="D268" s="178">
        <v>41.145205479452116</v>
      </c>
      <c r="E268" s="178">
        <v>1307.9633753424391</v>
      </c>
      <c r="F268" s="178">
        <v>380.70470827397361</v>
      </c>
      <c r="G268" s="178">
        <v>24.629873972602741</v>
      </c>
      <c r="H268" s="178">
        <v>4.1314191780821901</v>
      </c>
      <c r="I268" s="178">
        <v>39.0879452054795</v>
      </c>
      <c r="J268" s="178">
        <v>31.617994520547924</v>
      </c>
      <c r="K268" s="178">
        <v>122.34032876712158</v>
      </c>
      <c r="L268" s="178">
        <v>122.34032876712158</v>
      </c>
      <c r="M268" s="178">
        <v>76.40067945205459</v>
      </c>
      <c r="N268" s="178">
        <v>76.40067945205459</v>
      </c>
      <c r="O268" s="178"/>
      <c r="P268" s="178">
        <v>0.90345917589041036</v>
      </c>
      <c r="Q268" s="178">
        <v>0.64</v>
      </c>
      <c r="R268" s="178">
        <v>1988.4197838881919</v>
      </c>
      <c r="S268" s="179">
        <v>1.2600618927446061</v>
      </c>
    </row>
    <row r="269" spans="1:19" x14ac:dyDescent="0.35">
      <c r="A269" s="176" t="s">
        <v>185</v>
      </c>
      <c r="B269" s="180">
        <v>1578.0334246575042</v>
      </c>
      <c r="C269" s="180">
        <v>1536.8882191780519</v>
      </c>
      <c r="D269" s="180">
        <v>41.145205479452201</v>
      </c>
      <c r="E269" s="180">
        <v>1307.9633753424421</v>
      </c>
      <c r="F269" s="180">
        <v>380.70470827397054</v>
      </c>
      <c r="G269" s="180">
        <v>24.629873972602738</v>
      </c>
      <c r="H269" s="180">
        <v>4.1314191780821901</v>
      </c>
      <c r="I269" s="180">
        <v>39.087945205479663</v>
      </c>
      <c r="J269" s="180">
        <v>31.617994520547981</v>
      </c>
      <c r="K269" s="180">
        <v>122.34032876711963</v>
      </c>
      <c r="L269" s="180">
        <v>122.34032876711963</v>
      </c>
      <c r="M269" s="180">
        <v>76.40067945205459</v>
      </c>
      <c r="N269" s="180">
        <v>76.40067945205459</v>
      </c>
      <c r="O269" s="180"/>
      <c r="P269" s="180">
        <v>0.90345917589040914</v>
      </c>
      <c r="Q269" s="180">
        <v>0.64</v>
      </c>
      <c r="R269" s="180">
        <v>1988.4197838881901</v>
      </c>
      <c r="S269" s="181">
        <v>1.2600618927446077</v>
      </c>
    </row>
    <row r="270" spans="1:19" x14ac:dyDescent="0.35">
      <c r="A270" s="177" t="s">
        <v>128</v>
      </c>
      <c r="B270" s="178">
        <v>1698.3156164383083</v>
      </c>
      <c r="C270" s="178">
        <v>1692.9484931506372</v>
      </c>
      <c r="D270" s="178">
        <v>5.367123287671232</v>
      </c>
      <c r="E270" s="178">
        <v>1527.6880109588803</v>
      </c>
      <c r="F270" s="178">
        <v>228.83520123287354</v>
      </c>
      <c r="G270" s="178">
        <v>25.074575342465721</v>
      </c>
      <c r="H270" s="178">
        <v>0.85227397260273974</v>
      </c>
      <c r="I270" s="178">
        <v>5.0987671232876695</v>
      </c>
      <c r="J270" s="178">
        <v>37.601030136986061</v>
      </c>
      <c r="K270" s="178">
        <v>60.917808219178127</v>
      </c>
      <c r="L270" s="178">
        <v>60.917808219178127</v>
      </c>
      <c r="M270" s="178">
        <v>68.349972602739456</v>
      </c>
      <c r="N270" s="178">
        <v>68.349972602739456</v>
      </c>
      <c r="O270" s="178"/>
      <c r="P270" s="178">
        <v>1.4581583260273954</v>
      </c>
      <c r="Q270" s="178"/>
      <c r="R270" s="178">
        <v>1955.8757979150409</v>
      </c>
      <c r="S270" s="179">
        <v>1.1516562522205891</v>
      </c>
    </row>
    <row r="271" spans="1:19" x14ac:dyDescent="0.35">
      <c r="A271" s="176" t="s">
        <v>183</v>
      </c>
      <c r="B271" s="180">
        <v>1698.3156164382638</v>
      </c>
      <c r="C271" s="180">
        <v>1692.9484931505924</v>
      </c>
      <c r="D271" s="180">
        <v>5.3671232876712409</v>
      </c>
      <c r="E271" s="180">
        <v>1527.6880109588822</v>
      </c>
      <c r="F271" s="180">
        <v>228.83520123287315</v>
      </c>
      <c r="G271" s="180">
        <v>25.074575342465721</v>
      </c>
      <c r="H271" s="180">
        <v>0.85227397260273974</v>
      </c>
      <c r="I271" s="180">
        <v>5.0987671232876739</v>
      </c>
      <c r="J271" s="180">
        <v>37.601030136986104</v>
      </c>
      <c r="K271" s="180">
        <v>60.917808219178099</v>
      </c>
      <c r="L271" s="180">
        <v>60.917808219178099</v>
      </c>
      <c r="M271" s="180">
        <v>68.349972602739456</v>
      </c>
      <c r="N271" s="180">
        <v>68.349972602739456</v>
      </c>
      <c r="O271" s="180"/>
      <c r="P271" s="180">
        <v>1.4581583260273998</v>
      </c>
      <c r="Q271" s="180"/>
      <c r="R271" s="180">
        <v>1955.8757979150423</v>
      </c>
      <c r="S271" s="181">
        <v>1.1516562522206197</v>
      </c>
    </row>
    <row r="272" spans="1:19" x14ac:dyDescent="0.35">
      <c r="A272" s="40" t="s">
        <v>13</v>
      </c>
      <c r="B272" s="182">
        <v>184523.2172876712</v>
      </c>
      <c r="C272" s="182">
        <v>182910.96747945203</v>
      </c>
      <c r="D272" s="182">
        <v>1612.2498082191685</v>
      </c>
      <c r="E272" s="182">
        <v>145500.58044328744</v>
      </c>
      <c r="F272" s="182">
        <v>28105.006398024714</v>
      </c>
      <c r="G272" s="182">
        <v>7473.0621824657646</v>
      </c>
      <c r="H272" s="182">
        <v>1596.8686136986164</v>
      </c>
      <c r="I272" s="182">
        <v>1531.637317808219</v>
      </c>
      <c r="J272" s="182">
        <v>3285.1612421917889</v>
      </c>
      <c r="K272" s="182">
        <v>28069.909339726026</v>
      </c>
      <c r="L272" s="182">
        <v>28069.909339726026</v>
      </c>
      <c r="M272" s="182">
        <v>4929.1037342465679</v>
      </c>
      <c r="N272" s="182">
        <v>4926.0804252673897</v>
      </c>
      <c r="O272" s="182">
        <v>-257.60760712383501</v>
      </c>
      <c r="P272" s="182">
        <v>152.65097378630114</v>
      </c>
      <c r="Q272" s="182">
        <v>167.58403506849379</v>
      </c>
      <c r="R272" s="182">
        <v>220550.93336420093</v>
      </c>
      <c r="S272" s="183">
        <v>1.1952476041015632</v>
      </c>
    </row>
    <row r="273" spans="1:5" x14ac:dyDescent="0.35">
      <c r="A273" s="9" t="s">
        <v>593</v>
      </c>
      <c r="E273" s="125"/>
    </row>
    <row r="274" spans="1:5" x14ac:dyDescent="0.35">
      <c r="A274" s="163" t="s">
        <v>448</v>
      </c>
    </row>
    <row r="275" spans="1:5" x14ac:dyDescent="0.35">
      <c r="A275" s="163" t="s">
        <v>495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5">
    <tabColor theme="9" tint="0.59999389629810485"/>
  </sheetPr>
  <dimension ref="A1:P267"/>
  <sheetViews>
    <sheetView zoomScale="90" zoomScaleNormal="90" workbookViewId="0">
      <pane xSplit="1" ySplit="1" topLeftCell="B227" activePane="bottomRight" state="frozen"/>
      <selection pane="topRight" activeCell="B1" sqref="B1"/>
      <selection pane="bottomLeft" activeCell="A2" sqref="A2"/>
      <selection pane="bottomRight" activeCell="A265" sqref="A265"/>
    </sheetView>
  </sheetViews>
  <sheetFormatPr defaultColWidth="19.54296875" defaultRowHeight="14.5" x14ac:dyDescent="0.35"/>
  <cols>
    <col min="1" max="1" width="46.54296875" style="163" customWidth="1"/>
    <col min="2" max="3" width="18.81640625" style="163" customWidth="1"/>
    <col min="4" max="16" width="19" style="163" customWidth="1"/>
    <col min="17" max="16384" width="19.54296875" style="163"/>
  </cols>
  <sheetData>
    <row r="1" spans="1:16" ht="69" x14ac:dyDescent="0.35">
      <c r="A1" s="39" t="s">
        <v>592</v>
      </c>
      <c r="B1" s="39" t="s">
        <v>1</v>
      </c>
      <c r="C1" s="39" t="s">
        <v>2</v>
      </c>
      <c r="D1" s="39" t="s">
        <v>3</v>
      </c>
      <c r="E1" s="39" t="s">
        <v>4</v>
      </c>
      <c r="F1" s="39" t="s">
        <v>5</v>
      </c>
      <c r="G1" s="39" t="s">
        <v>6</v>
      </c>
      <c r="H1" s="39" t="s">
        <v>7</v>
      </c>
      <c r="I1" s="39" t="s">
        <v>8</v>
      </c>
      <c r="J1" s="39" t="s">
        <v>9</v>
      </c>
      <c r="K1" s="39" t="s">
        <v>10</v>
      </c>
      <c r="L1" s="39" t="s">
        <v>366</v>
      </c>
      <c r="M1" s="39" t="s">
        <v>367</v>
      </c>
      <c r="N1" s="39" t="s">
        <v>492</v>
      </c>
      <c r="O1" s="39" t="s">
        <v>11</v>
      </c>
      <c r="P1" s="39" t="s">
        <v>391</v>
      </c>
    </row>
    <row r="2" spans="1:16" x14ac:dyDescent="0.35">
      <c r="A2" s="177" t="s">
        <v>393</v>
      </c>
      <c r="B2" s="184">
        <v>544</v>
      </c>
      <c r="C2" s="184">
        <v>1548</v>
      </c>
      <c r="D2" s="184">
        <v>5697</v>
      </c>
      <c r="E2" s="184">
        <v>6721</v>
      </c>
      <c r="F2" s="178">
        <v>23207.687532</v>
      </c>
      <c r="G2" s="178">
        <v>27448.484867999377</v>
      </c>
      <c r="H2" s="178">
        <v>72</v>
      </c>
      <c r="I2" s="178">
        <v>109257.93000000007</v>
      </c>
      <c r="J2" s="178">
        <v>145183.02500000104</v>
      </c>
      <c r="K2" s="178">
        <v>276</v>
      </c>
      <c r="L2" s="178">
        <v>50728.172399999377</v>
      </c>
      <c r="M2" s="178">
        <v>254716.95500000112</v>
      </c>
      <c r="N2" s="178">
        <v>254716.95500000112</v>
      </c>
      <c r="O2" s="178">
        <v>305445.12740000052</v>
      </c>
      <c r="P2" s="194">
        <v>1.9669586314578023E-2</v>
      </c>
    </row>
    <row r="3" spans="1:16" x14ac:dyDescent="0.35">
      <c r="A3" s="176" t="s">
        <v>392</v>
      </c>
      <c r="B3" s="185">
        <v>544</v>
      </c>
      <c r="C3" s="185">
        <v>1548</v>
      </c>
      <c r="D3" s="185">
        <v>5697</v>
      </c>
      <c r="E3" s="185">
        <v>6721</v>
      </c>
      <c r="F3" s="180">
        <v>23207.687532</v>
      </c>
      <c r="G3" s="180">
        <v>27448.484867999377</v>
      </c>
      <c r="H3" s="180">
        <v>72</v>
      </c>
      <c r="I3" s="180">
        <v>109257.93000000018</v>
      </c>
      <c r="J3" s="180">
        <v>145183.02499999982</v>
      </c>
      <c r="K3" s="180">
        <v>276</v>
      </c>
      <c r="L3" s="180">
        <v>50728.172399999377</v>
      </c>
      <c r="M3" s="180">
        <v>254716.95500000002</v>
      </c>
      <c r="N3" s="180">
        <v>254716.95500000002</v>
      </c>
      <c r="O3" s="180">
        <v>305445.12739999942</v>
      </c>
      <c r="P3" s="195">
        <v>1.9669586314577953E-2</v>
      </c>
    </row>
    <row r="4" spans="1:16" x14ac:dyDescent="0.35">
      <c r="A4" s="177" t="s">
        <v>15</v>
      </c>
      <c r="B4" s="184">
        <v>115</v>
      </c>
      <c r="C4" s="184">
        <v>39</v>
      </c>
      <c r="D4" s="184">
        <v>1292</v>
      </c>
      <c r="E4" s="184">
        <v>152</v>
      </c>
      <c r="F4" s="178">
        <v>6139.6199999999953</v>
      </c>
      <c r="G4" s="178">
        <v>736.0470360000005</v>
      </c>
      <c r="H4" s="178">
        <v>324</v>
      </c>
      <c r="I4" s="178">
        <v>25114.020000000062</v>
      </c>
      <c r="J4" s="178">
        <v>3750.8250000000007</v>
      </c>
      <c r="K4" s="178">
        <v>1455.5</v>
      </c>
      <c r="L4" s="178">
        <v>7199.6670359999962</v>
      </c>
      <c r="M4" s="178">
        <v>30320.345000000063</v>
      </c>
      <c r="N4" s="178">
        <v>30320.345000000063</v>
      </c>
      <c r="O4" s="178">
        <v>37520.012036000058</v>
      </c>
      <c r="P4" s="194">
        <v>2.4161561244997231E-3</v>
      </c>
    </row>
    <row r="5" spans="1:16" x14ac:dyDescent="0.35">
      <c r="A5" s="176" t="s">
        <v>332</v>
      </c>
      <c r="B5" s="185">
        <v>115</v>
      </c>
      <c r="C5" s="185">
        <v>39</v>
      </c>
      <c r="D5" s="185">
        <v>1292</v>
      </c>
      <c r="E5" s="185">
        <v>152</v>
      </c>
      <c r="F5" s="180">
        <v>6139.6199999999953</v>
      </c>
      <c r="G5" s="180">
        <v>736.0470360000005</v>
      </c>
      <c r="H5" s="180">
        <v>324</v>
      </c>
      <c r="I5" s="180">
        <v>25114.02000000008</v>
      </c>
      <c r="J5" s="180">
        <v>3750.8250000000012</v>
      </c>
      <c r="K5" s="180">
        <v>1455.5</v>
      </c>
      <c r="L5" s="180">
        <v>7199.6670359999962</v>
      </c>
      <c r="M5" s="180">
        <v>30320.345000000081</v>
      </c>
      <c r="N5" s="180">
        <v>30320.345000000081</v>
      </c>
      <c r="O5" s="180">
        <v>37520.01203600008</v>
      </c>
      <c r="P5" s="195">
        <v>2.4161561244997244E-3</v>
      </c>
    </row>
    <row r="6" spans="1:16" x14ac:dyDescent="0.35">
      <c r="A6" s="177" t="s">
        <v>16</v>
      </c>
      <c r="B6" s="184">
        <v>12</v>
      </c>
      <c r="C6" s="184"/>
      <c r="D6" s="184">
        <v>149</v>
      </c>
      <c r="E6" s="184"/>
      <c r="F6" s="178">
        <v>845.28000000000009</v>
      </c>
      <c r="G6" s="178"/>
      <c r="H6" s="178">
        <v>2550.9600000000005</v>
      </c>
      <c r="I6" s="178">
        <v>2463.0700000000043</v>
      </c>
      <c r="J6" s="178"/>
      <c r="K6" s="178">
        <v>7232.4049999999943</v>
      </c>
      <c r="L6" s="178">
        <v>3396.2400000000007</v>
      </c>
      <c r="M6" s="178">
        <v>9695.4749999999985</v>
      </c>
      <c r="N6" s="178">
        <v>9695.4749999999985</v>
      </c>
      <c r="O6" s="178">
        <v>13091.715</v>
      </c>
      <c r="P6" s="194">
        <v>8.4306016072448696E-4</v>
      </c>
    </row>
    <row r="7" spans="1:16" x14ac:dyDescent="0.35">
      <c r="A7" s="176" t="s">
        <v>331</v>
      </c>
      <c r="B7" s="185">
        <v>12</v>
      </c>
      <c r="C7" s="185"/>
      <c r="D7" s="185">
        <v>149</v>
      </c>
      <c r="E7" s="185"/>
      <c r="F7" s="180">
        <v>845.28000000000009</v>
      </c>
      <c r="G7" s="180"/>
      <c r="H7" s="180">
        <v>2550.9600000000005</v>
      </c>
      <c r="I7" s="180">
        <v>2463.0700000000043</v>
      </c>
      <c r="J7" s="180"/>
      <c r="K7" s="180">
        <v>7232.4049999999943</v>
      </c>
      <c r="L7" s="180">
        <v>3396.2400000000007</v>
      </c>
      <c r="M7" s="180">
        <v>9695.4749999999985</v>
      </c>
      <c r="N7" s="180">
        <v>9695.4749999999985</v>
      </c>
      <c r="O7" s="180">
        <v>13091.715</v>
      </c>
      <c r="P7" s="195">
        <v>8.4306016072448696E-4</v>
      </c>
    </row>
    <row r="8" spans="1:16" x14ac:dyDescent="0.35">
      <c r="A8" s="177" t="s">
        <v>510</v>
      </c>
      <c r="B8" s="184">
        <v>286</v>
      </c>
      <c r="C8" s="184">
        <v>38</v>
      </c>
      <c r="D8" s="184">
        <v>3632</v>
      </c>
      <c r="E8" s="184">
        <v>210</v>
      </c>
      <c r="F8" s="178">
        <v>19525.500054</v>
      </c>
      <c r="G8" s="178">
        <v>538.43370399999992</v>
      </c>
      <c r="H8" s="178">
        <v>68639.760000000126</v>
      </c>
      <c r="I8" s="178">
        <v>62408.760000000206</v>
      </c>
      <c r="J8" s="178">
        <v>3549.0000000000027</v>
      </c>
      <c r="K8" s="178">
        <v>219041.29999999993</v>
      </c>
      <c r="L8" s="178">
        <v>88703.693758000125</v>
      </c>
      <c r="M8" s="178">
        <v>284999.06000000017</v>
      </c>
      <c r="N8" s="178">
        <v>284999.06000000017</v>
      </c>
      <c r="O8" s="178">
        <v>373702.75375800033</v>
      </c>
      <c r="P8" s="194">
        <v>2.4065136129712807E-2</v>
      </c>
    </row>
    <row r="9" spans="1:16" x14ac:dyDescent="0.35">
      <c r="A9" s="176" t="s">
        <v>509</v>
      </c>
      <c r="B9" s="185">
        <v>286</v>
      </c>
      <c r="C9" s="185">
        <v>38</v>
      </c>
      <c r="D9" s="185">
        <v>3632</v>
      </c>
      <c r="E9" s="185">
        <v>210</v>
      </c>
      <c r="F9" s="180">
        <v>19525.500054</v>
      </c>
      <c r="G9" s="180">
        <v>538.43370399999992</v>
      </c>
      <c r="H9" s="180">
        <v>68639.760000000126</v>
      </c>
      <c r="I9" s="180">
        <v>62408.760000000206</v>
      </c>
      <c r="J9" s="180">
        <v>3549.00000000001</v>
      </c>
      <c r="K9" s="180">
        <v>219041.29999999993</v>
      </c>
      <c r="L9" s="180">
        <v>88703.693758000125</v>
      </c>
      <c r="M9" s="180">
        <v>284999.06000000017</v>
      </c>
      <c r="N9" s="180">
        <v>284999.06000000017</v>
      </c>
      <c r="O9" s="180">
        <v>373702.75375800033</v>
      </c>
      <c r="P9" s="195">
        <v>2.4065136129712807E-2</v>
      </c>
    </row>
    <row r="10" spans="1:16" x14ac:dyDescent="0.35">
      <c r="A10" s="177" t="s">
        <v>17</v>
      </c>
      <c r="B10" s="184">
        <v>255</v>
      </c>
      <c r="C10" s="184"/>
      <c r="D10" s="184">
        <v>2654</v>
      </c>
      <c r="E10" s="184"/>
      <c r="F10" s="178">
        <v>16261.922861999985</v>
      </c>
      <c r="G10" s="178"/>
      <c r="H10" s="178">
        <v>66446.640000000087</v>
      </c>
      <c r="I10" s="178">
        <v>41653.2400000001</v>
      </c>
      <c r="J10" s="178"/>
      <c r="K10" s="178">
        <v>164110.04999999941</v>
      </c>
      <c r="L10" s="178">
        <v>82708.562862000079</v>
      </c>
      <c r="M10" s="178">
        <v>205763.28999999951</v>
      </c>
      <c r="N10" s="178">
        <v>205763.28999999951</v>
      </c>
      <c r="O10" s="178">
        <v>288471.85286199959</v>
      </c>
      <c r="P10" s="194">
        <v>1.8576567442716858E-2</v>
      </c>
    </row>
    <row r="11" spans="1:16" x14ac:dyDescent="0.35">
      <c r="A11" s="176" t="s">
        <v>330</v>
      </c>
      <c r="B11" s="185">
        <v>255</v>
      </c>
      <c r="C11" s="185"/>
      <c r="D11" s="185">
        <v>2654</v>
      </c>
      <c r="E11" s="185"/>
      <c r="F11" s="180">
        <v>16261.922861999985</v>
      </c>
      <c r="G11" s="180"/>
      <c r="H11" s="180">
        <v>66446.640000000087</v>
      </c>
      <c r="I11" s="180">
        <v>41653.2400000001</v>
      </c>
      <c r="J11" s="180"/>
      <c r="K11" s="180">
        <v>164110.04999999941</v>
      </c>
      <c r="L11" s="180">
        <v>82708.562862000079</v>
      </c>
      <c r="M11" s="180">
        <v>205763.28999999951</v>
      </c>
      <c r="N11" s="180">
        <v>205763.28999999951</v>
      </c>
      <c r="O11" s="180">
        <v>288471.85286199959</v>
      </c>
      <c r="P11" s="195">
        <v>1.8576567442716858E-2</v>
      </c>
    </row>
    <row r="12" spans="1:16" x14ac:dyDescent="0.35">
      <c r="A12" s="177" t="s">
        <v>517</v>
      </c>
      <c r="B12" s="184"/>
      <c r="C12" s="184">
        <v>95</v>
      </c>
      <c r="D12" s="184"/>
      <c r="E12" s="184">
        <v>276</v>
      </c>
      <c r="F12" s="178"/>
      <c r="G12" s="178">
        <v>1195.5049849999984</v>
      </c>
      <c r="H12" s="178"/>
      <c r="I12" s="178"/>
      <c r="J12" s="178">
        <v>7721.6100000000051</v>
      </c>
      <c r="K12" s="178"/>
      <c r="L12" s="178">
        <v>1195.5049849999984</v>
      </c>
      <c r="M12" s="178">
        <v>7721.6100000000051</v>
      </c>
      <c r="N12" s="178">
        <v>4684.6776221700075</v>
      </c>
      <c r="O12" s="178">
        <v>5880.1826071700061</v>
      </c>
      <c r="P12" s="194">
        <v>3.7866297073302298E-4</v>
      </c>
    </row>
    <row r="13" spans="1:16" x14ac:dyDescent="0.35">
      <c r="A13" s="176" t="s">
        <v>328</v>
      </c>
      <c r="B13" s="185"/>
      <c r="C13" s="185">
        <v>95</v>
      </c>
      <c r="D13" s="185"/>
      <c r="E13" s="185">
        <v>276</v>
      </c>
      <c r="F13" s="180"/>
      <c r="G13" s="180">
        <v>1195.5049849999984</v>
      </c>
      <c r="H13" s="180"/>
      <c r="I13" s="180"/>
      <c r="J13" s="180">
        <v>7721.6100000000115</v>
      </c>
      <c r="K13" s="180"/>
      <c r="L13" s="180">
        <v>1195.5049849999984</v>
      </c>
      <c r="M13" s="180">
        <v>7721.6100000000115</v>
      </c>
      <c r="N13" s="180">
        <v>4684.6776221700075</v>
      </c>
      <c r="O13" s="180">
        <v>5880.1826071700061</v>
      </c>
      <c r="P13" s="195">
        <v>3.7866297073302298E-4</v>
      </c>
    </row>
    <row r="14" spans="1:16" x14ac:dyDescent="0.35">
      <c r="A14" s="177" t="s">
        <v>19</v>
      </c>
      <c r="B14" s="184">
        <v>438</v>
      </c>
      <c r="C14" s="184">
        <v>87</v>
      </c>
      <c r="D14" s="184">
        <v>5236</v>
      </c>
      <c r="E14" s="184">
        <v>569</v>
      </c>
      <c r="F14" s="178">
        <v>21318.11157599997</v>
      </c>
      <c r="G14" s="178">
        <v>1282.7884170000011</v>
      </c>
      <c r="H14" s="178">
        <v>1548</v>
      </c>
      <c r="I14" s="178">
        <v>101710.90000000015</v>
      </c>
      <c r="J14" s="178">
        <v>11023.252499999997</v>
      </c>
      <c r="K14" s="178">
        <v>5383.25</v>
      </c>
      <c r="L14" s="178">
        <v>24148.89999299997</v>
      </c>
      <c r="M14" s="178">
        <v>118117.40250000016</v>
      </c>
      <c r="N14" s="178">
        <v>118117.40250000016</v>
      </c>
      <c r="O14" s="178">
        <v>142266.30249300011</v>
      </c>
      <c r="P14" s="194">
        <v>9.1614469032840345E-3</v>
      </c>
    </row>
    <row r="15" spans="1:16" x14ac:dyDescent="0.35">
      <c r="A15" s="176" t="s">
        <v>327</v>
      </c>
      <c r="B15" s="185">
        <v>438</v>
      </c>
      <c r="C15" s="185">
        <v>87</v>
      </c>
      <c r="D15" s="185">
        <v>5236</v>
      </c>
      <c r="E15" s="185">
        <v>569</v>
      </c>
      <c r="F15" s="180">
        <v>21318.11157599997</v>
      </c>
      <c r="G15" s="180">
        <v>1282.7884170000011</v>
      </c>
      <c r="H15" s="180">
        <v>1548</v>
      </c>
      <c r="I15" s="180">
        <v>101710.90000000036</v>
      </c>
      <c r="J15" s="180">
        <v>11023.252500000004</v>
      </c>
      <c r="K15" s="180">
        <v>5383.25</v>
      </c>
      <c r="L15" s="180">
        <v>24148.89999299997</v>
      </c>
      <c r="M15" s="180">
        <v>118117.40250000036</v>
      </c>
      <c r="N15" s="180">
        <v>118117.40250000036</v>
      </c>
      <c r="O15" s="180">
        <v>142266.30249300034</v>
      </c>
      <c r="P15" s="195">
        <v>9.1614469032840502E-3</v>
      </c>
    </row>
    <row r="16" spans="1:16" x14ac:dyDescent="0.35">
      <c r="A16" s="177" t="s">
        <v>154</v>
      </c>
      <c r="B16" s="184">
        <v>667</v>
      </c>
      <c r="C16" s="184">
        <v>707</v>
      </c>
      <c r="D16" s="184">
        <v>7539</v>
      </c>
      <c r="E16" s="184">
        <v>2684</v>
      </c>
      <c r="F16" s="178">
        <v>35918.096057999894</v>
      </c>
      <c r="G16" s="178">
        <v>11663.373131999939</v>
      </c>
      <c r="H16" s="178">
        <v>2124</v>
      </c>
      <c r="I16" s="178">
        <v>142959.00000000055</v>
      </c>
      <c r="J16" s="178">
        <v>60843.412499999817</v>
      </c>
      <c r="K16" s="178">
        <v>7549</v>
      </c>
      <c r="L16" s="178">
        <v>49705.469189999829</v>
      </c>
      <c r="M16" s="178">
        <v>211351.41250000038</v>
      </c>
      <c r="N16" s="178">
        <v>211351.41250000038</v>
      </c>
      <c r="O16" s="178">
        <v>261056.88169000021</v>
      </c>
      <c r="P16" s="194">
        <v>1.6811140223859513E-2</v>
      </c>
    </row>
    <row r="17" spans="1:16" x14ac:dyDescent="0.35">
      <c r="A17" s="176" t="s">
        <v>181</v>
      </c>
      <c r="B17" s="185">
        <v>667</v>
      </c>
      <c r="C17" s="185">
        <v>707</v>
      </c>
      <c r="D17" s="185">
        <v>7539</v>
      </c>
      <c r="E17" s="185">
        <v>2684</v>
      </c>
      <c r="F17" s="180">
        <v>35918.096057999894</v>
      </c>
      <c r="G17" s="180">
        <v>11663.373131999939</v>
      </c>
      <c r="H17" s="180">
        <v>2124</v>
      </c>
      <c r="I17" s="180">
        <v>142959.00000000084</v>
      </c>
      <c r="J17" s="180">
        <v>60843.412500000049</v>
      </c>
      <c r="K17" s="180">
        <v>7549</v>
      </c>
      <c r="L17" s="180">
        <v>49705.469189999829</v>
      </c>
      <c r="M17" s="180">
        <v>211351.41250000091</v>
      </c>
      <c r="N17" s="180">
        <v>211351.41250000091</v>
      </c>
      <c r="O17" s="180">
        <v>261056.88169000074</v>
      </c>
      <c r="P17" s="195">
        <v>1.6811140223859548E-2</v>
      </c>
    </row>
    <row r="18" spans="1:16" x14ac:dyDescent="0.35">
      <c r="A18" s="177" t="s">
        <v>20</v>
      </c>
      <c r="B18" s="184"/>
      <c r="C18" s="184">
        <v>21</v>
      </c>
      <c r="D18" s="184"/>
      <c r="E18" s="184">
        <v>46</v>
      </c>
      <c r="F18" s="178"/>
      <c r="G18" s="178">
        <v>273.78028300000005</v>
      </c>
      <c r="H18" s="178"/>
      <c r="I18" s="178"/>
      <c r="J18" s="178">
        <v>1171.17</v>
      </c>
      <c r="K18" s="178"/>
      <c r="L18" s="178">
        <v>273.78028300000005</v>
      </c>
      <c r="M18" s="178">
        <v>1171.17</v>
      </c>
      <c r="N18" s="178">
        <v>304.19969579999997</v>
      </c>
      <c r="O18" s="178">
        <v>577.97997880000003</v>
      </c>
      <c r="P18" s="194">
        <v>3.7219867207822931E-5</v>
      </c>
    </row>
    <row r="19" spans="1:16" x14ac:dyDescent="0.35">
      <c r="A19" s="176" t="s">
        <v>326</v>
      </c>
      <c r="B19" s="185"/>
      <c r="C19" s="185">
        <v>21</v>
      </c>
      <c r="D19" s="185"/>
      <c r="E19" s="185">
        <v>46</v>
      </c>
      <c r="F19" s="180"/>
      <c r="G19" s="180">
        <v>273.78028300000005</v>
      </c>
      <c r="H19" s="180"/>
      <c r="I19" s="180"/>
      <c r="J19" s="180">
        <v>1171.17</v>
      </c>
      <c r="K19" s="180"/>
      <c r="L19" s="180">
        <v>273.78028300000005</v>
      </c>
      <c r="M19" s="180">
        <v>1171.17</v>
      </c>
      <c r="N19" s="180">
        <v>304.19969579999997</v>
      </c>
      <c r="O19" s="180">
        <v>577.97997880000003</v>
      </c>
      <c r="P19" s="195">
        <v>3.7219867207822931E-5</v>
      </c>
    </row>
    <row r="20" spans="1:16" x14ac:dyDescent="0.35">
      <c r="A20" s="177" t="s">
        <v>21</v>
      </c>
      <c r="B20" s="184">
        <v>1590</v>
      </c>
      <c r="C20" s="184">
        <v>732</v>
      </c>
      <c r="D20" s="184">
        <v>17229</v>
      </c>
      <c r="E20" s="184">
        <v>2750</v>
      </c>
      <c r="F20" s="178">
        <v>92696.390658000993</v>
      </c>
      <c r="G20" s="178">
        <v>10881.362271000036</v>
      </c>
      <c r="H20" s="178">
        <v>8532</v>
      </c>
      <c r="I20" s="178">
        <v>313113.16999999457</v>
      </c>
      <c r="J20" s="178">
        <v>62451.141999999723</v>
      </c>
      <c r="K20" s="178">
        <v>20705.5</v>
      </c>
      <c r="L20" s="178">
        <v>112109.75292900103</v>
      </c>
      <c r="M20" s="178">
        <v>396269.81199999427</v>
      </c>
      <c r="N20" s="178">
        <v>396269.81199999427</v>
      </c>
      <c r="O20" s="178">
        <v>508379.56492899533</v>
      </c>
      <c r="P20" s="194">
        <v>3.2737846624226352E-2</v>
      </c>
    </row>
    <row r="21" spans="1:16" x14ac:dyDescent="0.35">
      <c r="A21" s="176" t="s">
        <v>325</v>
      </c>
      <c r="B21" s="185">
        <v>1590</v>
      </c>
      <c r="C21" s="185">
        <v>732</v>
      </c>
      <c r="D21" s="185">
        <v>17229</v>
      </c>
      <c r="E21" s="185">
        <v>2750</v>
      </c>
      <c r="F21" s="180">
        <v>92696.390658000993</v>
      </c>
      <c r="G21" s="180">
        <v>10881.362271000036</v>
      </c>
      <c r="H21" s="180">
        <v>8532</v>
      </c>
      <c r="I21" s="180">
        <v>313113.16999998788</v>
      </c>
      <c r="J21" s="180">
        <v>62451.141999999956</v>
      </c>
      <c r="K21" s="180">
        <v>20705.5</v>
      </c>
      <c r="L21" s="180">
        <v>112109.75292900103</v>
      </c>
      <c r="M21" s="180">
        <v>396269.81199998781</v>
      </c>
      <c r="N21" s="180">
        <v>396269.81199998781</v>
      </c>
      <c r="O21" s="180">
        <v>508379.56492898881</v>
      </c>
      <c r="P21" s="195">
        <v>3.2737846624225936E-2</v>
      </c>
    </row>
    <row r="22" spans="1:16" x14ac:dyDescent="0.35">
      <c r="A22" s="177" t="s">
        <v>22</v>
      </c>
      <c r="B22" s="184">
        <v>856</v>
      </c>
      <c r="C22" s="184">
        <v>186</v>
      </c>
      <c r="D22" s="184">
        <v>8551</v>
      </c>
      <c r="E22" s="184">
        <v>902</v>
      </c>
      <c r="F22" s="178">
        <v>49168.265345999884</v>
      </c>
      <c r="G22" s="178">
        <v>3017.1945000000046</v>
      </c>
      <c r="H22" s="178">
        <v>2484</v>
      </c>
      <c r="I22" s="178">
        <v>166213.31000000003</v>
      </c>
      <c r="J22" s="178">
        <v>19156.117499999942</v>
      </c>
      <c r="K22" s="178">
        <v>12086.5</v>
      </c>
      <c r="L22" s="178">
        <v>54669.459845999889</v>
      </c>
      <c r="M22" s="178">
        <v>197455.92749999996</v>
      </c>
      <c r="N22" s="178">
        <v>197455.92749999996</v>
      </c>
      <c r="O22" s="178">
        <v>252125.38734599986</v>
      </c>
      <c r="P22" s="194">
        <v>1.6235983565074719E-2</v>
      </c>
    </row>
    <row r="23" spans="1:16" x14ac:dyDescent="0.35">
      <c r="A23" s="176" t="s">
        <v>324</v>
      </c>
      <c r="B23" s="185">
        <v>856</v>
      </c>
      <c r="C23" s="185">
        <v>186</v>
      </c>
      <c r="D23" s="185">
        <v>8551</v>
      </c>
      <c r="E23" s="185">
        <v>902</v>
      </c>
      <c r="F23" s="180">
        <v>49168.265345999884</v>
      </c>
      <c r="G23" s="180">
        <v>3017.1945000000046</v>
      </c>
      <c r="H23" s="180">
        <v>2484</v>
      </c>
      <c r="I23" s="180">
        <v>166213.31000000058</v>
      </c>
      <c r="J23" s="180">
        <v>19156.117499999964</v>
      </c>
      <c r="K23" s="180">
        <v>12086.5</v>
      </c>
      <c r="L23" s="180">
        <v>54669.459845999889</v>
      </c>
      <c r="M23" s="180">
        <v>197455.92750000054</v>
      </c>
      <c r="N23" s="180">
        <v>197455.92750000054</v>
      </c>
      <c r="O23" s="180">
        <v>252125.38734600044</v>
      </c>
      <c r="P23" s="195">
        <v>1.6235983565074757E-2</v>
      </c>
    </row>
    <row r="24" spans="1:16" x14ac:dyDescent="0.35">
      <c r="A24" s="177" t="s">
        <v>23</v>
      </c>
      <c r="B24" s="184">
        <v>671</v>
      </c>
      <c r="C24" s="184">
        <v>202</v>
      </c>
      <c r="D24" s="184">
        <v>6826</v>
      </c>
      <c r="E24" s="184">
        <v>709</v>
      </c>
      <c r="F24" s="178">
        <v>43632.901619999771</v>
      </c>
      <c r="G24" s="178">
        <v>2768.1018260000073</v>
      </c>
      <c r="H24" s="178">
        <v>4644</v>
      </c>
      <c r="I24" s="178">
        <v>147736.59000000035</v>
      </c>
      <c r="J24" s="178">
        <v>16108.527499999949</v>
      </c>
      <c r="K24" s="178">
        <v>13326.25</v>
      </c>
      <c r="L24" s="178">
        <v>51045.003445999777</v>
      </c>
      <c r="M24" s="178">
        <v>177171.36750000028</v>
      </c>
      <c r="N24" s="178">
        <v>177171.36750000028</v>
      </c>
      <c r="O24" s="178">
        <v>228216.37094600007</v>
      </c>
      <c r="P24" s="194">
        <v>1.4696327438360364E-2</v>
      </c>
    </row>
    <row r="25" spans="1:16" x14ac:dyDescent="0.35">
      <c r="A25" s="176" t="s">
        <v>322</v>
      </c>
      <c r="B25" s="185">
        <v>671</v>
      </c>
      <c r="C25" s="185">
        <v>202</v>
      </c>
      <c r="D25" s="185">
        <v>6826</v>
      </c>
      <c r="E25" s="185">
        <v>709</v>
      </c>
      <c r="F25" s="180">
        <v>43632.901619999771</v>
      </c>
      <c r="G25" s="180">
        <v>2768.1018260000073</v>
      </c>
      <c r="H25" s="180">
        <v>4644</v>
      </c>
      <c r="I25" s="180">
        <v>147736.59000000067</v>
      </c>
      <c r="J25" s="180">
        <v>16108.527499999929</v>
      </c>
      <c r="K25" s="180">
        <v>13326.25</v>
      </c>
      <c r="L25" s="180">
        <v>51045.003445999777</v>
      </c>
      <c r="M25" s="180">
        <v>177171.3675000006</v>
      </c>
      <c r="N25" s="180">
        <v>177171.3675000006</v>
      </c>
      <c r="O25" s="180">
        <v>228216.37094600039</v>
      </c>
      <c r="P25" s="195">
        <v>1.4696327438360385E-2</v>
      </c>
    </row>
    <row r="26" spans="1:16" x14ac:dyDescent="0.35">
      <c r="A26" s="177" t="s">
        <v>24</v>
      </c>
      <c r="B26" s="184"/>
      <c r="C26" s="184">
        <v>13</v>
      </c>
      <c r="D26" s="184"/>
      <c r="E26" s="184">
        <v>71</v>
      </c>
      <c r="F26" s="178"/>
      <c r="G26" s="178">
        <v>200.77199999999996</v>
      </c>
      <c r="H26" s="178"/>
      <c r="I26" s="178"/>
      <c r="J26" s="178">
        <v>932.88000000000056</v>
      </c>
      <c r="K26" s="178"/>
      <c r="L26" s="178">
        <v>200.77199999999996</v>
      </c>
      <c r="M26" s="178">
        <v>932.88000000000056</v>
      </c>
      <c r="N26" s="178">
        <v>932.88000000000056</v>
      </c>
      <c r="O26" s="178">
        <v>1133.6520000000005</v>
      </c>
      <c r="P26" s="194">
        <v>7.3003180815167179E-5</v>
      </c>
    </row>
    <row r="27" spans="1:16" x14ac:dyDescent="0.35">
      <c r="A27" s="176" t="s">
        <v>321</v>
      </c>
      <c r="B27" s="185"/>
      <c r="C27" s="185">
        <v>13</v>
      </c>
      <c r="D27" s="185"/>
      <c r="E27" s="185">
        <v>71</v>
      </c>
      <c r="F27" s="180"/>
      <c r="G27" s="180">
        <v>200.77199999999996</v>
      </c>
      <c r="H27" s="180"/>
      <c r="I27" s="180"/>
      <c r="J27" s="180">
        <v>932.88000000000056</v>
      </c>
      <c r="K27" s="180"/>
      <c r="L27" s="180">
        <v>200.77199999999996</v>
      </c>
      <c r="M27" s="180">
        <v>932.88000000000056</v>
      </c>
      <c r="N27" s="180">
        <v>932.88000000000056</v>
      </c>
      <c r="O27" s="180">
        <v>1133.6520000000005</v>
      </c>
      <c r="P27" s="195">
        <v>7.3003180815167179E-5</v>
      </c>
    </row>
    <row r="28" spans="1:16" x14ac:dyDescent="0.35">
      <c r="A28" s="177" t="s">
        <v>25</v>
      </c>
      <c r="B28" s="184">
        <v>27</v>
      </c>
      <c r="C28" s="184">
        <v>27</v>
      </c>
      <c r="D28" s="184">
        <v>436</v>
      </c>
      <c r="E28" s="184">
        <v>143</v>
      </c>
      <c r="F28" s="178">
        <v>2759.4001079999989</v>
      </c>
      <c r="G28" s="178">
        <v>547.56021600000008</v>
      </c>
      <c r="H28" s="178">
        <v>36</v>
      </c>
      <c r="I28" s="178">
        <v>11319.600000000004</v>
      </c>
      <c r="J28" s="178">
        <v>2935.5299999999997</v>
      </c>
      <c r="K28" s="178">
        <v>144</v>
      </c>
      <c r="L28" s="178">
        <v>3342.9603239999988</v>
      </c>
      <c r="M28" s="178">
        <v>14399.130000000005</v>
      </c>
      <c r="N28" s="178">
        <v>13862.762407500004</v>
      </c>
      <c r="O28" s="178">
        <v>17205.722731500002</v>
      </c>
      <c r="P28" s="194">
        <v>1.1079877137104917E-3</v>
      </c>
    </row>
    <row r="29" spans="1:16" x14ac:dyDescent="0.35">
      <c r="A29" s="176" t="s">
        <v>320</v>
      </c>
      <c r="B29" s="185">
        <v>27</v>
      </c>
      <c r="C29" s="185">
        <v>27</v>
      </c>
      <c r="D29" s="185">
        <v>436</v>
      </c>
      <c r="E29" s="185">
        <v>143</v>
      </c>
      <c r="F29" s="180">
        <v>2759.4001079999989</v>
      </c>
      <c r="G29" s="180">
        <v>547.56021600000008</v>
      </c>
      <c r="H29" s="180">
        <v>36</v>
      </c>
      <c r="I29" s="180">
        <v>11319.600000000004</v>
      </c>
      <c r="J29" s="180">
        <v>2935.5299999999997</v>
      </c>
      <c r="K29" s="180">
        <v>144</v>
      </c>
      <c r="L29" s="180">
        <v>3342.9603239999988</v>
      </c>
      <c r="M29" s="180">
        <v>14399.130000000005</v>
      </c>
      <c r="N29" s="180">
        <v>13862.762407500004</v>
      </c>
      <c r="O29" s="180">
        <v>17205.722731500002</v>
      </c>
      <c r="P29" s="195">
        <v>1.1079877137104917E-3</v>
      </c>
    </row>
    <row r="30" spans="1:16" x14ac:dyDescent="0.35">
      <c r="A30" s="177" t="s">
        <v>396</v>
      </c>
      <c r="B30" s="184">
        <v>4</v>
      </c>
      <c r="C30" s="184"/>
      <c r="D30" s="184">
        <v>44</v>
      </c>
      <c r="E30" s="184"/>
      <c r="F30" s="178">
        <v>279.36</v>
      </c>
      <c r="G30" s="178"/>
      <c r="H30" s="178"/>
      <c r="I30" s="178">
        <v>671.8</v>
      </c>
      <c r="J30" s="178"/>
      <c r="K30" s="178"/>
      <c r="L30" s="178">
        <v>279.36</v>
      </c>
      <c r="M30" s="178">
        <v>671.8</v>
      </c>
      <c r="N30" s="178">
        <v>671.8</v>
      </c>
      <c r="O30" s="178">
        <v>951.16</v>
      </c>
      <c r="P30" s="194">
        <v>6.1251341208902197E-5</v>
      </c>
    </row>
    <row r="31" spans="1:16" x14ac:dyDescent="0.35">
      <c r="A31" s="176" t="s">
        <v>319</v>
      </c>
      <c r="B31" s="185">
        <v>4</v>
      </c>
      <c r="C31" s="185"/>
      <c r="D31" s="185">
        <v>44</v>
      </c>
      <c r="E31" s="185"/>
      <c r="F31" s="180">
        <v>279.36</v>
      </c>
      <c r="G31" s="180"/>
      <c r="H31" s="180"/>
      <c r="I31" s="180">
        <v>671.8</v>
      </c>
      <c r="J31" s="180"/>
      <c r="K31" s="180"/>
      <c r="L31" s="180">
        <v>279.36</v>
      </c>
      <c r="M31" s="180">
        <v>671.8</v>
      </c>
      <c r="N31" s="180">
        <v>671.8</v>
      </c>
      <c r="O31" s="180">
        <v>951.16</v>
      </c>
      <c r="P31" s="195">
        <v>6.1251341208902197E-5</v>
      </c>
    </row>
    <row r="32" spans="1:16" x14ac:dyDescent="0.35">
      <c r="A32" s="177" t="s">
        <v>131</v>
      </c>
      <c r="B32" s="184"/>
      <c r="C32" s="184">
        <v>174</v>
      </c>
      <c r="D32" s="184"/>
      <c r="E32" s="184">
        <v>722</v>
      </c>
      <c r="F32" s="178"/>
      <c r="G32" s="178">
        <v>3477.0049090000084</v>
      </c>
      <c r="H32" s="178">
        <v>72</v>
      </c>
      <c r="I32" s="178"/>
      <c r="J32" s="178">
        <v>13794.137500000015</v>
      </c>
      <c r="K32" s="178">
        <v>162.5</v>
      </c>
      <c r="L32" s="178">
        <v>3549.0049090000084</v>
      </c>
      <c r="M32" s="178">
        <v>13956.637500000015</v>
      </c>
      <c r="N32" s="178">
        <v>1785.4586787374938</v>
      </c>
      <c r="O32" s="178">
        <v>5334.4635877375022</v>
      </c>
      <c r="P32" s="194">
        <v>3.4352059525103487E-4</v>
      </c>
    </row>
    <row r="33" spans="1:16" x14ac:dyDescent="0.35">
      <c r="A33" s="176" t="s">
        <v>318</v>
      </c>
      <c r="B33" s="185"/>
      <c r="C33" s="185">
        <v>174</v>
      </c>
      <c r="D33" s="185"/>
      <c r="E33" s="185">
        <v>722</v>
      </c>
      <c r="F33" s="180"/>
      <c r="G33" s="180">
        <v>3477.0049090000084</v>
      </c>
      <c r="H33" s="180">
        <v>72</v>
      </c>
      <c r="I33" s="180"/>
      <c r="J33" s="180">
        <v>13794.137500000015</v>
      </c>
      <c r="K33" s="180">
        <v>162.5</v>
      </c>
      <c r="L33" s="180">
        <v>3549.0049090000084</v>
      </c>
      <c r="M33" s="180">
        <v>13956.637500000015</v>
      </c>
      <c r="N33" s="180">
        <v>1785.4586787374938</v>
      </c>
      <c r="O33" s="180">
        <v>5334.4635877375022</v>
      </c>
      <c r="P33" s="195">
        <v>3.4352059525103487E-4</v>
      </c>
    </row>
    <row r="34" spans="1:16" x14ac:dyDescent="0.35">
      <c r="A34" s="177" t="s">
        <v>518</v>
      </c>
      <c r="B34" s="184">
        <v>30</v>
      </c>
      <c r="C34" s="184">
        <v>14</v>
      </c>
      <c r="D34" s="184">
        <v>373</v>
      </c>
      <c r="E34" s="184">
        <v>68</v>
      </c>
      <c r="F34" s="178">
        <v>1163.700486</v>
      </c>
      <c r="G34" s="178">
        <v>184.74299999999994</v>
      </c>
      <c r="H34" s="178">
        <v>72</v>
      </c>
      <c r="I34" s="178">
        <v>6699.11</v>
      </c>
      <c r="J34" s="178">
        <v>1189.0450000000001</v>
      </c>
      <c r="K34" s="178">
        <v>366.5</v>
      </c>
      <c r="L34" s="178">
        <v>1420.4434859999999</v>
      </c>
      <c r="M34" s="178">
        <v>8254.6549999999988</v>
      </c>
      <c r="N34" s="178">
        <v>8254.6549999999988</v>
      </c>
      <c r="O34" s="178">
        <v>9675.098485999999</v>
      </c>
      <c r="P34" s="194">
        <v>6.2304213654455504E-4</v>
      </c>
    </row>
    <row r="35" spans="1:16" x14ac:dyDescent="0.35">
      <c r="A35" s="176" t="s">
        <v>317</v>
      </c>
      <c r="B35" s="185">
        <v>30</v>
      </c>
      <c r="C35" s="185">
        <v>14</v>
      </c>
      <c r="D35" s="185">
        <v>373</v>
      </c>
      <c r="E35" s="185">
        <v>68</v>
      </c>
      <c r="F35" s="180">
        <v>1163.700486</v>
      </c>
      <c r="G35" s="180">
        <v>184.74299999999994</v>
      </c>
      <c r="H35" s="180">
        <v>72</v>
      </c>
      <c r="I35" s="180">
        <v>6699.109999999996</v>
      </c>
      <c r="J35" s="180">
        <v>1189.0449999999996</v>
      </c>
      <c r="K35" s="180">
        <v>366.5</v>
      </c>
      <c r="L35" s="180">
        <v>1420.4434859999999</v>
      </c>
      <c r="M35" s="180">
        <v>8254.6549999999952</v>
      </c>
      <c r="N35" s="180">
        <v>8254.6549999999952</v>
      </c>
      <c r="O35" s="180">
        <v>9675.0984859999953</v>
      </c>
      <c r="P35" s="195">
        <v>6.2304213654455483E-4</v>
      </c>
    </row>
    <row r="36" spans="1:16" x14ac:dyDescent="0.35">
      <c r="A36" s="177" t="s">
        <v>27</v>
      </c>
      <c r="B36" s="184">
        <v>40</v>
      </c>
      <c r="C36" s="184">
        <v>2</v>
      </c>
      <c r="D36" s="184">
        <v>763</v>
      </c>
      <c r="E36" s="184">
        <v>13</v>
      </c>
      <c r="F36" s="178">
        <v>2824.0194059999994</v>
      </c>
      <c r="G36" s="178">
        <v>22.698</v>
      </c>
      <c r="H36" s="178">
        <v>144</v>
      </c>
      <c r="I36" s="178">
        <v>15218.209999999983</v>
      </c>
      <c r="J36" s="178">
        <v>242.74250000000001</v>
      </c>
      <c r="K36" s="178">
        <v>876.5</v>
      </c>
      <c r="L36" s="178">
        <v>2990.7174059999993</v>
      </c>
      <c r="M36" s="178">
        <v>16337.452499999983</v>
      </c>
      <c r="N36" s="178">
        <v>16337.452499999983</v>
      </c>
      <c r="O36" s="178">
        <v>19328.169905999981</v>
      </c>
      <c r="P36" s="194">
        <v>1.2446658079145884E-3</v>
      </c>
    </row>
    <row r="37" spans="1:16" x14ac:dyDescent="0.35">
      <c r="A37" s="176" t="s">
        <v>316</v>
      </c>
      <c r="B37" s="185">
        <v>40</v>
      </c>
      <c r="C37" s="185">
        <v>2</v>
      </c>
      <c r="D37" s="185">
        <v>763</v>
      </c>
      <c r="E37" s="185">
        <v>13</v>
      </c>
      <c r="F37" s="180">
        <v>2824.0194059999994</v>
      </c>
      <c r="G37" s="180">
        <v>22.698</v>
      </c>
      <c r="H37" s="180">
        <v>144</v>
      </c>
      <c r="I37" s="180">
        <v>15218.209999999974</v>
      </c>
      <c r="J37" s="180">
        <v>242.74250000000001</v>
      </c>
      <c r="K37" s="180">
        <v>876.5</v>
      </c>
      <c r="L37" s="180">
        <v>2990.7174059999993</v>
      </c>
      <c r="M37" s="180">
        <v>16337.452499999974</v>
      </c>
      <c r="N37" s="180">
        <v>16337.452499999974</v>
      </c>
      <c r="O37" s="180">
        <v>19328.169905999974</v>
      </c>
      <c r="P37" s="195">
        <v>1.2446658079145879E-3</v>
      </c>
    </row>
    <row r="38" spans="1:16" x14ac:dyDescent="0.35">
      <c r="A38" s="177" t="s">
        <v>147</v>
      </c>
      <c r="B38" s="184"/>
      <c r="C38" s="184">
        <v>23</v>
      </c>
      <c r="D38" s="184"/>
      <c r="E38" s="184">
        <v>69</v>
      </c>
      <c r="F38" s="178"/>
      <c r="G38" s="178">
        <v>209.89800000000005</v>
      </c>
      <c r="H38" s="178"/>
      <c r="I38" s="178"/>
      <c r="J38" s="178">
        <v>2098.98</v>
      </c>
      <c r="K38" s="178"/>
      <c r="L38" s="178">
        <v>209.89800000000005</v>
      </c>
      <c r="M38" s="178">
        <v>2098.98</v>
      </c>
      <c r="N38" s="178">
        <v>1520.9985702599993</v>
      </c>
      <c r="O38" s="178">
        <v>1730.8965702599994</v>
      </c>
      <c r="P38" s="194">
        <v>1.1146361960376149E-4</v>
      </c>
    </row>
    <row r="39" spans="1:16" x14ac:dyDescent="0.35">
      <c r="A39" s="176" t="s">
        <v>315</v>
      </c>
      <c r="B39" s="185"/>
      <c r="C39" s="185">
        <v>23</v>
      </c>
      <c r="D39" s="185"/>
      <c r="E39" s="185">
        <v>69</v>
      </c>
      <c r="F39" s="180"/>
      <c r="G39" s="180">
        <v>209.89800000000005</v>
      </c>
      <c r="H39" s="180"/>
      <c r="I39" s="180"/>
      <c r="J39" s="180">
        <v>2098.98</v>
      </c>
      <c r="K39" s="180"/>
      <c r="L39" s="180">
        <v>209.89800000000005</v>
      </c>
      <c r="M39" s="180">
        <v>2098.98</v>
      </c>
      <c r="N39" s="180">
        <v>1520.9985702599993</v>
      </c>
      <c r="O39" s="180">
        <v>1730.8965702599994</v>
      </c>
      <c r="P39" s="195">
        <v>1.1146361960376149E-4</v>
      </c>
    </row>
    <row r="40" spans="1:16" x14ac:dyDescent="0.35">
      <c r="A40" s="177" t="s">
        <v>28</v>
      </c>
      <c r="B40" s="184">
        <v>2186</v>
      </c>
      <c r="C40" s="184">
        <v>652</v>
      </c>
      <c r="D40" s="184">
        <v>23963</v>
      </c>
      <c r="E40" s="184">
        <v>2592</v>
      </c>
      <c r="F40" s="178">
        <v>136353.42399599965</v>
      </c>
      <c r="G40" s="178">
        <v>10577.96673</v>
      </c>
      <c r="H40" s="178">
        <v>10404</v>
      </c>
      <c r="I40" s="178">
        <v>442666.05999999703</v>
      </c>
      <c r="J40" s="178">
        <v>58580.743000000031</v>
      </c>
      <c r="K40" s="178">
        <v>36025.35</v>
      </c>
      <c r="L40" s="178">
        <v>157335.39072599966</v>
      </c>
      <c r="M40" s="178">
        <v>537272.15299999702</v>
      </c>
      <c r="N40" s="178">
        <v>537272.15299999702</v>
      </c>
      <c r="O40" s="178">
        <v>694607.54372599674</v>
      </c>
      <c r="P40" s="194">
        <v>4.4730270056602968E-2</v>
      </c>
    </row>
    <row r="41" spans="1:16" x14ac:dyDescent="0.35">
      <c r="A41" s="176" t="s">
        <v>314</v>
      </c>
      <c r="B41" s="185">
        <v>2186</v>
      </c>
      <c r="C41" s="185">
        <v>652</v>
      </c>
      <c r="D41" s="185">
        <v>23963</v>
      </c>
      <c r="E41" s="185">
        <v>2592</v>
      </c>
      <c r="F41" s="180">
        <v>136353.42399599965</v>
      </c>
      <c r="G41" s="180">
        <v>10577.96673</v>
      </c>
      <c r="H41" s="180">
        <v>10404</v>
      </c>
      <c r="I41" s="180">
        <v>442666.0599999858</v>
      </c>
      <c r="J41" s="180">
        <v>58580.743000000053</v>
      </c>
      <c r="K41" s="180">
        <v>36025.35</v>
      </c>
      <c r="L41" s="180">
        <v>157335.39072599966</v>
      </c>
      <c r="M41" s="180">
        <v>537272.15299998585</v>
      </c>
      <c r="N41" s="180">
        <v>537272.15299998585</v>
      </c>
      <c r="O41" s="180">
        <v>694607.54372598557</v>
      </c>
      <c r="P41" s="195">
        <v>4.4730270056602246E-2</v>
      </c>
    </row>
    <row r="42" spans="1:16" x14ac:dyDescent="0.35">
      <c r="A42" s="177" t="s">
        <v>29</v>
      </c>
      <c r="B42" s="184">
        <v>28</v>
      </c>
      <c r="C42" s="184"/>
      <c r="D42" s="184">
        <v>299</v>
      </c>
      <c r="E42" s="184"/>
      <c r="F42" s="178">
        <v>2785.6797299999985</v>
      </c>
      <c r="G42" s="178"/>
      <c r="H42" s="178">
        <v>36</v>
      </c>
      <c r="I42" s="178">
        <v>7393.8199999999979</v>
      </c>
      <c r="J42" s="178"/>
      <c r="K42" s="178">
        <v>38</v>
      </c>
      <c r="L42" s="178">
        <v>2821.6797299999985</v>
      </c>
      <c r="M42" s="178">
        <v>7431.8199999999979</v>
      </c>
      <c r="N42" s="178">
        <v>7431.8199999999979</v>
      </c>
      <c r="O42" s="178">
        <v>10253.499729999996</v>
      </c>
      <c r="P42" s="194">
        <v>6.6028913174189018E-4</v>
      </c>
    </row>
    <row r="43" spans="1:16" x14ac:dyDescent="0.35">
      <c r="A43" s="176" t="s">
        <v>310</v>
      </c>
      <c r="B43" s="185">
        <v>28</v>
      </c>
      <c r="C43" s="185"/>
      <c r="D43" s="185">
        <v>299</v>
      </c>
      <c r="E43" s="185"/>
      <c r="F43" s="180">
        <v>2785.6797299999985</v>
      </c>
      <c r="G43" s="180"/>
      <c r="H43" s="180">
        <v>36</v>
      </c>
      <c r="I43" s="180">
        <v>7393.8199999999979</v>
      </c>
      <c r="J43" s="180"/>
      <c r="K43" s="180">
        <v>38</v>
      </c>
      <c r="L43" s="180">
        <v>2821.6797299999985</v>
      </c>
      <c r="M43" s="180">
        <v>7431.8199999999979</v>
      </c>
      <c r="N43" s="180">
        <v>7431.8199999999979</v>
      </c>
      <c r="O43" s="180">
        <v>10253.499729999996</v>
      </c>
      <c r="P43" s="195">
        <v>6.6028913174189018E-4</v>
      </c>
    </row>
    <row r="44" spans="1:16" x14ac:dyDescent="0.35">
      <c r="A44" s="177" t="s">
        <v>30</v>
      </c>
      <c r="B44" s="184">
        <v>674</v>
      </c>
      <c r="C44" s="184">
        <v>122</v>
      </c>
      <c r="D44" s="184">
        <v>7048</v>
      </c>
      <c r="E44" s="184">
        <v>362</v>
      </c>
      <c r="F44" s="178">
        <v>35010.005184000001</v>
      </c>
      <c r="G44" s="178">
        <v>1496.6631819999982</v>
      </c>
      <c r="H44" s="178">
        <v>792</v>
      </c>
      <c r="I44" s="178">
        <v>100973.04499999982</v>
      </c>
      <c r="J44" s="178">
        <v>10363.079999999998</v>
      </c>
      <c r="K44" s="178">
        <v>4218.25</v>
      </c>
      <c r="L44" s="178">
        <v>37298.668365999998</v>
      </c>
      <c r="M44" s="178">
        <v>115554.37499999983</v>
      </c>
      <c r="N44" s="178">
        <v>115554.37499999983</v>
      </c>
      <c r="O44" s="178">
        <v>152853.04336599982</v>
      </c>
      <c r="P44" s="194">
        <v>9.8431955864733359E-3</v>
      </c>
    </row>
    <row r="45" spans="1:16" x14ac:dyDescent="0.35">
      <c r="A45" s="176" t="s">
        <v>313</v>
      </c>
      <c r="B45" s="185">
        <v>674</v>
      </c>
      <c r="C45" s="185">
        <v>122</v>
      </c>
      <c r="D45" s="185">
        <v>7048</v>
      </c>
      <c r="E45" s="185">
        <v>362</v>
      </c>
      <c r="F45" s="180">
        <v>35010.005184000001</v>
      </c>
      <c r="G45" s="180">
        <v>1496.6631819999982</v>
      </c>
      <c r="H45" s="180">
        <v>792</v>
      </c>
      <c r="I45" s="180">
        <v>100973.04500000009</v>
      </c>
      <c r="J45" s="180">
        <v>10363.079999999994</v>
      </c>
      <c r="K45" s="180">
        <v>4218.25</v>
      </c>
      <c r="L45" s="180">
        <v>37298.668365999998</v>
      </c>
      <c r="M45" s="180">
        <v>115554.37500000009</v>
      </c>
      <c r="N45" s="180">
        <v>115554.37500000009</v>
      </c>
      <c r="O45" s="180">
        <v>152853.04336600009</v>
      </c>
      <c r="P45" s="195">
        <v>9.8431955864733533E-3</v>
      </c>
    </row>
    <row r="46" spans="1:16" x14ac:dyDescent="0.35">
      <c r="A46" s="177" t="s">
        <v>32</v>
      </c>
      <c r="B46" s="184">
        <v>64</v>
      </c>
      <c r="C46" s="184">
        <v>45</v>
      </c>
      <c r="D46" s="184">
        <v>1017</v>
      </c>
      <c r="E46" s="184">
        <v>232</v>
      </c>
      <c r="F46" s="178">
        <v>4914.3624299999956</v>
      </c>
      <c r="G46" s="178">
        <v>740.84350500000039</v>
      </c>
      <c r="H46" s="178">
        <v>252</v>
      </c>
      <c r="I46" s="178">
        <v>20621.01999999999</v>
      </c>
      <c r="J46" s="178">
        <v>5416.9537499999815</v>
      </c>
      <c r="K46" s="178">
        <v>1444.5</v>
      </c>
      <c r="L46" s="178">
        <v>5907.2059349999963</v>
      </c>
      <c r="M46" s="178">
        <v>27482.473749999972</v>
      </c>
      <c r="N46" s="178">
        <v>27482.473749999972</v>
      </c>
      <c r="O46" s="178">
        <v>33389.679684999966</v>
      </c>
      <c r="P46" s="194">
        <v>2.1501773237330027E-3</v>
      </c>
    </row>
    <row r="47" spans="1:16" x14ac:dyDescent="0.35">
      <c r="A47" s="176" t="s">
        <v>311</v>
      </c>
      <c r="B47" s="185">
        <v>64</v>
      </c>
      <c r="C47" s="185">
        <v>45</v>
      </c>
      <c r="D47" s="185">
        <v>1017</v>
      </c>
      <c r="E47" s="185">
        <v>232</v>
      </c>
      <c r="F47" s="180">
        <v>4914.3624299999956</v>
      </c>
      <c r="G47" s="180">
        <v>740.84350500000039</v>
      </c>
      <c r="H47" s="180">
        <v>252</v>
      </c>
      <c r="I47" s="180">
        <v>20621.01999999999</v>
      </c>
      <c r="J47" s="180">
        <v>5416.9537499999824</v>
      </c>
      <c r="K47" s="180">
        <v>1444.5</v>
      </c>
      <c r="L47" s="180">
        <v>5907.2059349999963</v>
      </c>
      <c r="M47" s="180">
        <v>27482.473749999972</v>
      </c>
      <c r="N47" s="180">
        <v>27482.473749999972</v>
      </c>
      <c r="O47" s="180">
        <v>33389.679684999966</v>
      </c>
      <c r="P47" s="195">
        <v>2.1501773237330027E-3</v>
      </c>
    </row>
    <row r="48" spans="1:16" x14ac:dyDescent="0.35">
      <c r="A48" s="177" t="s">
        <v>33</v>
      </c>
      <c r="B48" s="184">
        <v>770</v>
      </c>
      <c r="C48" s="184">
        <v>402</v>
      </c>
      <c r="D48" s="184">
        <v>8889</v>
      </c>
      <c r="E48" s="184">
        <v>1932</v>
      </c>
      <c r="F48" s="178">
        <v>44925.127128000233</v>
      </c>
      <c r="G48" s="178">
        <v>6198.1931079999613</v>
      </c>
      <c r="H48" s="178">
        <v>3888</v>
      </c>
      <c r="I48" s="178">
        <v>171127.95500000118</v>
      </c>
      <c r="J48" s="178">
        <v>40701.667499999967</v>
      </c>
      <c r="K48" s="178">
        <v>11648.5</v>
      </c>
      <c r="L48" s="178">
        <v>55011.320236000196</v>
      </c>
      <c r="M48" s="178">
        <v>223478.12250000116</v>
      </c>
      <c r="N48" s="178">
        <v>223478.12250000116</v>
      </c>
      <c r="O48" s="178">
        <v>278489.44273600134</v>
      </c>
      <c r="P48" s="194">
        <v>1.7933735523045384E-2</v>
      </c>
    </row>
    <row r="49" spans="1:16" x14ac:dyDescent="0.35">
      <c r="A49" s="176" t="s">
        <v>308</v>
      </c>
      <c r="B49" s="185">
        <v>770</v>
      </c>
      <c r="C49" s="185">
        <v>402</v>
      </c>
      <c r="D49" s="185">
        <v>8889</v>
      </c>
      <c r="E49" s="185">
        <v>1932</v>
      </c>
      <c r="F49" s="180">
        <v>44925.127128000233</v>
      </c>
      <c r="G49" s="180">
        <v>6198.1931079999613</v>
      </c>
      <c r="H49" s="180">
        <v>3888</v>
      </c>
      <c r="I49" s="180">
        <v>171127.95500000124</v>
      </c>
      <c r="J49" s="180">
        <v>40701.667499999901</v>
      </c>
      <c r="K49" s="180">
        <v>11648.5</v>
      </c>
      <c r="L49" s="180">
        <v>55011.320236000196</v>
      </c>
      <c r="M49" s="180">
        <v>223478.12250000113</v>
      </c>
      <c r="N49" s="180">
        <v>223478.12250000113</v>
      </c>
      <c r="O49" s="180">
        <v>278489.44273600134</v>
      </c>
      <c r="P49" s="195">
        <v>1.7933735523045384E-2</v>
      </c>
    </row>
    <row r="50" spans="1:16" x14ac:dyDescent="0.35">
      <c r="A50" s="177" t="s">
        <v>34</v>
      </c>
      <c r="B50" s="184">
        <v>92</v>
      </c>
      <c r="C50" s="184">
        <v>144</v>
      </c>
      <c r="D50" s="184">
        <v>787</v>
      </c>
      <c r="E50" s="184">
        <v>604</v>
      </c>
      <c r="F50" s="178">
        <v>5423.9386499999891</v>
      </c>
      <c r="G50" s="178">
        <v>2072.8895029999967</v>
      </c>
      <c r="H50" s="178">
        <v>252</v>
      </c>
      <c r="I50" s="178">
        <v>21753.370000000039</v>
      </c>
      <c r="J50" s="178">
        <v>16043.624999999951</v>
      </c>
      <c r="K50" s="178">
        <v>467.5</v>
      </c>
      <c r="L50" s="178">
        <v>7748.8281529999858</v>
      </c>
      <c r="M50" s="178">
        <v>38264.494999999988</v>
      </c>
      <c r="N50" s="178">
        <v>38264.494999999988</v>
      </c>
      <c r="O50" s="178">
        <v>46013.323152999976</v>
      </c>
      <c r="P50" s="194">
        <v>2.9630953326463274E-3</v>
      </c>
    </row>
    <row r="51" spans="1:16" x14ac:dyDescent="0.35">
      <c r="A51" s="176" t="s">
        <v>307</v>
      </c>
      <c r="B51" s="185">
        <v>92</v>
      </c>
      <c r="C51" s="185">
        <v>144</v>
      </c>
      <c r="D51" s="185">
        <v>787</v>
      </c>
      <c r="E51" s="185">
        <v>604</v>
      </c>
      <c r="F51" s="180">
        <v>5423.9386499999891</v>
      </c>
      <c r="G51" s="180">
        <v>2072.8895029999967</v>
      </c>
      <c r="H51" s="180">
        <v>252</v>
      </c>
      <c r="I51" s="180">
        <v>21753.370000000039</v>
      </c>
      <c r="J51" s="180">
        <v>16043.62499999996</v>
      </c>
      <c r="K51" s="180">
        <v>467.5</v>
      </c>
      <c r="L51" s="180">
        <v>7748.8281529999858</v>
      </c>
      <c r="M51" s="180">
        <v>38264.494999999995</v>
      </c>
      <c r="N51" s="180">
        <v>38264.494999999995</v>
      </c>
      <c r="O51" s="180">
        <v>46013.323152999983</v>
      </c>
      <c r="P51" s="195">
        <v>2.9630953326463278E-3</v>
      </c>
    </row>
    <row r="52" spans="1:16" x14ac:dyDescent="0.35">
      <c r="A52" s="177" t="s">
        <v>35</v>
      </c>
      <c r="B52" s="184">
        <v>24</v>
      </c>
      <c r="C52" s="184">
        <v>6</v>
      </c>
      <c r="D52" s="184">
        <v>246</v>
      </c>
      <c r="E52" s="184">
        <v>31</v>
      </c>
      <c r="F52" s="178">
        <v>1361.8799999999994</v>
      </c>
      <c r="G52" s="178">
        <v>109.51199999999999</v>
      </c>
      <c r="H52" s="178">
        <v>108</v>
      </c>
      <c r="I52" s="178">
        <v>4055.889999999999</v>
      </c>
      <c r="J52" s="178">
        <v>512.07000000000005</v>
      </c>
      <c r="K52" s="178">
        <v>322.5</v>
      </c>
      <c r="L52" s="178">
        <v>1579.3919999999994</v>
      </c>
      <c r="M52" s="178">
        <v>4890.4599999999991</v>
      </c>
      <c r="N52" s="178">
        <v>4801.3411474200011</v>
      </c>
      <c r="O52" s="178">
        <v>6380.73314742</v>
      </c>
      <c r="P52" s="194">
        <v>4.1089665584714965E-4</v>
      </c>
    </row>
    <row r="53" spans="1:16" x14ac:dyDescent="0.35">
      <c r="A53" s="176" t="s">
        <v>305</v>
      </c>
      <c r="B53" s="185">
        <v>24</v>
      </c>
      <c r="C53" s="185">
        <v>6</v>
      </c>
      <c r="D53" s="185">
        <v>246</v>
      </c>
      <c r="E53" s="185">
        <v>31</v>
      </c>
      <c r="F53" s="180">
        <v>1361.8799999999994</v>
      </c>
      <c r="G53" s="180">
        <v>109.51199999999999</v>
      </c>
      <c r="H53" s="180">
        <v>108</v>
      </c>
      <c r="I53" s="180">
        <v>4055.889999999999</v>
      </c>
      <c r="J53" s="180">
        <v>512.07000000000005</v>
      </c>
      <c r="K53" s="180">
        <v>322.5</v>
      </c>
      <c r="L53" s="180">
        <v>1579.3919999999994</v>
      </c>
      <c r="M53" s="180">
        <v>4890.4599999999991</v>
      </c>
      <c r="N53" s="180">
        <v>4801.3411474200011</v>
      </c>
      <c r="O53" s="180">
        <v>6380.73314742</v>
      </c>
      <c r="P53" s="195">
        <v>4.1089665584714965E-4</v>
      </c>
    </row>
    <row r="54" spans="1:16" x14ac:dyDescent="0.35">
      <c r="A54" s="177" t="s">
        <v>36</v>
      </c>
      <c r="B54" s="184">
        <v>324</v>
      </c>
      <c r="C54" s="184">
        <v>654</v>
      </c>
      <c r="D54" s="184">
        <v>3338</v>
      </c>
      <c r="E54" s="184">
        <v>2757</v>
      </c>
      <c r="F54" s="178">
        <v>16960.136057999978</v>
      </c>
      <c r="G54" s="178">
        <v>11114.41831599995</v>
      </c>
      <c r="H54" s="178">
        <v>540</v>
      </c>
      <c r="I54" s="178">
        <v>65186.089999999946</v>
      </c>
      <c r="J54" s="178">
        <v>58291.967500000508</v>
      </c>
      <c r="K54" s="178">
        <v>3529</v>
      </c>
      <c r="L54" s="178">
        <v>28614.554373999927</v>
      </c>
      <c r="M54" s="178">
        <v>127007.05750000046</v>
      </c>
      <c r="N54" s="178">
        <v>127007.05750000046</v>
      </c>
      <c r="O54" s="178">
        <v>155621.6118740004</v>
      </c>
      <c r="P54" s="194">
        <v>1.0021481610216728E-2</v>
      </c>
    </row>
    <row r="55" spans="1:16" x14ac:dyDescent="0.35">
      <c r="A55" s="176" t="s">
        <v>304</v>
      </c>
      <c r="B55" s="185">
        <v>324</v>
      </c>
      <c r="C55" s="185">
        <v>654</v>
      </c>
      <c r="D55" s="185">
        <v>3338</v>
      </c>
      <c r="E55" s="185">
        <v>2757</v>
      </c>
      <c r="F55" s="180">
        <v>16960.136057999978</v>
      </c>
      <c r="G55" s="180">
        <v>11114.41831599995</v>
      </c>
      <c r="H55" s="180">
        <v>540</v>
      </c>
      <c r="I55" s="180">
        <v>65186.089999999938</v>
      </c>
      <c r="J55" s="180">
        <v>58291.967500000501</v>
      </c>
      <c r="K55" s="180">
        <v>3529</v>
      </c>
      <c r="L55" s="180">
        <v>28614.554373999927</v>
      </c>
      <c r="M55" s="180">
        <v>127007.05750000043</v>
      </c>
      <c r="N55" s="180">
        <v>127007.05750000043</v>
      </c>
      <c r="O55" s="180">
        <v>155621.61187400034</v>
      </c>
      <c r="P55" s="195">
        <v>1.0021481610216725E-2</v>
      </c>
    </row>
    <row r="56" spans="1:16" x14ac:dyDescent="0.35">
      <c r="A56" s="177" t="s">
        <v>37</v>
      </c>
      <c r="B56" s="184"/>
      <c r="C56" s="184">
        <v>79</v>
      </c>
      <c r="D56" s="184"/>
      <c r="E56" s="184">
        <v>345</v>
      </c>
      <c r="F56" s="178"/>
      <c r="G56" s="178">
        <v>1378.0259139999989</v>
      </c>
      <c r="H56" s="178"/>
      <c r="I56" s="178"/>
      <c r="J56" s="178">
        <v>7011.8100000000122</v>
      </c>
      <c r="K56" s="178"/>
      <c r="L56" s="178">
        <v>1378.0259139999989</v>
      </c>
      <c r="M56" s="178">
        <v>7011.8100000000122</v>
      </c>
      <c r="N56" s="178">
        <v>5049.7162431299912</v>
      </c>
      <c r="O56" s="178">
        <v>6427.7421571299901</v>
      </c>
      <c r="P56" s="194">
        <v>4.1392386987385303E-4</v>
      </c>
    </row>
    <row r="57" spans="1:16" x14ac:dyDescent="0.35">
      <c r="A57" s="176" t="s">
        <v>303</v>
      </c>
      <c r="B57" s="185"/>
      <c r="C57" s="185">
        <v>79</v>
      </c>
      <c r="D57" s="185"/>
      <c r="E57" s="185">
        <v>345</v>
      </c>
      <c r="F57" s="180"/>
      <c r="G57" s="180">
        <v>1378.0259139999989</v>
      </c>
      <c r="H57" s="180"/>
      <c r="I57" s="180"/>
      <c r="J57" s="180">
        <v>7011.8100000000122</v>
      </c>
      <c r="K57" s="180"/>
      <c r="L57" s="180">
        <v>1378.0259139999989</v>
      </c>
      <c r="M57" s="180">
        <v>7011.8100000000122</v>
      </c>
      <c r="N57" s="180">
        <v>5049.7162431299912</v>
      </c>
      <c r="O57" s="180">
        <v>6427.7421571299901</v>
      </c>
      <c r="P57" s="195">
        <v>4.1392386987385303E-4</v>
      </c>
    </row>
    <row r="58" spans="1:16" x14ac:dyDescent="0.35">
      <c r="A58" s="177" t="s">
        <v>38</v>
      </c>
      <c r="B58" s="184">
        <v>13</v>
      </c>
      <c r="C58" s="184"/>
      <c r="D58" s="184">
        <v>184</v>
      </c>
      <c r="E58" s="184"/>
      <c r="F58" s="178">
        <v>972.36032400000022</v>
      </c>
      <c r="G58" s="178"/>
      <c r="H58" s="178"/>
      <c r="I58" s="178">
        <v>3917.28</v>
      </c>
      <c r="J58" s="178"/>
      <c r="K58" s="178"/>
      <c r="L58" s="178">
        <v>972.36032400000022</v>
      </c>
      <c r="M58" s="178">
        <v>3917.28</v>
      </c>
      <c r="N58" s="178">
        <v>3917.28</v>
      </c>
      <c r="O58" s="178">
        <v>4889.640324</v>
      </c>
      <c r="P58" s="194">
        <v>3.1487554972258196E-4</v>
      </c>
    </row>
    <row r="59" spans="1:16" x14ac:dyDescent="0.35">
      <c r="A59" s="176" t="s">
        <v>300</v>
      </c>
      <c r="B59" s="185">
        <v>13</v>
      </c>
      <c r="C59" s="185"/>
      <c r="D59" s="185">
        <v>184</v>
      </c>
      <c r="E59" s="185"/>
      <c r="F59" s="180">
        <v>972.36032400000022</v>
      </c>
      <c r="G59" s="180"/>
      <c r="H59" s="180"/>
      <c r="I59" s="180">
        <v>3917.28</v>
      </c>
      <c r="J59" s="180"/>
      <c r="K59" s="180"/>
      <c r="L59" s="180">
        <v>972.36032400000022</v>
      </c>
      <c r="M59" s="180">
        <v>3917.28</v>
      </c>
      <c r="N59" s="180">
        <v>3917.28</v>
      </c>
      <c r="O59" s="180">
        <v>4889.640324</v>
      </c>
      <c r="P59" s="195">
        <v>3.1487554972258196E-4</v>
      </c>
    </row>
    <row r="60" spans="1:16" x14ac:dyDescent="0.35">
      <c r="A60" s="177" t="s">
        <v>39</v>
      </c>
      <c r="B60" s="184">
        <v>770</v>
      </c>
      <c r="C60" s="184">
        <v>278</v>
      </c>
      <c r="D60" s="184">
        <v>7687</v>
      </c>
      <c r="E60" s="184">
        <v>973</v>
      </c>
      <c r="F60" s="178">
        <v>46032.656219999582</v>
      </c>
      <c r="G60" s="178">
        <v>3904.522445999999</v>
      </c>
      <c r="H60" s="178">
        <v>2088.7199999999998</v>
      </c>
      <c r="I60" s="178">
        <v>147820.59000000005</v>
      </c>
      <c r="J60" s="178">
        <v>27940.282499999965</v>
      </c>
      <c r="K60" s="178">
        <v>6455.1900000000005</v>
      </c>
      <c r="L60" s="178">
        <v>52025.898665999586</v>
      </c>
      <c r="M60" s="178">
        <v>182216.06250000003</v>
      </c>
      <c r="N60" s="178">
        <v>182216.06250000003</v>
      </c>
      <c r="O60" s="178">
        <v>234241.96116599962</v>
      </c>
      <c r="P60" s="194">
        <v>1.5084354145276356E-2</v>
      </c>
    </row>
    <row r="61" spans="1:16" x14ac:dyDescent="0.35">
      <c r="A61" s="176" t="s">
        <v>299</v>
      </c>
      <c r="B61" s="185">
        <v>770</v>
      </c>
      <c r="C61" s="185">
        <v>278</v>
      </c>
      <c r="D61" s="185">
        <v>7687</v>
      </c>
      <c r="E61" s="185">
        <v>973</v>
      </c>
      <c r="F61" s="180">
        <v>46032.656219999582</v>
      </c>
      <c r="G61" s="180">
        <v>3904.522445999999</v>
      </c>
      <c r="H61" s="180">
        <v>2088.7199999999998</v>
      </c>
      <c r="I61" s="180">
        <v>147820.59000000081</v>
      </c>
      <c r="J61" s="180">
        <v>27940.282499999947</v>
      </c>
      <c r="K61" s="180">
        <v>6455.1900000000005</v>
      </c>
      <c r="L61" s="180">
        <v>52025.898665999586</v>
      </c>
      <c r="M61" s="180">
        <v>182216.06250000076</v>
      </c>
      <c r="N61" s="180">
        <v>182216.06250000076</v>
      </c>
      <c r="O61" s="180">
        <v>234241.96116600034</v>
      </c>
      <c r="P61" s="195">
        <v>1.5084354145276403E-2</v>
      </c>
    </row>
    <row r="62" spans="1:16" x14ac:dyDescent="0.35">
      <c r="A62" s="177" t="s">
        <v>40</v>
      </c>
      <c r="B62" s="184"/>
      <c r="C62" s="184">
        <v>176</v>
      </c>
      <c r="D62" s="184"/>
      <c r="E62" s="184">
        <v>541</v>
      </c>
      <c r="F62" s="178"/>
      <c r="G62" s="178">
        <v>2263.249666000007</v>
      </c>
      <c r="H62" s="178"/>
      <c r="I62" s="178"/>
      <c r="J62" s="178">
        <v>14064.180000000018</v>
      </c>
      <c r="K62" s="178"/>
      <c r="L62" s="178">
        <v>2263.249666000007</v>
      </c>
      <c r="M62" s="178">
        <v>14064.180000000018</v>
      </c>
      <c r="N62" s="178">
        <v>8882.6266760400431</v>
      </c>
      <c r="O62" s="178">
        <v>11145.87634204005</v>
      </c>
      <c r="P62" s="194">
        <v>7.1775503059267188E-4</v>
      </c>
    </row>
    <row r="63" spans="1:16" x14ac:dyDescent="0.35">
      <c r="A63" s="176" t="s">
        <v>298</v>
      </c>
      <c r="B63" s="185"/>
      <c r="C63" s="185">
        <v>176</v>
      </c>
      <c r="D63" s="185"/>
      <c r="E63" s="185">
        <v>541</v>
      </c>
      <c r="F63" s="180"/>
      <c r="G63" s="180">
        <v>2263.249666000007</v>
      </c>
      <c r="H63" s="180"/>
      <c r="I63" s="180"/>
      <c r="J63" s="180">
        <v>14064.180000000006</v>
      </c>
      <c r="K63" s="180"/>
      <c r="L63" s="180">
        <v>2263.249666000007</v>
      </c>
      <c r="M63" s="180">
        <v>14064.180000000006</v>
      </c>
      <c r="N63" s="180">
        <v>8882.6266760400431</v>
      </c>
      <c r="O63" s="180">
        <v>11145.87634204005</v>
      </c>
      <c r="P63" s="195">
        <v>7.1775503059267188E-4</v>
      </c>
    </row>
    <row r="64" spans="1:16" x14ac:dyDescent="0.35">
      <c r="A64" s="177" t="s">
        <v>460</v>
      </c>
      <c r="B64" s="184">
        <v>1698</v>
      </c>
      <c r="C64" s="184">
        <v>749</v>
      </c>
      <c r="D64" s="184">
        <v>16966</v>
      </c>
      <c r="E64" s="184">
        <v>3530</v>
      </c>
      <c r="F64" s="178">
        <v>99045.168443997944</v>
      </c>
      <c r="G64" s="178">
        <v>9709.6055520001082</v>
      </c>
      <c r="H64" s="178">
        <v>3600</v>
      </c>
      <c r="I64" s="178">
        <v>343422.72999999911</v>
      </c>
      <c r="J64" s="178">
        <v>77243.757499999789</v>
      </c>
      <c r="K64" s="178">
        <v>16850</v>
      </c>
      <c r="L64" s="178">
        <v>112354.77399599805</v>
      </c>
      <c r="M64" s="178">
        <v>437516.48749999888</v>
      </c>
      <c r="N64" s="178">
        <v>437516.48749999888</v>
      </c>
      <c r="O64" s="178">
        <v>549871.26149599697</v>
      </c>
      <c r="P64" s="194">
        <v>3.540976519077841E-2</v>
      </c>
    </row>
    <row r="65" spans="1:16" x14ac:dyDescent="0.35">
      <c r="A65" s="176" t="s">
        <v>297</v>
      </c>
      <c r="B65" s="185">
        <v>1698</v>
      </c>
      <c r="C65" s="185">
        <v>749</v>
      </c>
      <c r="D65" s="185">
        <v>16966</v>
      </c>
      <c r="E65" s="185">
        <v>3530</v>
      </c>
      <c r="F65" s="180">
        <v>99045.168443997944</v>
      </c>
      <c r="G65" s="180">
        <v>9709.6055520001082</v>
      </c>
      <c r="H65" s="180">
        <v>3600</v>
      </c>
      <c r="I65" s="180">
        <v>343422.72999999655</v>
      </c>
      <c r="J65" s="180">
        <v>77243.757499999498</v>
      </c>
      <c r="K65" s="180">
        <v>16850</v>
      </c>
      <c r="L65" s="180">
        <v>112354.77399599805</v>
      </c>
      <c r="M65" s="180">
        <v>437516.48749999603</v>
      </c>
      <c r="N65" s="180">
        <v>437516.48749999603</v>
      </c>
      <c r="O65" s="180">
        <v>549871.26149599405</v>
      </c>
      <c r="P65" s="195">
        <v>3.5409765190778222E-2</v>
      </c>
    </row>
    <row r="66" spans="1:16" x14ac:dyDescent="0.35">
      <c r="A66" s="177" t="s">
        <v>41</v>
      </c>
      <c r="B66" s="184">
        <v>44</v>
      </c>
      <c r="C66" s="184">
        <v>75</v>
      </c>
      <c r="D66" s="184">
        <v>514</v>
      </c>
      <c r="E66" s="184">
        <v>416</v>
      </c>
      <c r="F66" s="178">
        <v>1711.0795679999983</v>
      </c>
      <c r="G66" s="178">
        <v>1232.0099999999986</v>
      </c>
      <c r="H66" s="178">
        <v>216</v>
      </c>
      <c r="I66" s="178">
        <v>10273.579999999994</v>
      </c>
      <c r="J66" s="178">
        <v>6102.1545000000033</v>
      </c>
      <c r="K66" s="178">
        <v>629.5</v>
      </c>
      <c r="L66" s="178">
        <v>3159.0895679999967</v>
      </c>
      <c r="M66" s="178">
        <v>17005.234499999999</v>
      </c>
      <c r="N66" s="178">
        <v>16704.479922633003</v>
      </c>
      <c r="O66" s="178">
        <v>19863.569490632999</v>
      </c>
      <c r="P66" s="194">
        <v>1.2791436482794706E-3</v>
      </c>
    </row>
    <row r="67" spans="1:16" x14ac:dyDescent="0.35">
      <c r="A67" s="176" t="s">
        <v>302</v>
      </c>
      <c r="B67" s="185">
        <v>44</v>
      </c>
      <c r="C67" s="185">
        <v>75</v>
      </c>
      <c r="D67" s="185">
        <v>514</v>
      </c>
      <c r="E67" s="185">
        <v>416</v>
      </c>
      <c r="F67" s="180">
        <v>1711.0795679999983</v>
      </c>
      <c r="G67" s="180">
        <v>1232.0099999999986</v>
      </c>
      <c r="H67" s="180">
        <v>216</v>
      </c>
      <c r="I67" s="180">
        <v>10273.579999999994</v>
      </c>
      <c r="J67" s="180">
        <v>6102.1545000000033</v>
      </c>
      <c r="K67" s="180">
        <v>629.5</v>
      </c>
      <c r="L67" s="180">
        <v>3159.0895679999967</v>
      </c>
      <c r="M67" s="180">
        <v>17005.234499999999</v>
      </c>
      <c r="N67" s="180">
        <v>16704.479922633003</v>
      </c>
      <c r="O67" s="180">
        <v>19863.569490632999</v>
      </c>
      <c r="P67" s="195">
        <v>1.2791436482794706E-3</v>
      </c>
    </row>
    <row r="68" spans="1:16" x14ac:dyDescent="0.35">
      <c r="A68" s="177" t="s">
        <v>42</v>
      </c>
      <c r="B68" s="184">
        <v>46</v>
      </c>
      <c r="C68" s="184"/>
      <c r="D68" s="184">
        <v>471</v>
      </c>
      <c r="E68" s="184"/>
      <c r="F68" s="178">
        <v>2741.2190820000001</v>
      </c>
      <c r="G68" s="178"/>
      <c r="H68" s="178">
        <v>756</v>
      </c>
      <c r="I68" s="178">
        <v>8217.8900000000067</v>
      </c>
      <c r="J68" s="178"/>
      <c r="K68" s="178">
        <v>1209.5</v>
      </c>
      <c r="L68" s="178">
        <v>3497.2190820000001</v>
      </c>
      <c r="M68" s="178">
        <v>9427.3900000000067</v>
      </c>
      <c r="N68" s="178">
        <v>9427.3900000000067</v>
      </c>
      <c r="O68" s="178">
        <v>12924.609082000006</v>
      </c>
      <c r="P68" s="194">
        <v>8.3229913040209699E-4</v>
      </c>
    </row>
    <row r="69" spans="1:16" x14ac:dyDescent="0.35">
      <c r="A69" s="176" t="s">
        <v>301</v>
      </c>
      <c r="B69" s="185">
        <v>46</v>
      </c>
      <c r="C69" s="185"/>
      <c r="D69" s="185">
        <v>471</v>
      </c>
      <c r="E69" s="185"/>
      <c r="F69" s="180">
        <v>2741.2190820000001</v>
      </c>
      <c r="G69" s="180"/>
      <c r="H69" s="180">
        <v>756</v>
      </c>
      <c r="I69" s="180">
        <v>8217.8900000000067</v>
      </c>
      <c r="J69" s="180"/>
      <c r="K69" s="180">
        <v>1209.5</v>
      </c>
      <c r="L69" s="180">
        <v>3497.2190820000001</v>
      </c>
      <c r="M69" s="180">
        <v>9427.3900000000067</v>
      </c>
      <c r="N69" s="180">
        <v>9427.3900000000067</v>
      </c>
      <c r="O69" s="180">
        <v>12924.609082000006</v>
      </c>
      <c r="P69" s="195">
        <v>8.3229913040209699E-4</v>
      </c>
    </row>
    <row r="70" spans="1:16" x14ac:dyDescent="0.35">
      <c r="A70" s="177" t="s">
        <v>43</v>
      </c>
      <c r="B70" s="184">
        <v>167</v>
      </c>
      <c r="C70" s="184">
        <v>7</v>
      </c>
      <c r="D70" s="184">
        <v>1718</v>
      </c>
      <c r="E70" s="184">
        <v>10</v>
      </c>
      <c r="F70" s="178">
        <v>12087.538865999994</v>
      </c>
      <c r="G70" s="178">
        <v>79.443000000000012</v>
      </c>
      <c r="H70" s="178">
        <v>288</v>
      </c>
      <c r="I70" s="178">
        <v>33263.71</v>
      </c>
      <c r="J70" s="178">
        <v>264.81</v>
      </c>
      <c r="K70" s="178">
        <v>950</v>
      </c>
      <c r="L70" s="178">
        <v>12454.981865999993</v>
      </c>
      <c r="M70" s="178">
        <v>34478.519999999997</v>
      </c>
      <c r="N70" s="178">
        <v>34478.519999999997</v>
      </c>
      <c r="O70" s="178">
        <v>46933.501865999991</v>
      </c>
      <c r="P70" s="194">
        <v>3.0223515885056283E-3</v>
      </c>
    </row>
    <row r="71" spans="1:16" x14ac:dyDescent="0.35">
      <c r="A71" s="176" t="s">
        <v>296</v>
      </c>
      <c r="B71" s="185">
        <v>167</v>
      </c>
      <c r="C71" s="185">
        <v>7</v>
      </c>
      <c r="D71" s="185">
        <v>1718</v>
      </c>
      <c r="E71" s="185">
        <v>10</v>
      </c>
      <c r="F71" s="180">
        <v>12087.538865999994</v>
      </c>
      <c r="G71" s="180">
        <v>79.443000000000012</v>
      </c>
      <c r="H71" s="180">
        <v>288</v>
      </c>
      <c r="I71" s="180">
        <v>33263.710000000021</v>
      </c>
      <c r="J71" s="180">
        <v>264.81</v>
      </c>
      <c r="K71" s="180">
        <v>950</v>
      </c>
      <c r="L71" s="180">
        <v>12454.981865999993</v>
      </c>
      <c r="M71" s="180">
        <v>34478.520000000019</v>
      </c>
      <c r="N71" s="180">
        <v>34478.520000000019</v>
      </c>
      <c r="O71" s="180">
        <v>46933.501866000013</v>
      </c>
      <c r="P71" s="195">
        <v>3.0223515885056296E-3</v>
      </c>
    </row>
    <row r="72" spans="1:16" x14ac:dyDescent="0.35">
      <c r="A72" s="177" t="s">
        <v>44</v>
      </c>
      <c r="B72" s="184">
        <v>657</v>
      </c>
      <c r="C72" s="184">
        <v>408</v>
      </c>
      <c r="D72" s="184">
        <v>6324</v>
      </c>
      <c r="E72" s="184">
        <v>1812</v>
      </c>
      <c r="F72" s="178">
        <v>39416.218271999984</v>
      </c>
      <c r="G72" s="178">
        <v>5401.1836679999724</v>
      </c>
      <c r="H72" s="178">
        <v>1476</v>
      </c>
      <c r="I72" s="178">
        <v>133342.79000000039</v>
      </c>
      <c r="J72" s="178">
        <v>35223.922499999862</v>
      </c>
      <c r="K72" s="178">
        <v>3454.5</v>
      </c>
      <c r="L72" s="178">
        <v>46293.401939999952</v>
      </c>
      <c r="M72" s="178">
        <v>172021.21250000026</v>
      </c>
      <c r="N72" s="178">
        <v>172021.21250000026</v>
      </c>
      <c r="O72" s="178">
        <v>218314.61444000021</v>
      </c>
      <c r="P72" s="194">
        <v>1.4058689326668887E-2</v>
      </c>
    </row>
    <row r="73" spans="1:16" x14ac:dyDescent="0.35">
      <c r="A73" s="176" t="s">
        <v>295</v>
      </c>
      <c r="B73" s="185">
        <v>657</v>
      </c>
      <c r="C73" s="185">
        <v>408</v>
      </c>
      <c r="D73" s="185">
        <v>6324</v>
      </c>
      <c r="E73" s="185">
        <v>1812</v>
      </c>
      <c r="F73" s="180">
        <v>39416.218271999984</v>
      </c>
      <c r="G73" s="180">
        <v>5401.1836679999724</v>
      </c>
      <c r="H73" s="180">
        <v>1476</v>
      </c>
      <c r="I73" s="180">
        <v>133342.79000000068</v>
      </c>
      <c r="J73" s="180">
        <v>35223.922499999775</v>
      </c>
      <c r="K73" s="180">
        <v>3454.5</v>
      </c>
      <c r="L73" s="180">
        <v>46293.401939999952</v>
      </c>
      <c r="M73" s="180">
        <v>172021.21250000046</v>
      </c>
      <c r="N73" s="180">
        <v>172021.21250000046</v>
      </c>
      <c r="O73" s="180">
        <v>218314.61444000041</v>
      </c>
      <c r="P73" s="195">
        <v>1.4058689326668899E-2</v>
      </c>
    </row>
    <row r="74" spans="1:16" x14ac:dyDescent="0.35">
      <c r="A74" s="177" t="s">
        <v>155</v>
      </c>
      <c r="B74" s="184">
        <v>27</v>
      </c>
      <c r="C74" s="184">
        <v>19</v>
      </c>
      <c r="D74" s="184">
        <v>299</v>
      </c>
      <c r="E74" s="184">
        <v>102</v>
      </c>
      <c r="F74" s="178">
        <v>733.32054000000005</v>
      </c>
      <c r="G74" s="178">
        <v>255.52807400000003</v>
      </c>
      <c r="H74" s="178"/>
      <c r="I74" s="178">
        <v>5998.6699999999983</v>
      </c>
      <c r="J74" s="178">
        <v>1564.6800000000003</v>
      </c>
      <c r="K74" s="178">
        <v>53.5</v>
      </c>
      <c r="L74" s="178">
        <v>988.84861400000011</v>
      </c>
      <c r="M74" s="178">
        <v>7616.8499999999985</v>
      </c>
      <c r="N74" s="178">
        <v>7616.8499999999985</v>
      </c>
      <c r="O74" s="178">
        <v>8605.698613999999</v>
      </c>
      <c r="P74" s="194">
        <v>5.5417656561155919E-4</v>
      </c>
    </row>
    <row r="75" spans="1:16" x14ac:dyDescent="0.35">
      <c r="A75" s="176" t="s">
        <v>294</v>
      </c>
      <c r="B75" s="185">
        <v>27</v>
      </c>
      <c r="C75" s="185">
        <v>19</v>
      </c>
      <c r="D75" s="185">
        <v>299</v>
      </c>
      <c r="E75" s="185">
        <v>102</v>
      </c>
      <c r="F75" s="180">
        <v>733.32054000000005</v>
      </c>
      <c r="G75" s="180">
        <v>255.52807400000003</v>
      </c>
      <c r="H75" s="180"/>
      <c r="I75" s="180">
        <v>5998.6699999999983</v>
      </c>
      <c r="J75" s="180">
        <v>1564.68</v>
      </c>
      <c r="K75" s="180">
        <v>53.5</v>
      </c>
      <c r="L75" s="180">
        <v>988.84861400000011</v>
      </c>
      <c r="M75" s="180">
        <v>7616.8499999999985</v>
      </c>
      <c r="N75" s="180">
        <v>7616.8499999999985</v>
      </c>
      <c r="O75" s="180">
        <v>8605.698613999999</v>
      </c>
      <c r="P75" s="195">
        <v>5.5417656561155919E-4</v>
      </c>
    </row>
    <row r="76" spans="1:16" x14ac:dyDescent="0.35">
      <c r="A76" s="177" t="s">
        <v>519</v>
      </c>
      <c r="B76" s="184">
        <v>28</v>
      </c>
      <c r="C76" s="184"/>
      <c r="D76" s="184">
        <v>272</v>
      </c>
      <c r="E76" s="184">
        <v>2</v>
      </c>
      <c r="F76" s="178">
        <v>1484.0996220000011</v>
      </c>
      <c r="G76" s="178"/>
      <c r="H76" s="178">
        <v>180</v>
      </c>
      <c r="I76" s="178">
        <v>4963.2599999999975</v>
      </c>
      <c r="J76" s="178">
        <v>35.49</v>
      </c>
      <c r="K76" s="178">
        <v>587.5</v>
      </c>
      <c r="L76" s="178">
        <v>1664.0996220000011</v>
      </c>
      <c r="M76" s="178">
        <v>5586.2499999999973</v>
      </c>
      <c r="N76" s="178">
        <v>5586.2499999999973</v>
      </c>
      <c r="O76" s="178">
        <v>7250.3496219999979</v>
      </c>
      <c r="P76" s="194">
        <v>4.6689688231313017E-4</v>
      </c>
    </row>
    <row r="77" spans="1:16" x14ac:dyDescent="0.35">
      <c r="A77" s="176" t="s">
        <v>293</v>
      </c>
      <c r="B77" s="185">
        <v>28</v>
      </c>
      <c r="C77" s="185"/>
      <c r="D77" s="185">
        <v>272</v>
      </c>
      <c r="E77" s="185">
        <v>2</v>
      </c>
      <c r="F77" s="180">
        <v>1484.0996220000011</v>
      </c>
      <c r="G77" s="180"/>
      <c r="H77" s="180">
        <v>180</v>
      </c>
      <c r="I77" s="180">
        <v>4963.2599999999993</v>
      </c>
      <c r="J77" s="180">
        <v>35.49</v>
      </c>
      <c r="K77" s="180">
        <v>587.5</v>
      </c>
      <c r="L77" s="180">
        <v>1664.0996220000011</v>
      </c>
      <c r="M77" s="180">
        <v>5586.2499999999991</v>
      </c>
      <c r="N77" s="180">
        <v>5586.2499999999991</v>
      </c>
      <c r="O77" s="180">
        <v>7250.3496219999997</v>
      </c>
      <c r="P77" s="195">
        <v>4.6689688231313028E-4</v>
      </c>
    </row>
    <row r="78" spans="1:16" x14ac:dyDescent="0.35">
      <c r="A78" s="177" t="s">
        <v>47</v>
      </c>
      <c r="B78" s="184"/>
      <c r="C78" s="184">
        <v>12</v>
      </c>
      <c r="D78" s="184"/>
      <c r="E78" s="184">
        <v>72</v>
      </c>
      <c r="F78" s="178"/>
      <c r="G78" s="178">
        <v>204.28214400000005</v>
      </c>
      <c r="H78" s="178"/>
      <c r="I78" s="178"/>
      <c r="J78" s="178">
        <v>1601.47</v>
      </c>
      <c r="K78" s="178"/>
      <c r="L78" s="178">
        <v>204.28214400000005</v>
      </c>
      <c r="M78" s="178">
        <v>1601.47</v>
      </c>
      <c r="N78" s="178">
        <v>1601.47</v>
      </c>
      <c r="O78" s="178">
        <v>1805.752144</v>
      </c>
      <c r="P78" s="194">
        <v>1.1628405390349751E-4</v>
      </c>
    </row>
    <row r="79" spans="1:16" x14ac:dyDescent="0.35">
      <c r="A79" s="176" t="s">
        <v>292</v>
      </c>
      <c r="B79" s="185"/>
      <c r="C79" s="185">
        <v>12</v>
      </c>
      <c r="D79" s="185"/>
      <c r="E79" s="185">
        <v>72</v>
      </c>
      <c r="F79" s="180"/>
      <c r="G79" s="180">
        <v>204.28214400000005</v>
      </c>
      <c r="H79" s="180"/>
      <c r="I79" s="180"/>
      <c r="J79" s="180">
        <v>1601.47</v>
      </c>
      <c r="K79" s="180"/>
      <c r="L79" s="180">
        <v>204.28214400000005</v>
      </c>
      <c r="M79" s="180">
        <v>1601.47</v>
      </c>
      <c r="N79" s="180">
        <v>1601.47</v>
      </c>
      <c r="O79" s="180">
        <v>1805.752144</v>
      </c>
      <c r="P79" s="195">
        <v>1.1628405390349751E-4</v>
      </c>
    </row>
    <row r="80" spans="1:16" ht="23" x14ac:dyDescent="0.35">
      <c r="A80" s="177" t="s">
        <v>520</v>
      </c>
      <c r="B80" s="184"/>
      <c r="C80" s="184">
        <v>8</v>
      </c>
      <c r="D80" s="184"/>
      <c r="E80" s="184">
        <v>32</v>
      </c>
      <c r="F80" s="178"/>
      <c r="G80" s="178">
        <v>100.38599999999998</v>
      </c>
      <c r="H80" s="178"/>
      <c r="I80" s="178"/>
      <c r="J80" s="178">
        <v>476.58</v>
      </c>
      <c r="K80" s="178"/>
      <c r="L80" s="178">
        <v>100.38599999999998</v>
      </c>
      <c r="M80" s="178">
        <v>476.58</v>
      </c>
      <c r="N80" s="178">
        <v>476.58</v>
      </c>
      <c r="O80" s="178">
        <v>576.96600000000001</v>
      </c>
      <c r="P80" s="194">
        <v>3.7154570557987578E-5</v>
      </c>
    </row>
    <row r="81" spans="1:16" x14ac:dyDescent="0.35">
      <c r="A81" s="176" t="s">
        <v>291</v>
      </c>
      <c r="B81" s="185"/>
      <c r="C81" s="185">
        <v>8</v>
      </c>
      <c r="D81" s="185"/>
      <c r="E81" s="185">
        <v>32</v>
      </c>
      <c r="F81" s="180"/>
      <c r="G81" s="180">
        <v>100.38599999999998</v>
      </c>
      <c r="H81" s="180"/>
      <c r="I81" s="180"/>
      <c r="J81" s="180">
        <v>476.57999999999981</v>
      </c>
      <c r="K81" s="180"/>
      <c r="L81" s="180">
        <v>100.38599999999998</v>
      </c>
      <c r="M81" s="180">
        <v>476.57999999999981</v>
      </c>
      <c r="N81" s="180">
        <v>476.57999999999981</v>
      </c>
      <c r="O81" s="180">
        <v>576.96599999999978</v>
      </c>
      <c r="P81" s="195">
        <v>3.7154570557987565E-5</v>
      </c>
    </row>
    <row r="82" spans="1:16" x14ac:dyDescent="0.35">
      <c r="A82" s="177" t="s">
        <v>49</v>
      </c>
      <c r="B82" s="184">
        <v>27</v>
      </c>
      <c r="C82" s="184"/>
      <c r="D82" s="184">
        <v>194</v>
      </c>
      <c r="E82" s="184"/>
      <c r="F82" s="178">
        <v>1097.8197299999999</v>
      </c>
      <c r="G82" s="178"/>
      <c r="H82" s="178"/>
      <c r="I82" s="178">
        <v>4588.579999999999</v>
      </c>
      <c r="J82" s="178"/>
      <c r="K82" s="178"/>
      <c r="L82" s="178">
        <v>1097.8197299999999</v>
      </c>
      <c r="M82" s="178">
        <v>4588.579999999999</v>
      </c>
      <c r="N82" s="178">
        <v>4588.579999999999</v>
      </c>
      <c r="O82" s="178">
        <v>5686.3997299999992</v>
      </c>
      <c r="P82" s="194">
        <v>3.6618403855548934E-4</v>
      </c>
    </row>
    <row r="83" spans="1:16" x14ac:dyDescent="0.35">
      <c r="A83" s="176" t="s">
        <v>289</v>
      </c>
      <c r="B83" s="185">
        <v>27</v>
      </c>
      <c r="C83" s="185"/>
      <c r="D83" s="185">
        <v>194</v>
      </c>
      <c r="E83" s="185"/>
      <c r="F83" s="180">
        <v>1097.8197299999999</v>
      </c>
      <c r="G83" s="180"/>
      <c r="H83" s="180"/>
      <c r="I83" s="180">
        <v>4588.579999999999</v>
      </c>
      <c r="J83" s="180"/>
      <c r="K83" s="180"/>
      <c r="L83" s="180">
        <v>1097.8197299999999</v>
      </c>
      <c r="M83" s="180">
        <v>4588.579999999999</v>
      </c>
      <c r="N83" s="180">
        <v>4588.579999999999</v>
      </c>
      <c r="O83" s="180">
        <v>5686.3997299999992</v>
      </c>
      <c r="P83" s="195">
        <v>3.6618403855548934E-4</v>
      </c>
    </row>
    <row r="84" spans="1:16" x14ac:dyDescent="0.35">
      <c r="A84" s="177" t="s">
        <v>50</v>
      </c>
      <c r="B84" s="184">
        <v>658</v>
      </c>
      <c r="C84" s="184">
        <v>285</v>
      </c>
      <c r="D84" s="184">
        <v>6244</v>
      </c>
      <c r="E84" s="184">
        <v>1129</v>
      </c>
      <c r="F84" s="178">
        <v>39383.716770000065</v>
      </c>
      <c r="G84" s="178">
        <v>4346.5507900000139</v>
      </c>
      <c r="H84" s="178">
        <v>1188</v>
      </c>
      <c r="I84" s="178">
        <v>124335.5750000001</v>
      </c>
      <c r="J84" s="178">
        <v>24824.474999999911</v>
      </c>
      <c r="K84" s="178">
        <v>6325</v>
      </c>
      <c r="L84" s="178">
        <v>44918.26756000008</v>
      </c>
      <c r="M84" s="178">
        <v>155485.05000000002</v>
      </c>
      <c r="N84" s="178">
        <v>155485.05000000002</v>
      </c>
      <c r="O84" s="178">
        <v>200403.31756000011</v>
      </c>
      <c r="P84" s="194">
        <v>1.2905265132326368E-2</v>
      </c>
    </row>
    <row r="85" spans="1:16" x14ac:dyDescent="0.35">
      <c r="A85" s="176" t="s">
        <v>288</v>
      </c>
      <c r="B85" s="185">
        <v>658</v>
      </c>
      <c r="C85" s="185">
        <v>285</v>
      </c>
      <c r="D85" s="185">
        <v>6244</v>
      </c>
      <c r="E85" s="185">
        <v>1129</v>
      </c>
      <c r="F85" s="180">
        <v>39383.716770000065</v>
      </c>
      <c r="G85" s="180">
        <v>4346.5507900000139</v>
      </c>
      <c r="H85" s="180">
        <v>1188</v>
      </c>
      <c r="I85" s="180">
        <v>124335.57500000075</v>
      </c>
      <c r="J85" s="180">
        <v>24824.4749999999</v>
      </c>
      <c r="K85" s="180">
        <v>6325</v>
      </c>
      <c r="L85" s="180">
        <v>44918.26756000008</v>
      </c>
      <c r="M85" s="180">
        <v>155485.05000000066</v>
      </c>
      <c r="N85" s="180">
        <v>155485.05000000066</v>
      </c>
      <c r="O85" s="180">
        <v>200403.31756000075</v>
      </c>
      <c r="P85" s="195">
        <v>1.2905265132326408E-2</v>
      </c>
    </row>
    <row r="86" spans="1:16" x14ac:dyDescent="0.35">
      <c r="A86" s="177" t="s">
        <v>454</v>
      </c>
      <c r="B86" s="184">
        <v>25</v>
      </c>
      <c r="C86" s="184"/>
      <c r="D86" s="184">
        <v>289</v>
      </c>
      <c r="E86" s="184"/>
      <c r="F86" s="178">
        <v>2312.6399999999994</v>
      </c>
      <c r="G86" s="178"/>
      <c r="H86" s="178"/>
      <c r="I86" s="178">
        <v>6119.8599999999979</v>
      </c>
      <c r="J86" s="178"/>
      <c r="K86" s="178"/>
      <c r="L86" s="178">
        <v>2312.6399999999994</v>
      </c>
      <c r="M86" s="178">
        <v>6119.8599999999979</v>
      </c>
      <c r="N86" s="178">
        <v>6119.8599999999979</v>
      </c>
      <c r="O86" s="178">
        <v>8432.4999999999964</v>
      </c>
      <c r="P86" s="194">
        <v>5.4302318720727064E-4</v>
      </c>
    </row>
    <row r="87" spans="1:16" x14ac:dyDescent="0.35">
      <c r="A87" s="176" t="s">
        <v>277</v>
      </c>
      <c r="B87" s="185">
        <v>25</v>
      </c>
      <c r="C87" s="185"/>
      <c r="D87" s="185">
        <v>289</v>
      </c>
      <c r="E87" s="185"/>
      <c r="F87" s="180">
        <v>2312.6399999999994</v>
      </c>
      <c r="G87" s="180"/>
      <c r="H87" s="180"/>
      <c r="I87" s="180">
        <v>6119.8599999999979</v>
      </c>
      <c r="J87" s="180"/>
      <c r="K87" s="180"/>
      <c r="L87" s="180">
        <v>2312.6399999999994</v>
      </c>
      <c r="M87" s="180">
        <v>6119.8599999999979</v>
      </c>
      <c r="N87" s="180">
        <v>6119.8599999999979</v>
      </c>
      <c r="O87" s="180">
        <v>8432.4999999999964</v>
      </c>
      <c r="P87" s="195">
        <v>5.4302318720727064E-4</v>
      </c>
    </row>
    <row r="88" spans="1:16" x14ac:dyDescent="0.35">
      <c r="A88" s="177" t="s">
        <v>52</v>
      </c>
      <c r="B88" s="184">
        <v>816</v>
      </c>
      <c r="C88" s="184">
        <v>306</v>
      </c>
      <c r="D88" s="184">
        <v>8338</v>
      </c>
      <c r="E88" s="184">
        <v>1156</v>
      </c>
      <c r="F88" s="178">
        <v>50097.769685999592</v>
      </c>
      <c r="G88" s="178">
        <v>4137.9398000000247</v>
      </c>
      <c r="H88" s="178">
        <v>3168</v>
      </c>
      <c r="I88" s="178">
        <v>165212.44999999995</v>
      </c>
      <c r="J88" s="178">
        <v>27434.907499999954</v>
      </c>
      <c r="K88" s="178">
        <v>12557.75</v>
      </c>
      <c r="L88" s="178">
        <v>57403.709485999614</v>
      </c>
      <c r="M88" s="178">
        <v>205205.1074999999</v>
      </c>
      <c r="N88" s="178">
        <v>205205.1074999999</v>
      </c>
      <c r="O88" s="178">
        <v>262608.81698599953</v>
      </c>
      <c r="P88" s="194">
        <v>1.6911079370111871E-2</v>
      </c>
    </row>
    <row r="89" spans="1:16" x14ac:dyDescent="0.35">
      <c r="A89" s="176" t="s">
        <v>276</v>
      </c>
      <c r="B89" s="185">
        <v>816</v>
      </c>
      <c r="C89" s="185">
        <v>306</v>
      </c>
      <c r="D89" s="185">
        <v>8338</v>
      </c>
      <c r="E89" s="185">
        <v>1156</v>
      </c>
      <c r="F89" s="180">
        <v>50097.769685999592</v>
      </c>
      <c r="G89" s="180">
        <v>4137.9398000000247</v>
      </c>
      <c r="H89" s="180">
        <v>3168</v>
      </c>
      <c r="I89" s="180">
        <v>165212.4500000003</v>
      </c>
      <c r="J89" s="180">
        <v>27434.907499999848</v>
      </c>
      <c r="K89" s="180">
        <v>12557.75</v>
      </c>
      <c r="L89" s="180">
        <v>57403.709485999614</v>
      </c>
      <c r="M89" s="180">
        <v>205205.10750000016</v>
      </c>
      <c r="N89" s="180">
        <v>205205.10750000016</v>
      </c>
      <c r="O89" s="180">
        <v>262608.81698599976</v>
      </c>
      <c r="P89" s="195">
        <v>1.6911079370111885E-2</v>
      </c>
    </row>
    <row r="90" spans="1:16" x14ac:dyDescent="0.35">
      <c r="A90" s="177" t="s">
        <v>53</v>
      </c>
      <c r="B90" s="184">
        <v>1530</v>
      </c>
      <c r="C90" s="184">
        <v>717</v>
      </c>
      <c r="D90" s="184">
        <v>18357</v>
      </c>
      <c r="E90" s="184">
        <v>2902</v>
      </c>
      <c r="F90" s="178">
        <v>89008.396145999417</v>
      </c>
      <c r="G90" s="178">
        <v>11229.775924000085</v>
      </c>
      <c r="H90" s="178">
        <v>4203.3600000000006</v>
      </c>
      <c r="I90" s="178">
        <v>345915.64999999967</v>
      </c>
      <c r="J90" s="178">
        <v>68997.500000000029</v>
      </c>
      <c r="K90" s="178">
        <v>16629.7</v>
      </c>
      <c r="L90" s="178">
        <v>104441.53206999951</v>
      </c>
      <c r="M90" s="178">
        <v>431542.84999999969</v>
      </c>
      <c r="N90" s="178">
        <v>431542.84999999969</v>
      </c>
      <c r="O90" s="178">
        <v>535984.38206999924</v>
      </c>
      <c r="P90" s="194">
        <v>3.451549925229417E-2</v>
      </c>
    </row>
    <row r="91" spans="1:16" x14ac:dyDescent="0.35">
      <c r="A91" s="176" t="s">
        <v>270</v>
      </c>
      <c r="B91" s="185">
        <v>1530</v>
      </c>
      <c r="C91" s="185">
        <v>717</v>
      </c>
      <c r="D91" s="185">
        <v>18357</v>
      </c>
      <c r="E91" s="185">
        <v>2902</v>
      </c>
      <c r="F91" s="180">
        <v>89008.396145999417</v>
      </c>
      <c r="G91" s="180">
        <v>11229.775924000085</v>
      </c>
      <c r="H91" s="180">
        <v>4203.3600000000006</v>
      </c>
      <c r="I91" s="180">
        <v>345915.64999999426</v>
      </c>
      <c r="J91" s="180">
        <v>68997.500000000058</v>
      </c>
      <c r="K91" s="180">
        <v>16629.7</v>
      </c>
      <c r="L91" s="180">
        <v>104441.53206999951</v>
      </c>
      <c r="M91" s="180">
        <v>431542.84999999433</v>
      </c>
      <c r="N91" s="180">
        <v>431542.84999999433</v>
      </c>
      <c r="O91" s="180">
        <v>535984.38206999388</v>
      </c>
      <c r="P91" s="195">
        <v>3.4515499252293823E-2</v>
      </c>
    </row>
    <row r="92" spans="1:16" x14ac:dyDescent="0.35">
      <c r="A92" s="177" t="s">
        <v>54</v>
      </c>
      <c r="B92" s="184"/>
      <c r="C92" s="184">
        <v>166</v>
      </c>
      <c r="D92" s="184"/>
      <c r="E92" s="184">
        <v>509</v>
      </c>
      <c r="F92" s="178"/>
      <c r="G92" s="178">
        <v>2144.608390000004</v>
      </c>
      <c r="H92" s="178"/>
      <c r="I92" s="178"/>
      <c r="J92" s="178">
        <v>13014.689999999988</v>
      </c>
      <c r="K92" s="178"/>
      <c r="L92" s="178">
        <v>2144.608390000004</v>
      </c>
      <c r="M92" s="178">
        <v>13014.689999999988</v>
      </c>
      <c r="N92" s="178">
        <v>13014.689999999988</v>
      </c>
      <c r="O92" s="178">
        <v>15159.298389999993</v>
      </c>
      <c r="P92" s="194">
        <v>9.7620522117567105E-4</v>
      </c>
    </row>
    <row r="93" spans="1:16" x14ac:dyDescent="0.35">
      <c r="A93" s="176" t="s">
        <v>287</v>
      </c>
      <c r="B93" s="185"/>
      <c r="C93" s="185">
        <v>166</v>
      </c>
      <c r="D93" s="185"/>
      <c r="E93" s="185">
        <v>509</v>
      </c>
      <c r="F93" s="180"/>
      <c r="G93" s="180">
        <v>2144.608390000004</v>
      </c>
      <c r="H93" s="180"/>
      <c r="I93" s="180"/>
      <c r="J93" s="180">
        <v>13014.689999999968</v>
      </c>
      <c r="K93" s="180"/>
      <c r="L93" s="180">
        <v>2144.608390000004</v>
      </c>
      <c r="M93" s="180">
        <v>13014.689999999968</v>
      </c>
      <c r="N93" s="180">
        <v>13014.689999999968</v>
      </c>
      <c r="O93" s="180">
        <v>15159.298389999971</v>
      </c>
      <c r="P93" s="195">
        <v>9.7620522117566964E-4</v>
      </c>
    </row>
    <row r="94" spans="1:16" x14ac:dyDescent="0.35">
      <c r="A94" s="177" t="s">
        <v>55</v>
      </c>
      <c r="B94" s="184">
        <v>153</v>
      </c>
      <c r="C94" s="184"/>
      <c r="D94" s="184">
        <v>1693</v>
      </c>
      <c r="E94" s="184"/>
      <c r="F94" s="178">
        <v>9893.5200539999896</v>
      </c>
      <c r="G94" s="178"/>
      <c r="H94" s="178">
        <v>33468.480000000054</v>
      </c>
      <c r="I94" s="178">
        <v>29249.059999999987</v>
      </c>
      <c r="J94" s="178"/>
      <c r="K94" s="178">
        <v>100538.28000000019</v>
      </c>
      <c r="L94" s="178">
        <v>43362.000054000047</v>
      </c>
      <c r="M94" s="178">
        <v>129787.34000000017</v>
      </c>
      <c r="N94" s="178">
        <v>129787.34000000017</v>
      </c>
      <c r="O94" s="178">
        <v>173149.3400540002</v>
      </c>
      <c r="P94" s="194">
        <v>1.1150205336372222E-2</v>
      </c>
    </row>
    <row r="95" spans="1:16" x14ac:dyDescent="0.35">
      <c r="A95" s="176" t="s">
        <v>286</v>
      </c>
      <c r="B95" s="185">
        <v>153</v>
      </c>
      <c r="C95" s="185"/>
      <c r="D95" s="185">
        <v>1693</v>
      </c>
      <c r="E95" s="185"/>
      <c r="F95" s="180">
        <v>9893.5200539999896</v>
      </c>
      <c r="G95" s="180"/>
      <c r="H95" s="180">
        <v>33468.480000000054</v>
      </c>
      <c r="I95" s="180">
        <v>29249.059999999987</v>
      </c>
      <c r="J95" s="180"/>
      <c r="K95" s="180">
        <v>100538.28000000019</v>
      </c>
      <c r="L95" s="180">
        <v>43362.000054000047</v>
      </c>
      <c r="M95" s="180">
        <v>129787.34000000017</v>
      </c>
      <c r="N95" s="180">
        <v>129787.34000000017</v>
      </c>
      <c r="O95" s="180">
        <v>173149.3400540002</v>
      </c>
      <c r="P95" s="195">
        <v>1.1150205336372222E-2</v>
      </c>
    </row>
    <row r="96" spans="1:16" x14ac:dyDescent="0.35">
      <c r="A96" s="177" t="s">
        <v>56</v>
      </c>
      <c r="B96" s="184">
        <v>480</v>
      </c>
      <c r="C96" s="184">
        <v>201</v>
      </c>
      <c r="D96" s="184">
        <v>4364</v>
      </c>
      <c r="E96" s="184">
        <v>979</v>
      </c>
      <c r="F96" s="178">
        <v>19956.775715999982</v>
      </c>
      <c r="G96" s="178">
        <v>2655.6666720000076</v>
      </c>
      <c r="H96" s="178">
        <v>1692</v>
      </c>
      <c r="I96" s="178">
        <v>86078.645000000164</v>
      </c>
      <c r="J96" s="178">
        <v>20027.280000000017</v>
      </c>
      <c r="K96" s="178">
        <v>5870.5</v>
      </c>
      <c r="L96" s="178">
        <v>24304.442387999989</v>
      </c>
      <c r="M96" s="178">
        <v>111976.42500000018</v>
      </c>
      <c r="N96" s="178">
        <v>111976.42500000018</v>
      </c>
      <c r="O96" s="178">
        <v>136280.86738800016</v>
      </c>
      <c r="P96" s="194">
        <v>8.7760060438070876E-3</v>
      </c>
    </row>
    <row r="97" spans="1:16" x14ac:dyDescent="0.35">
      <c r="A97" s="176" t="s">
        <v>285</v>
      </c>
      <c r="B97" s="185">
        <v>480</v>
      </c>
      <c r="C97" s="185">
        <v>201</v>
      </c>
      <c r="D97" s="185">
        <v>4364</v>
      </c>
      <c r="E97" s="185">
        <v>979</v>
      </c>
      <c r="F97" s="180">
        <v>19956.775715999982</v>
      </c>
      <c r="G97" s="180">
        <v>2655.6666720000076</v>
      </c>
      <c r="H97" s="180">
        <v>1692</v>
      </c>
      <c r="I97" s="180">
        <v>86078.645000000499</v>
      </c>
      <c r="J97" s="180">
        <v>20027.280000000035</v>
      </c>
      <c r="K97" s="180">
        <v>5870.5</v>
      </c>
      <c r="L97" s="180">
        <v>24304.442387999989</v>
      </c>
      <c r="M97" s="180">
        <v>111976.42500000054</v>
      </c>
      <c r="N97" s="180">
        <v>111976.42500000054</v>
      </c>
      <c r="O97" s="180">
        <v>136280.86738800054</v>
      </c>
      <c r="P97" s="195">
        <v>8.7760060438071118E-3</v>
      </c>
    </row>
    <row r="98" spans="1:16" x14ac:dyDescent="0.35">
      <c r="A98" s="177" t="s">
        <v>58</v>
      </c>
      <c r="B98" s="184"/>
      <c r="C98" s="184">
        <v>6</v>
      </c>
      <c r="D98" s="184"/>
      <c r="E98" s="184">
        <v>54</v>
      </c>
      <c r="F98" s="178"/>
      <c r="G98" s="178">
        <v>164.26799999999997</v>
      </c>
      <c r="H98" s="178"/>
      <c r="I98" s="178"/>
      <c r="J98" s="178">
        <v>853.45000000000027</v>
      </c>
      <c r="K98" s="178"/>
      <c r="L98" s="178">
        <v>164.26799999999997</v>
      </c>
      <c r="M98" s="178">
        <v>853.45000000000027</v>
      </c>
      <c r="N98" s="178">
        <v>853.45000000000027</v>
      </c>
      <c r="O98" s="178">
        <v>1017.7180000000003</v>
      </c>
      <c r="P98" s="194">
        <v>6.5537441095548114E-5</v>
      </c>
    </row>
    <row r="99" spans="1:16" x14ac:dyDescent="0.35">
      <c r="A99" s="176" t="s">
        <v>283</v>
      </c>
      <c r="B99" s="185"/>
      <c r="C99" s="185">
        <v>6</v>
      </c>
      <c r="D99" s="185"/>
      <c r="E99" s="185">
        <v>54</v>
      </c>
      <c r="F99" s="180"/>
      <c r="G99" s="180">
        <v>164.26799999999997</v>
      </c>
      <c r="H99" s="180"/>
      <c r="I99" s="180"/>
      <c r="J99" s="180">
        <v>853.44999999999993</v>
      </c>
      <c r="K99" s="180"/>
      <c r="L99" s="180">
        <v>164.26799999999997</v>
      </c>
      <c r="M99" s="180">
        <v>853.44999999999993</v>
      </c>
      <c r="N99" s="180">
        <v>853.44999999999993</v>
      </c>
      <c r="O99" s="180">
        <v>1017.7179999999998</v>
      </c>
      <c r="P99" s="195">
        <v>6.5537441095548087E-5</v>
      </c>
    </row>
    <row r="100" spans="1:16" x14ac:dyDescent="0.35">
      <c r="A100" s="177" t="s">
        <v>515</v>
      </c>
      <c r="B100" s="184">
        <v>96</v>
      </c>
      <c r="C100" s="184">
        <v>56</v>
      </c>
      <c r="D100" s="184">
        <v>990</v>
      </c>
      <c r="E100" s="184">
        <v>171</v>
      </c>
      <c r="F100" s="178">
        <v>7410.9609720000171</v>
      </c>
      <c r="G100" s="178">
        <v>921.72601299999997</v>
      </c>
      <c r="H100" s="178">
        <v>72</v>
      </c>
      <c r="I100" s="178">
        <v>23921.040000000048</v>
      </c>
      <c r="J100" s="178">
        <v>4705.5450000000037</v>
      </c>
      <c r="K100" s="178">
        <v>142</v>
      </c>
      <c r="L100" s="178">
        <v>8404.6869850000166</v>
      </c>
      <c r="M100" s="178">
        <v>28768.58500000005</v>
      </c>
      <c r="N100" s="178">
        <v>28768.58500000005</v>
      </c>
      <c r="O100" s="178">
        <v>37173.271985000065</v>
      </c>
      <c r="P100" s="194">
        <v>2.3938272911019848E-3</v>
      </c>
    </row>
    <row r="101" spans="1:16" x14ac:dyDescent="0.35">
      <c r="A101" s="176" t="s">
        <v>511</v>
      </c>
      <c r="B101" s="185">
        <v>96</v>
      </c>
      <c r="C101" s="185">
        <v>56</v>
      </c>
      <c r="D101" s="185">
        <v>990</v>
      </c>
      <c r="E101" s="185">
        <v>171</v>
      </c>
      <c r="F101" s="180">
        <v>7410.9609720000171</v>
      </c>
      <c r="G101" s="180">
        <v>921.72601299999997</v>
      </c>
      <c r="H101" s="180">
        <v>72</v>
      </c>
      <c r="I101" s="180">
        <v>23921.040000000048</v>
      </c>
      <c r="J101" s="180">
        <v>4705.5450000000083</v>
      </c>
      <c r="K101" s="180">
        <v>142</v>
      </c>
      <c r="L101" s="180">
        <v>8404.6869850000166</v>
      </c>
      <c r="M101" s="180">
        <v>28768.585000000057</v>
      </c>
      <c r="N101" s="180">
        <v>28768.585000000057</v>
      </c>
      <c r="O101" s="180">
        <v>37173.271985000072</v>
      </c>
      <c r="P101" s="195">
        <v>2.3938272911019852E-3</v>
      </c>
    </row>
    <row r="102" spans="1:16" x14ac:dyDescent="0.35">
      <c r="A102" s="177" t="s">
        <v>132</v>
      </c>
      <c r="B102" s="184"/>
      <c r="C102" s="184">
        <v>19</v>
      </c>
      <c r="D102" s="184"/>
      <c r="E102" s="184">
        <v>61</v>
      </c>
      <c r="F102" s="178"/>
      <c r="G102" s="178">
        <v>173.39400000000003</v>
      </c>
      <c r="H102" s="178"/>
      <c r="I102" s="178"/>
      <c r="J102" s="178">
        <v>1505.7899999999997</v>
      </c>
      <c r="K102" s="178"/>
      <c r="L102" s="178">
        <v>173.39400000000003</v>
      </c>
      <c r="M102" s="178">
        <v>1505.7899999999997</v>
      </c>
      <c r="N102" s="178">
        <v>1505.7899999999997</v>
      </c>
      <c r="O102" s="178">
        <v>1679.1839999999997</v>
      </c>
      <c r="P102" s="194">
        <v>1.0813351290690231E-4</v>
      </c>
    </row>
    <row r="103" spans="1:16" x14ac:dyDescent="0.35">
      <c r="A103" s="176" t="s">
        <v>282</v>
      </c>
      <c r="B103" s="185"/>
      <c r="C103" s="185">
        <v>19</v>
      </c>
      <c r="D103" s="185"/>
      <c r="E103" s="185">
        <v>61</v>
      </c>
      <c r="F103" s="180"/>
      <c r="G103" s="180">
        <v>173.39400000000003</v>
      </c>
      <c r="H103" s="180"/>
      <c r="I103" s="180"/>
      <c r="J103" s="180">
        <v>1505.7899999999997</v>
      </c>
      <c r="K103" s="180"/>
      <c r="L103" s="180">
        <v>173.39400000000003</v>
      </c>
      <c r="M103" s="180">
        <v>1505.7899999999997</v>
      </c>
      <c r="N103" s="180">
        <v>1505.7899999999997</v>
      </c>
      <c r="O103" s="180">
        <v>1679.1839999999997</v>
      </c>
      <c r="P103" s="195">
        <v>1.0813351290690231E-4</v>
      </c>
    </row>
    <row r="104" spans="1:16" x14ac:dyDescent="0.35">
      <c r="A104" s="177" t="s">
        <v>59</v>
      </c>
      <c r="B104" s="184">
        <v>56</v>
      </c>
      <c r="C104" s="184">
        <v>3</v>
      </c>
      <c r="D104" s="184">
        <v>464</v>
      </c>
      <c r="E104" s="184">
        <v>5</v>
      </c>
      <c r="F104" s="178">
        <v>2339.6395679999991</v>
      </c>
      <c r="G104" s="178">
        <v>82.134</v>
      </c>
      <c r="H104" s="178">
        <v>36</v>
      </c>
      <c r="I104" s="178">
        <v>8643.0099999999966</v>
      </c>
      <c r="J104" s="178">
        <v>87.45750000000001</v>
      </c>
      <c r="K104" s="178">
        <v>53</v>
      </c>
      <c r="L104" s="178">
        <v>2457.7735679999992</v>
      </c>
      <c r="M104" s="178">
        <v>8783.467499999997</v>
      </c>
      <c r="N104" s="178">
        <v>8783.467499999997</v>
      </c>
      <c r="O104" s="178">
        <v>11241.241067999996</v>
      </c>
      <c r="P104" s="194">
        <v>7.2389618178602115E-4</v>
      </c>
    </row>
    <row r="105" spans="1:16" x14ac:dyDescent="0.35">
      <c r="A105" s="176" t="s">
        <v>281</v>
      </c>
      <c r="B105" s="185">
        <v>56</v>
      </c>
      <c r="C105" s="185">
        <v>3</v>
      </c>
      <c r="D105" s="185">
        <v>464</v>
      </c>
      <c r="E105" s="185">
        <v>5</v>
      </c>
      <c r="F105" s="180">
        <v>2339.6395679999991</v>
      </c>
      <c r="G105" s="180">
        <v>82.134</v>
      </c>
      <c r="H105" s="180">
        <v>36</v>
      </c>
      <c r="I105" s="180">
        <v>8643.0099999999948</v>
      </c>
      <c r="J105" s="180">
        <v>87.45750000000001</v>
      </c>
      <c r="K105" s="180">
        <v>53</v>
      </c>
      <c r="L105" s="180">
        <v>2457.7735679999992</v>
      </c>
      <c r="M105" s="180">
        <v>8783.4674999999952</v>
      </c>
      <c r="N105" s="180">
        <v>8783.4674999999952</v>
      </c>
      <c r="O105" s="180">
        <v>11241.241067999994</v>
      </c>
      <c r="P105" s="195">
        <v>7.2389618178602105E-4</v>
      </c>
    </row>
    <row r="106" spans="1:16" x14ac:dyDescent="0.35">
      <c r="A106" s="177" t="s">
        <v>60</v>
      </c>
      <c r="B106" s="184">
        <v>543</v>
      </c>
      <c r="C106" s="184">
        <v>120</v>
      </c>
      <c r="D106" s="184">
        <v>6492</v>
      </c>
      <c r="E106" s="184">
        <v>564</v>
      </c>
      <c r="F106" s="178">
        <v>32506.375626000201</v>
      </c>
      <c r="G106" s="178">
        <v>1535.3911669999989</v>
      </c>
      <c r="H106" s="178">
        <v>2988</v>
      </c>
      <c r="I106" s="178">
        <v>123885.22500000059</v>
      </c>
      <c r="J106" s="178">
        <v>11494.957500000015</v>
      </c>
      <c r="K106" s="178">
        <v>12498.75</v>
      </c>
      <c r="L106" s="178">
        <v>37029.766793000199</v>
      </c>
      <c r="M106" s="178">
        <v>147878.93250000061</v>
      </c>
      <c r="N106" s="178">
        <v>147878.93250000061</v>
      </c>
      <c r="O106" s="178">
        <v>184908.6992930008</v>
      </c>
      <c r="P106" s="194">
        <v>1.1907466496582997E-2</v>
      </c>
    </row>
    <row r="107" spans="1:16" x14ac:dyDescent="0.35">
      <c r="A107" s="176" t="s">
        <v>280</v>
      </c>
      <c r="B107" s="185">
        <v>543</v>
      </c>
      <c r="C107" s="185">
        <v>120</v>
      </c>
      <c r="D107" s="185">
        <v>6492</v>
      </c>
      <c r="E107" s="185">
        <v>564</v>
      </c>
      <c r="F107" s="180">
        <v>32506.375626000201</v>
      </c>
      <c r="G107" s="180">
        <v>1535.3911669999989</v>
      </c>
      <c r="H107" s="180">
        <v>2988</v>
      </c>
      <c r="I107" s="180">
        <v>123885.22500000149</v>
      </c>
      <c r="J107" s="180">
        <v>11494.957500000013</v>
      </c>
      <c r="K107" s="180">
        <v>12498.75</v>
      </c>
      <c r="L107" s="180">
        <v>37029.766793000199</v>
      </c>
      <c r="M107" s="180">
        <v>147878.93250000151</v>
      </c>
      <c r="N107" s="180">
        <v>147878.93250000151</v>
      </c>
      <c r="O107" s="180">
        <v>184908.6992930017</v>
      </c>
      <c r="P107" s="195">
        <v>1.1907466496583056E-2</v>
      </c>
    </row>
    <row r="108" spans="1:16" x14ac:dyDescent="0.35">
      <c r="A108" s="177" t="s">
        <v>61</v>
      </c>
      <c r="B108" s="184">
        <v>1462</v>
      </c>
      <c r="C108" s="184">
        <v>955</v>
      </c>
      <c r="D108" s="184">
        <v>14881</v>
      </c>
      <c r="E108" s="184">
        <v>3348</v>
      </c>
      <c r="F108" s="178">
        <v>83573.802989998119</v>
      </c>
      <c r="G108" s="178">
        <v>12805.419313000304</v>
      </c>
      <c r="H108" s="178">
        <v>4518.7199999999993</v>
      </c>
      <c r="I108" s="178">
        <v>289306.43999999668</v>
      </c>
      <c r="J108" s="178">
        <v>84127.550000000396</v>
      </c>
      <c r="K108" s="178">
        <v>14948</v>
      </c>
      <c r="L108" s="178">
        <v>100897.94230299842</v>
      </c>
      <c r="M108" s="178">
        <v>388381.98999999708</v>
      </c>
      <c r="N108" s="178">
        <v>388381.98999999708</v>
      </c>
      <c r="O108" s="178">
        <v>489279.93230299547</v>
      </c>
      <c r="P108" s="194">
        <v>3.150789780915865E-2</v>
      </c>
    </row>
    <row r="109" spans="1:16" x14ac:dyDescent="0.35">
      <c r="A109" s="176" t="s">
        <v>279</v>
      </c>
      <c r="B109" s="185">
        <v>1462</v>
      </c>
      <c r="C109" s="185">
        <v>955</v>
      </c>
      <c r="D109" s="185">
        <v>14881</v>
      </c>
      <c r="E109" s="185">
        <v>3348</v>
      </c>
      <c r="F109" s="180">
        <v>83573.802989998119</v>
      </c>
      <c r="G109" s="180">
        <v>12805.419313000304</v>
      </c>
      <c r="H109" s="180">
        <v>4518.7199999999993</v>
      </c>
      <c r="I109" s="180">
        <v>289306.43999999325</v>
      </c>
      <c r="J109" s="180">
        <v>84127.550000000803</v>
      </c>
      <c r="K109" s="180">
        <v>14948</v>
      </c>
      <c r="L109" s="180">
        <v>100897.94230299842</v>
      </c>
      <c r="M109" s="180">
        <v>388381.98999999405</v>
      </c>
      <c r="N109" s="180">
        <v>388381.98999999405</v>
      </c>
      <c r="O109" s="180">
        <v>489279.93230299244</v>
      </c>
      <c r="P109" s="195">
        <v>3.1507897809158456E-2</v>
      </c>
    </row>
    <row r="110" spans="1:16" x14ac:dyDescent="0.35">
      <c r="A110" s="177" t="s">
        <v>490</v>
      </c>
      <c r="B110" s="184">
        <v>284</v>
      </c>
      <c r="C110" s="184">
        <v>57</v>
      </c>
      <c r="D110" s="184">
        <v>3305</v>
      </c>
      <c r="E110" s="184">
        <v>313</v>
      </c>
      <c r="F110" s="178">
        <v>17975.52345599993</v>
      </c>
      <c r="G110" s="178">
        <v>981.74737499999981</v>
      </c>
      <c r="H110" s="178">
        <v>1332</v>
      </c>
      <c r="I110" s="178">
        <v>60284.730000000018</v>
      </c>
      <c r="J110" s="178">
        <v>6041.4992857113093</v>
      </c>
      <c r="K110" s="178">
        <v>3912</v>
      </c>
      <c r="L110" s="178">
        <v>20289.270830999929</v>
      </c>
      <c r="M110" s="178">
        <v>70238.229285711321</v>
      </c>
      <c r="N110" s="178">
        <v>70238.229285711321</v>
      </c>
      <c r="O110" s="178">
        <v>90527.50011671125</v>
      </c>
      <c r="P110" s="194">
        <v>5.8296509508785205E-3</v>
      </c>
    </row>
    <row r="111" spans="1:16" x14ac:dyDescent="0.35">
      <c r="A111" s="176" t="s">
        <v>239</v>
      </c>
      <c r="B111" s="185">
        <v>284</v>
      </c>
      <c r="C111" s="185">
        <v>57</v>
      </c>
      <c r="D111" s="185">
        <v>3305</v>
      </c>
      <c r="E111" s="185">
        <v>313</v>
      </c>
      <c r="F111" s="180">
        <v>17975.52345599993</v>
      </c>
      <c r="G111" s="180">
        <v>981.74737499999981</v>
      </c>
      <c r="H111" s="180">
        <v>1332</v>
      </c>
      <c r="I111" s="180">
        <v>60284.730000000134</v>
      </c>
      <c r="J111" s="180">
        <v>6041.4992857113084</v>
      </c>
      <c r="K111" s="180">
        <v>3912</v>
      </c>
      <c r="L111" s="180">
        <v>20289.270830999929</v>
      </c>
      <c r="M111" s="180">
        <v>70238.229285711437</v>
      </c>
      <c r="N111" s="180">
        <v>70238.229285711437</v>
      </c>
      <c r="O111" s="180">
        <v>90527.500116711366</v>
      </c>
      <c r="P111" s="195">
        <v>5.8296509508785283E-3</v>
      </c>
    </row>
    <row r="112" spans="1:16" x14ac:dyDescent="0.35">
      <c r="A112" s="177" t="s">
        <v>458</v>
      </c>
      <c r="B112" s="184">
        <v>2021</v>
      </c>
      <c r="C112" s="184">
        <v>532</v>
      </c>
      <c r="D112" s="184">
        <v>20558</v>
      </c>
      <c r="E112" s="184">
        <v>2320</v>
      </c>
      <c r="F112" s="178">
        <v>127281.94509600336</v>
      </c>
      <c r="G112" s="178">
        <v>6826.0114190000459</v>
      </c>
      <c r="H112" s="178">
        <v>6840</v>
      </c>
      <c r="I112" s="178">
        <v>397818.05000000051</v>
      </c>
      <c r="J112" s="178">
        <v>51552.858499999827</v>
      </c>
      <c r="K112" s="178">
        <v>23588.5</v>
      </c>
      <c r="L112" s="178">
        <v>140947.9565150034</v>
      </c>
      <c r="M112" s="178">
        <v>472959.40850000037</v>
      </c>
      <c r="N112" s="178">
        <v>472959.40850000037</v>
      </c>
      <c r="O112" s="178">
        <v>613907.36501500383</v>
      </c>
      <c r="P112" s="194">
        <v>3.9533463860120341E-2</v>
      </c>
    </row>
    <row r="113" spans="1:16" x14ac:dyDescent="0.35">
      <c r="A113" s="176" t="s">
        <v>253</v>
      </c>
      <c r="B113" s="185">
        <v>2021</v>
      </c>
      <c r="C113" s="185">
        <v>532</v>
      </c>
      <c r="D113" s="185">
        <v>20558</v>
      </c>
      <c r="E113" s="185">
        <v>2320</v>
      </c>
      <c r="F113" s="180">
        <v>127281.94509600336</v>
      </c>
      <c r="G113" s="180">
        <v>6826.0114190000459</v>
      </c>
      <c r="H113" s="180">
        <v>6840</v>
      </c>
      <c r="I113" s="180">
        <v>397818.04999999481</v>
      </c>
      <c r="J113" s="180">
        <v>51552.858499999878</v>
      </c>
      <c r="K113" s="180">
        <v>23588.5</v>
      </c>
      <c r="L113" s="180">
        <v>140947.9565150034</v>
      </c>
      <c r="M113" s="180">
        <v>472959.40849999466</v>
      </c>
      <c r="N113" s="180">
        <v>472959.40849999466</v>
      </c>
      <c r="O113" s="180">
        <v>613907.36501499801</v>
      </c>
      <c r="P113" s="195">
        <v>3.9533463860119966E-2</v>
      </c>
    </row>
    <row r="114" spans="1:16" x14ac:dyDescent="0.35">
      <c r="A114" s="177" t="s">
        <v>62</v>
      </c>
      <c r="B114" s="184">
        <v>536</v>
      </c>
      <c r="C114" s="184">
        <v>247</v>
      </c>
      <c r="D114" s="184">
        <v>5699</v>
      </c>
      <c r="E114" s="184">
        <v>979</v>
      </c>
      <c r="F114" s="178">
        <v>33735.606642000013</v>
      </c>
      <c r="G114" s="178">
        <v>3246.9827210000021</v>
      </c>
      <c r="H114" s="178">
        <v>1944</v>
      </c>
      <c r="I114" s="178">
        <v>110694.63000000032</v>
      </c>
      <c r="J114" s="178">
        <v>22359.804999999895</v>
      </c>
      <c r="K114" s="178">
        <v>6217.5</v>
      </c>
      <c r="L114" s="178">
        <v>38926.589363000014</v>
      </c>
      <c r="M114" s="178">
        <v>139271.93500000023</v>
      </c>
      <c r="N114" s="178">
        <v>139271.93500000023</v>
      </c>
      <c r="O114" s="178">
        <v>178198.52436300024</v>
      </c>
      <c r="P114" s="194">
        <v>1.1475354954666931E-2</v>
      </c>
    </row>
    <row r="115" spans="1:16" x14ac:dyDescent="0.35">
      <c r="A115" s="176" t="s">
        <v>278</v>
      </c>
      <c r="B115" s="185">
        <v>536</v>
      </c>
      <c r="C115" s="185">
        <v>247</v>
      </c>
      <c r="D115" s="185">
        <v>5699</v>
      </c>
      <c r="E115" s="185">
        <v>979</v>
      </c>
      <c r="F115" s="180">
        <v>33735.606642000013</v>
      </c>
      <c r="G115" s="180">
        <v>3246.9827210000021</v>
      </c>
      <c r="H115" s="180">
        <v>1944</v>
      </c>
      <c r="I115" s="180">
        <v>110694.63000000088</v>
      </c>
      <c r="J115" s="180">
        <v>22359.80499999988</v>
      </c>
      <c r="K115" s="180">
        <v>6217.5</v>
      </c>
      <c r="L115" s="180">
        <v>38926.589363000014</v>
      </c>
      <c r="M115" s="180">
        <v>139271.93500000075</v>
      </c>
      <c r="N115" s="180">
        <v>139271.93500000075</v>
      </c>
      <c r="O115" s="180">
        <v>178198.52436300076</v>
      </c>
      <c r="P115" s="195">
        <v>1.1475354954666965E-2</v>
      </c>
    </row>
    <row r="116" spans="1:16" x14ac:dyDescent="0.35">
      <c r="A116" s="177" t="s">
        <v>494</v>
      </c>
      <c r="B116" s="184">
        <v>614</v>
      </c>
      <c r="C116" s="184">
        <v>319</v>
      </c>
      <c r="D116" s="184">
        <v>6535</v>
      </c>
      <c r="E116" s="184">
        <v>1346</v>
      </c>
      <c r="F116" s="178">
        <v>35776.057518000089</v>
      </c>
      <c r="G116" s="178">
        <v>4586.9859549999856</v>
      </c>
      <c r="H116" s="178">
        <v>2052</v>
      </c>
      <c r="I116" s="178">
        <v>126980.81500000121</v>
      </c>
      <c r="J116" s="178">
        <v>27613.267499999838</v>
      </c>
      <c r="K116" s="178">
        <v>6656.5</v>
      </c>
      <c r="L116" s="178">
        <v>42415.043473000071</v>
      </c>
      <c r="M116" s="178">
        <v>161250.58250000104</v>
      </c>
      <c r="N116" s="178">
        <v>161250.58250000104</v>
      </c>
      <c r="O116" s="178">
        <v>203665.62597300112</v>
      </c>
      <c r="P116" s="194">
        <v>1.3115346260352564E-2</v>
      </c>
    </row>
    <row r="117" spans="1:16" x14ac:dyDescent="0.35">
      <c r="A117" s="176" t="s">
        <v>493</v>
      </c>
      <c r="B117" s="185">
        <v>614</v>
      </c>
      <c r="C117" s="185">
        <v>319</v>
      </c>
      <c r="D117" s="185">
        <v>6535</v>
      </c>
      <c r="E117" s="185">
        <v>1346</v>
      </c>
      <c r="F117" s="180">
        <v>35776.057518000089</v>
      </c>
      <c r="G117" s="180">
        <v>4586.9859549999856</v>
      </c>
      <c r="H117" s="180">
        <v>2052</v>
      </c>
      <c r="I117" s="180">
        <v>126980.81500000226</v>
      </c>
      <c r="J117" s="180">
        <v>27613.267499999707</v>
      </c>
      <c r="K117" s="180">
        <v>6656.5</v>
      </c>
      <c r="L117" s="180">
        <v>42415.043473000071</v>
      </c>
      <c r="M117" s="180">
        <v>161250.58250000197</v>
      </c>
      <c r="N117" s="180">
        <v>161250.58250000197</v>
      </c>
      <c r="O117" s="180">
        <v>203665.62597300205</v>
      </c>
      <c r="P117" s="195">
        <v>1.3115346260352623E-2</v>
      </c>
    </row>
    <row r="118" spans="1:16" x14ac:dyDescent="0.35">
      <c r="A118" s="177" t="s">
        <v>63</v>
      </c>
      <c r="B118" s="184">
        <v>1</v>
      </c>
      <c r="C118" s="184">
        <v>35</v>
      </c>
      <c r="D118" s="184">
        <v>5</v>
      </c>
      <c r="E118" s="184">
        <v>188</v>
      </c>
      <c r="F118" s="178">
        <v>69.84</v>
      </c>
      <c r="G118" s="178">
        <v>499.00493399999999</v>
      </c>
      <c r="H118" s="178"/>
      <c r="I118" s="178">
        <v>63.76</v>
      </c>
      <c r="J118" s="178">
        <v>4097.0800000000017</v>
      </c>
      <c r="K118" s="178"/>
      <c r="L118" s="178">
        <v>568.84493399999997</v>
      </c>
      <c r="M118" s="178">
        <v>4160.840000000002</v>
      </c>
      <c r="N118" s="178">
        <v>4160.840000000002</v>
      </c>
      <c r="O118" s="178">
        <v>4729.6849340000017</v>
      </c>
      <c r="P118" s="194">
        <v>3.0457498812296372E-4</v>
      </c>
    </row>
    <row r="119" spans="1:16" x14ac:dyDescent="0.35">
      <c r="A119" s="176" t="s">
        <v>274</v>
      </c>
      <c r="B119" s="185">
        <v>1</v>
      </c>
      <c r="C119" s="185">
        <v>35</v>
      </c>
      <c r="D119" s="185">
        <v>5</v>
      </c>
      <c r="E119" s="185">
        <v>188</v>
      </c>
      <c r="F119" s="180">
        <v>69.84</v>
      </c>
      <c r="G119" s="180">
        <v>499.00493399999999</v>
      </c>
      <c r="H119" s="180"/>
      <c r="I119" s="180">
        <v>63.76</v>
      </c>
      <c r="J119" s="180">
        <v>4097.0800000000017</v>
      </c>
      <c r="K119" s="180"/>
      <c r="L119" s="180">
        <v>568.84493399999997</v>
      </c>
      <c r="M119" s="180">
        <v>4160.840000000002</v>
      </c>
      <c r="N119" s="180">
        <v>4160.840000000002</v>
      </c>
      <c r="O119" s="180">
        <v>4729.6849340000017</v>
      </c>
      <c r="P119" s="195">
        <v>3.0457498812296372E-4</v>
      </c>
    </row>
    <row r="120" spans="1:16" x14ac:dyDescent="0.35">
      <c r="A120" s="177" t="s">
        <v>521</v>
      </c>
      <c r="B120" s="184">
        <v>22</v>
      </c>
      <c r="C120" s="184"/>
      <c r="D120" s="184">
        <v>251</v>
      </c>
      <c r="E120" s="184"/>
      <c r="F120" s="178">
        <v>1997.279567999999</v>
      </c>
      <c r="G120" s="178"/>
      <c r="H120" s="178"/>
      <c r="I120" s="178">
        <v>6887.86</v>
      </c>
      <c r="J120" s="178"/>
      <c r="K120" s="178">
        <v>35.5</v>
      </c>
      <c r="L120" s="178">
        <v>1997.279567999999</v>
      </c>
      <c r="M120" s="178">
        <v>6923.36</v>
      </c>
      <c r="N120" s="178">
        <v>6923.36</v>
      </c>
      <c r="O120" s="178">
        <v>8920.6395679999987</v>
      </c>
      <c r="P120" s="194">
        <v>5.7445764958703239E-4</v>
      </c>
    </row>
    <row r="121" spans="1:16" x14ac:dyDescent="0.35">
      <c r="A121" s="176" t="s">
        <v>273</v>
      </c>
      <c r="B121" s="185">
        <v>22</v>
      </c>
      <c r="C121" s="185"/>
      <c r="D121" s="185">
        <v>251</v>
      </c>
      <c r="E121" s="185"/>
      <c r="F121" s="180">
        <v>1997.279567999999</v>
      </c>
      <c r="G121" s="180"/>
      <c r="H121" s="180"/>
      <c r="I121" s="180">
        <v>6887.8599999999979</v>
      </c>
      <c r="J121" s="180"/>
      <c r="K121" s="180">
        <v>35.5</v>
      </c>
      <c r="L121" s="180">
        <v>1997.279567999999</v>
      </c>
      <c r="M121" s="180">
        <v>6923.3599999999979</v>
      </c>
      <c r="N121" s="180">
        <v>6923.3599999999979</v>
      </c>
      <c r="O121" s="180">
        <v>8920.6395679999969</v>
      </c>
      <c r="P121" s="195">
        <v>5.7445764958703228E-4</v>
      </c>
    </row>
    <row r="122" spans="1:16" x14ac:dyDescent="0.35">
      <c r="A122" s="177" t="s">
        <v>369</v>
      </c>
      <c r="B122" s="184">
        <v>26</v>
      </c>
      <c r="C122" s="184">
        <v>7</v>
      </c>
      <c r="D122" s="184">
        <v>300</v>
      </c>
      <c r="E122" s="184">
        <v>26</v>
      </c>
      <c r="F122" s="178">
        <v>1449.1797839999992</v>
      </c>
      <c r="G122" s="178">
        <v>118.63796700000003</v>
      </c>
      <c r="H122" s="178">
        <v>216</v>
      </c>
      <c r="I122" s="178">
        <v>6073.6299999999965</v>
      </c>
      <c r="J122" s="178">
        <v>441.09000000000003</v>
      </c>
      <c r="K122" s="178">
        <v>490.5</v>
      </c>
      <c r="L122" s="178">
        <v>1783.8177509999994</v>
      </c>
      <c r="M122" s="178">
        <v>7005.2199999999966</v>
      </c>
      <c r="N122" s="178">
        <v>7005.2199999999966</v>
      </c>
      <c r="O122" s="178">
        <v>8789.0377509999962</v>
      </c>
      <c r="P122" s="194">
        <v>5.6598295784560234E-4</v>
      </c>
    </row>
    <row r="123" spans="1:16" x14ac:dyDescent="0.35">
      <c r="A123" s="176" t="s">
        <v>272</v>
      </c>
      <c r="B123" s="185">
        <v>26</v>
      </c>
      <c r="C123" s="185">
        <v>7</v>
      </c>
      <c r="D123" s="185">
        <v>300</v>
      </c>
      <c r="E123" s="185">
        <v>26</v>
      </c>
      <c r="F123" s="180">
        <v>1449.1797839999992</v>
      </c>
      <c r="G123" s="180">
        <v>118.63796700000003</v>
      </c>
      <c r="H123" s="180">
        <v>216</v>
      </c>
      <c r="I123" s="180">
        <v>6073.6299999999992</v>
      </c>
      <c r="J123" s="180">
        <v>441.09</v>
      </c>
      <c r="K123" s="180">
        <v>490.5</v>
      </c>
      <c r="L123" s="180">
        <v>1783.8177509999994</v>
      </c>
      <c r="M123" s="180">
        <v>7005.2199999999993</v>
      </c>
      <c r="N123" s="180">
        <v>7005.2199999999993</v>
      </c>
      <c r="O123" s="180">
        <v>8789.037750999998</v>
      </c>
      <c r="P123" s="195">
        <v>5.6598295784560245E-4</v>
      </c>
    </row>
    <row r="124" spans="1:16" x14ac:dyDescent="0.35">
      <c r="A124" s="177" t="s">
        <v>66</v>
      </c>
      <c r="B124" s="184">
        <v>47</v>
      </c>
      <c r="C124" s="184">
        <v>69</v>
      </c>
      <c r="D124" s="184">
        <v>421</v>
      </c>
      <c r="E124" s="184">
        <v>249</v>
      </c>
      <c r="F124" s="178">
        <v>3679.2002160000011</v>
      </c>
      <c r="G124" s="178">
        <v>899.5636569999989</v>
      </c>
      <c r="H124" s="178"/>
      <c r="I124" s="178">
        <v>10060.340000000007</v>
      </c>
      <c r="J124" s="178">
        <v>5556.720000000003</v>
      </c>
      <c r="K124" s="178">
        <v>27.5</v>
      </c>
      <c r="L124" s="178">
        <v>4578.7638729999999</v>
      </c>
      <c r="M124" s="178">
        <v>15644.56000000001</v>
      </c>
      <c r="N124" s="178">
        <v>15644.56000000001</v>
      </c>
      <c r="O124" s="178">
        <v>20223.323873000008</v>
      </c>
      <c r="P124" s="194">
        <v>1.3023105586055562E-3</v>
      </c>
    </row>
    <row r="125" spans="1:16" x14ac:dyDescent="0.35">
      <c r="A125" s="176" t="s">
        <v>271</v>
      </c>
      <c r="B125" s="185">
        <v>47</v>
      </c>
      <c r="C125" s="185">
        <v>69</v>
      </c>
      <c r="D125" s="185">
        <v>421</v>
      </c>
      <c r="E125" s="185">
        <v>249</v>
      </c>
      <c r="F125" s="180">
        <v>3679.2002160000011</v>
      </c>
      <c r="G125" s="180">
        <v>899.5636569999989</v>
      </c>
      <c r="H125" s="180"/>
      <c r="I125" s="180">
        <v>10060.340000000009</v>
      </c>
      <c r="J125" s="180">
        <v>5556.7200000000066</v>
      </c>
      <c r="K125" s="180">
        <v>27.5</v>
      </c>
      <c r="L125" s="180">
        <v>4578.7638729999999</v>
      </c>
      <c r="M125" s="180">
        <v>15644.560000000016</v>
      </c>
      <c r="N125" s="180">
        <v>15644.560000000016</v>
      </c>
      <c r="O125" s="180">
        <v>20223.323873000016</v>
      </c>
      <c r="P125" s="195">
        <v>1.3023105586055567E-3</v>
      </c>
    </row>
    <row r="126" spans="1:16" x14ac:dyDescent="0.35">
      <c r="A126" s="177" t="s">
        <v>148</v>
      </c>
      <c r="B126" s="184"/>
      <c r="C126" s="184">
        <v>12</v>
      </c>
      <c r="D126" s="184"/>
      <c r="E126" s="184">
        <v>71</v>
      </c>
      <c r="F126" s="178"/>
      <c r="G126" s="178">
        <v>375.57000000000011</v>
      </c>
      <c r="H126" s="178"/>
      <c r="I126" s="178"/>
      <c r="J126" s="178">
        <v>1495.3250000000005</v>
      </c>
      <c r="K126" s="178"/>
      <c r="L126" s="178">
        <v>375.57000000000011</v>
      </c>
      <c r="M126" s="178">
        <v>1495.3250000000005</v>
      </c>
      <c r="N126" s="178">
        <v>1495.3250000000005</v>
      </c>
      <c r="O126" s="178">
        <v>1870.8950000000007</v>
      </c>
      <c r="P126" s="194">
        <v>1.2047902351973286E-4</v>
      </c>
    </row>
    <row r="127" spans="1:16" x14ac:dyDescent="0.35">
      <c r="A127" s="176" t="s">
        <v>269</v>
      </c>
      <c r="B127" s="185"/>
      <c r="C127" s="185">
        <v>12</v>
      </c>
      <c r="D127" s="185"/>
      <c r="E127" s="185">
        <v>71</v>
      </c>
      <c r="F127" s="180"/>
      <c r="G127" s="180">
        <v>375.57000000000011</v>
      </c>
      <c r="H127" s="180"/>
      <c r="I127" s="180"/>
      <c r="J127" s="180">
        <v>1495.3250000000005</v>
      </c>
      <c r="K127" s="180"/>
      <c r="L127" s="180">
        <v>375.57000000000011</v>
      </c>
      <c r="M127" s="180">
        <v>1495.3250000000005</v>
      </c>
      <c r="N127" s="180">
        <v>1495.3250000000005</v>
      </c>
      <c r="O127" s="180">
        <v>1870.8950000000007</v>
      </c>
      <c r="P127" s="195">
        <v>1.2047902351973286E-4</v>
      </c>
    </row>
    <row r="128" spans="1:16" x14ac:dyDescent="0.35">
      <c r="A128" s="177" t="s">
        <v>67</v>
      </c>
      <c r="B128" s="184"/>
      <c r="C128" s="184">
        <v>31</v>
      </c>
      <c r="D128" s="184"/>
      <c r="E128" s="184">
        <v>151</v>
      </c>
      <c r="F128" s="178"/>
      <c r="G128" s="178">
        <v>638.8202540000002</v>
      </c>
      <c r="H128" s="178"/>
      <c r="I128" s="178"/>
      <c r="J128" s="178">
        <v>2188.9725000000017</v>
      </c>
      <c r="K128" s="178">
        <v>10</v>
      </c>
      <c r="L128" s="178">
        <v>638.8202540000002</v>
      </c>
      <c r="M128" s="178">
        <v>2198.9725000000017</v>
      </c>
      <c r="N128" s="178">
        <v>2198.9725000000017</v>
      </c>
      <c r="O128" s="178">
        <v>2837.7927540000019</v>
      </c>
      <c r="P128" s="194">
        <v>1.8274382044598635E-4</v>
      </c>
    </row>
    <row r="129" spans="1:16" x14ac:dyDescent="0.35">
      <c r="A129" s="176" t="s">
        <v>309</v>
      </c>
      <c r="B129" s="185"/>
      <c r="C129" s="185">
        <v>31</v>
      </c>
      <c r="D129" s="185"/>
      <c r="E129" s="185">
        <v>151</v>
      </c>
      <c r="F129" s="180"/>
      <c r="G129" s="180">
        <v>638.8202540000002</v>
      </c>
      <c r="H129" s="180"/>
      <c r="I129" s="180"/>
      <c r="J129" s="180">
        <v>2188.9725000000035</v>
      </c>
      <c r="K129" s="180">
        <v>10</v>
      </c>
      <c r="L129" s="180">
        <v>638.8202540000002</v>
      </c>
      <c r="M129" s="180">
        <v>2198.9725000000035</v>
      </c>
      <c r="N129" s="180">
        <v>2198.9725000000035</v>
      </c>
      <c r="O129" s="180">
        <v>2837.7927540000037</v>
      </c>
      <c r="P129" s="195">
        <v>1.8274382044598645E-4</v>
      </c>
    </row>
    <row r="130" spans="1:16" x14ac:dyDescent="0.35">
      <c r="A130" s="177" t="s">
        <v>68</v>
      </c>
      <c r="B130" s="184"/>
      <c r="C130" s="184">
        <v>20</v>
      </c>
      <c r="D130" s="184"/>
      <c r="E130" s="184">
        <v>88</v>
      </c>
      <c r="F130" s="178"/>
      <c r="G130" s="178">
        <v>346.78800000000012</v>
      </c>
      <c r="H130" s="178"/>
      <c r="I130" s="178"/>
      <c r="J130" s="178">
        <v>1292.8500000000001</v>
      </c>
      <c r="K130" s="178"/>
      <c r="L130" s="178">
        <v>346.78800000000012</v>
      </c>
      <c r="M130" s="178">
        <v>1292.8500000000001</v>
      </c>
      <c r="N130" s="178">
        <v>1292.8500000000001</v>
      </c>
      <c r="O130" s="178">
        <v>1639.6380000000004</v>
      </c>
      <c r="P130" s="194">
        <v>1.0558689032032676E-4</v>
      </c>
    </row>
    <row r="131" spans="1:16" x14ac:dyDescent="0.35">
      <c r="A131" s="176" t="s">
        <v>268</v>
      </c>
      <c r="B131" s="185"/>
      <c r="C131" s="185">
        <v>20</v>
      </c>
      <c r="D131" s="185"/>
      <c r="E131" s="185">
        <v>88</v>
      </c>
      <c r="F131" s="180"/>
      <c r="G131" s="180">
        <v>346.78800000000012</v>
      </c>
      <c r="H131" s="180"/>
      <c r="I131" s="180"/>
      <c r="J131" s="180">
        <v>1292.8500000000001</v>
      </c>
      <c r="K131" s="180"/>
      <c r="L131" s="180">
        <v>346.78800000000012</v>
      </c>
      <c r="M131" s="180">
        <v>1292.8500000000001</v>
      </c>
      <c r="N131" s="180">
        <v>1292.8500000000001</v>
      </c>
      <c r="O131" s="180">
        <v>1639.6380000000004</v>
      </c>
      <c r="P131" s="195">
        <v>1.0558689032032676E-4</v>
      </c>
    </row>
    <row r="132" spans="1:16" x14ac:dyDescent="0.35">
      <c r="A132" s="177" t="s">
        <v>69</v>
      </c>
      <c r="B132" s="184">
        <v>11</v>
      </c>
      <c r="C132" s="184"/>
      <c r="D132" s="184">
        <v>171</v>
      </c>
      <c r="E132" s="184"/>
      <c r="F132" s="178">
        <v>919.79994599999986</v>
      </c>
      <c r="G132" s="178"/>
      <c r="H132" s="178"/>
      <c r="I132" s="178">
        <v>4188.4399999999978</v>
      </c>
      <c r="J132" s="178"/>
      <c r="K132" s="178"/>
      <c r="L132" s="178">
        <v>919.79994599999986</v>
      </c>
      <c r="M132" s="178">
        <v>4188.4399999999978</v>
      </c>
      <c r="N132" s="178">
        <v>4188.4399999999978</v>
      </c>
      <c r="O132" s="178">
        <v>5108.2399459999979</v>
      </c>
      <c r="P132" s="194">
        <v>3.2895259252848101E-4</v>
      </c>
    </row>
    <row r="133" spans="1:16" x14ac:dyDescent="0.35">
      <c r="A133" s="176" t="s">
        <v>267</v>
      </c>
      <c r="B133" s="185">
        <v>11</v>
      </c>
      <c r="C133" s="185"/>
      <c r="D133" s="185">
        <v>171</v>
      </c>
      <c r="E133" s="185"/>
      <c r="F133" s="180">
        <v>919.79994599999986</v>
      </c>
      <c r="G133" s="180"/>
      <c r="H133" s="180"/>
      <c r="I133" s="180">
        <v>4188.4399999999978</v>
      </c>
      <c r="J133" s="180"/>
      <c r="K133" s="180"/>
      <c r="L133" s="180">
        <v>919.79994599999986</v>
      </c>
      <c r="M133" s="180">
        <v>4188.4399999999978</v>
      </c>
      <c r="N133" s="180">
        <v>4188.4399999999978</v>
      </c>
      <c r="O133" s="180">
        <v>5108.2399459999979</v>
      </c>
      <c r="P133" s="195">
        <v>3.2895259252848101E-4</v>
      </c>
    </row>
    <row r="134" spans="1:16" x14ac:dyDescent="0.35">
      <c r="A134" s="177" t="s">
        <v>489</v>
      </c>
      <c r="B134" s="184">
        <v>134</v>
      </c>
      <c r="C134" s="184">
        <v>36</v>
      </c>
      <c r="D134" s="184">
        <v>1770</v>
      </c>
      <c r="E134" s="184">
        <v>197</v>
      </c>
      <c r="F134" s="178">
        <v>8786.5205399999904</v>
      </c>
      <c r="G134" s="178">
        <v>1122.4975679999995</v>
      </c>
      <c r="H134" s="178">
        <v>34441.200000000063</v>
      </c>
      <c r="I134" s="178">
        <v>31577.039999999997</v>
      </c>
      <c r="J134" s="178">
        <v>3030.5925000000038</v>
      </c>
      <c r="K134" s="178">
        <v>114038.46000000011</v>
      </c>
      <c r="L134" s="178">
        <v>44350.218108000052</v>
      </c>
      <c r="M134" s="178">
        <v>148646.09250000012</v>
      </c>
      <c r="N134" s="178">
        <v>148646.09250000012</v>
      </c>
      <c r="O134" s="178">
        <v>192996.31060800017</v>
      </c>
      <c r="P134" s="194">
        <v>1.2428280071817453E-2</v>
      </c>
    </row>
    <row r="135" spans="1:16" x14ac:dyDescent="0.35">
      <c r="A135" s="176" t="s">
        <v>306</v>
      </c>
      <c r="B135" s="185">
        <v>134</v>
      </c>
      <c r="C135" s="185">
        <v>36</v>
      </c>
      <c r="D135" s="185">
        <v>1770</v>
      </c>
      <c r="E135" s="185">
        <v>197</v>
      </c>
      <c r="F135" s="180">
        <v>8786.5205399999904</v>
      </c>
      <c r="G135" s="180">
        <v>1122.4975679999995</v>
      </c>
      <c r="H135" s="180">
        <v>34441.200000000063</v>
      </c>
      <c r="I135" s="180">
        <v>31577.039999999997</v>
      </c>
      <c r="J135" s="180">
        <v>3030.5925000000038</v>
      </c>
      <c r="K135" s="180">
        <v>114038.46000000011</v>
      </c>
      <c r="L135" s="180">
        <v>44350.218108000052</v>
      </c>
      <c r="M135" s="180">
        <v>148646.09250000012</v>
      </c>
      <c r="N135" s="180">
        <v>148646.09250000012</v>
      </c>
      <c r="O135" s="180">
        <v>192996.31060800017</v>
      </c>
      <c r="P135" s="195">
        <v>1.2428280071817453E-2</v>
      </c>
    </row>
    <row r="136" spans="1:16" x14ac:dyDescent="0.35">
      <c r="A136" s="177" t="s">
        <v>70</v>
      </c>
      <c r="B136" s="184">
        <v>267</v>
      </c>
      <c r="C136" s="184">
        <v>166</v>
      </c>
      <c r="D136" s="184">
        <v>2896</v>
      </c>
      <c r="E136" s="184">
        <v>886</v>
      </c>
      <c r="F136" s="178">
        <v>15489.897569999936</v>
      </c>
      <c r="G136" s="178">
        <v>2228.9664900000021</v>
      </c>
      <c r="H136" s="178">
        <v>684</v>
      </c>
      <c r="I136" s="178">
        <v>58495.089999999916</v>
      </c>
      <c r="J136" s="178">
        <v>19054.814999999922</v>
      </c>
      <c r="K136" s="178">
        <v>2409.5</v>
      </c>
      <c r="L136" s="178">
        <v>18402.864059999938</v>
      </c>
      <c r="M136" s="178">
        <v>79959.404999999839</v>
      </c>
      <c r="N136" s="178">
        <v>79959.404999999839</v>
      </c>
      <c r="O136" s="178">
        <v>98362.269059999773</v>
      </c>
      <c r="P136" s="194">
        <v>6.3341823712896768E-3</v>
      </c>
    </row>
    <row r="137" spans="1:16" x14ac:dyDescent="0.35">
      <c r="A137" s="176" t="s">
        <v>266</v>
      </c>
      <c r="B137" s="185">
        <v>267</v>
      </c>
      <c r="C137" s="185">
        <v>166</v>
      </c>
      <c r="D137" s="185">
        <v>2896</v>
      </c>
      <c r="E137" s="185">
        <v>886</v>
      </c>
      <c r="F137" s="180">
        <v>15489.897569999936</v>
      </c>
      <c r="G137" s="180">
        <v>2228.9664900000021</v>
      </c>
      <c r="H137" s="180">
        <v>684</v>
      </c>
      <c r="I137" s="180">
        <v>58495.089999999967</v>
      </c>
      <c r="J137" s="180">
        <v>19054.814999999908</v>
      </c>
      <c r="K137" s="180">
        <v>2409.5</v>
      </c>
      <c r="L137" s="180">
        <v>18402.864059999938</v>
      </c>
      <c r="M137" s="180">
        <v>79959.404999999882</v>
      </c>
      <c r="N137" s="180">
        <v>79959.404999999882</v>
      </c>
      <c r="O137" s="180">
        <v>98362.269059999817</v>
      </c>
      <c r="P137" s="195">
        <v>6.3341823712896803E-3</v>
      </c>
    </row>
    <row r="138" spans="1:16" x14ac:dyDescent="0.35">
      <c r="A138" s="177" t="s">
        <v>71</v>
      </c>
      <c r="B138" s="184">
        <v>390</v>
      </c>
      <c r="C138" s="184">
        <v>620</v>
      </c>
      <c r="D138" s="184">
        <v>4022</v>
      </c>
      <c r="E138" s="184">
        <v>1789</v>
      </c>
      <c r="F138" s="178">
        <v>25430.04603000003</v>
      </c>
      <c r="G138" s="178">
        <v>7520.2929060001034</v>
      </c>
      <c r="H138" s="178">
        <v>2232</v>
      </c>
      <c r="I138" s="178">
        <v>81490.119999999792</v>
      </c>
      <c r="J138" s="178">
        <v>48263.605000000003</v>
      </c>
      <c r="K138" s="178">
        <v>6995.25</v>
      </c>
      <c r="L138" s="178">
        <v>35182.338936000131</v>
      </c>
      <c r="M138" s="178">
        <v>136748.9749999998</v>
      </c>
      <c r="N138" s="178">
        <v>136748.9749999998</v>
      </c>
      <c r="O138" s="178">
        <v>171931.31393599993</v>
      </c>
      <c r="P138" s="194">
        <v>1.1071768760659418E-2</v>
      </c>
    </row>
    <row r="139" spans="1:16" x14ac:dyDescent="0.35">
      <c r="A139" s="176" t="s">
        <v>264</v>
      </c>
      <c r="B139" s="185">
        <v>390</v>
      </c>
      <c r="C139" s="185">
        <v>620</v>
      </c>
      <c r="D139" s="185">
        <v>4022</v>
      </c>
      <c r="E139" s="185">
        <v>1789</v>
      </c>
      <c r="F139" s="180">
        <v>25430.04603000003</v>
      </c>
      <c r="G139" s="180">
        <v>7520.2929060001034</v>
      </c>
      <c r="H139" s="180">
        <v>2232</v>
      </c>
      <c r="I139" s="180">
        <v>81490.119999999908</v>
      </c>
      <c r="J139" s="180">
        <v>48263.605000000338</v>
      </c>
      <c r="K139" s="180">
        <v>6995.25</v>
      </c>
      <c r="L139" s="180">
        <v>35182.338936000131</v>
      </c>
      <c r="M139" s="180">
        <v>136748.97500000024</v>
      </c>
      <c r="N139" s="180">
        <v>136748.97500000024</v>
      </c>
      <c r="O139" s="180">
        <v>171931.31393600037</v>
      </c>
      <c r="P139" s="195">
        <v>1.1071768760659446E-2</v>
      </c>
    </row>
    <row r="140" spans="1:16" x14ac:dyDescent="0.35">
      <c r="A140" s="177" t="s">
        <v>72</v>
      </c>
      <c r="B140" s="184">
        <v>658</v>
      </c>
      <c r="C140" s="184">
        <v>442</v>
      </c>
      <c r="D140" s="184">
        <v>6936</v>
      </c>
      <c r="E140" s="184">
        <v>1621</v>
      </c>
      <c r="F140" s="178">
        <v>40368.424104000078</v>
      </c>
      <c r="G140" s="178">
        <v>7976.4750580000418</v>
      </c>
      <c r="H140" s="178">
        <v>4104</v>
      </c>
      <c r="I140" s="178">
        <v>124094.75500000031</v>
      </c>
      <c r="J140" s="178">
        <v>35478.559999999801</v>
      </c>
      <c r="K140" s="178">
        <v>11825.75</v>
      </c>
      <c r="L140" s="178">
        <v>52448.899162000118</v>
      </c>
      <c r="M140" s="178">
        <v>171399.06500000012</v>
      </c>
      <c r="N140" s="178">
        <v>171399.06500000012</v>
      </c>
      <c r="O140" s="178">
        <v>223847.96416200022</v>
      </c>
      <c r="P140" s="194">
        <v>1.4415017485811836E-2</v>
      </c>
    </row>
    <row r="141" spans="1:16" x14ac:dyDescent="0.35">
      <c r="A141" s="176" t="s">
        <v>263</v>
      </c>
      <c r="B141" s="185">
        <v>658</v>
      </c>
      <c r="C141" s="185">
        <v>442</v>
      </c>
      <c r="D141" s="185">
        <v>6936</v>
      </c>
      <c r="E141" s="185">
        <v>1621</v>
      </c>
      <c r="F141" s="180">
        <v>40368.424104000078</v>
      </c>
      <c r="G141" s="180">
        <v>7976.4750580000418</v>
      </c>
      <c r="H141" s="180">
        <v>4104</v>
      </c>
      <c r="I141" s="180">
        <v>124094.75500000067</v>
      </c>
      <c r="J141" s="180">
        <v>35478.559999999772</v>
      </c>
      <c r="K141" s="180">
        <v>11825.75</v>
      </c>
      <c r="L141" s="180">
        <v>52448.899162000118</v>
      </c>
      <c r="M141" s="180">
        <v>171399.06500000044</v>
      </c>
      <c r="N141" s="180">
        <v>171399.06500000044</v>
      </c>
      <c r="O141" s="180">
        <v>223847.96416200057</v>
      </c>
      <c r="P141" s="195">
        <v>1.4415017485811858E-2</v>
      </c>
    </row>
    <row r="142" spans="1:16" x14ac:dyDescent="0.35">
      <c r="A142" s="177" t="s">
        <v>73</v>
      </c>
      <c r="B142" s="184">
        <v>1178</v>
      </c>
      <c r="C142" s="184">
        <v>609</v>
      </c>
      <c r="D142" s="184">
        <v>12007</v>
      </c>
      <c r="E142" s="184">
        <v>2527</v>
      </c>
      <c r="F142" s="178">
        <v>75330.685098000875</v>
      </c>
      <c r="G142" s="178">
        <v>8498.7660060000344</v>
      </c>
      <c r="H142" s="178">
        <v>7524</v>
      </c>
      <c r="I142" s="178">
        <v>228164.69499999878</v>
      </c>
      <c r="J142" s="178">
        <v>55418.154999984676</v>
      </c>
      <c r="K142" s="178">
        <v>18992</v>
      </c>
      <c r="L142" s="178">
        <v>91353.451104000909</v>
      </c>
      <c r="M142" s="178">
        <v>302574.84999998345</v>
      </c>
      <c r="N142" s="178">
        <v>302574.84999998345</v>
      </c>
      <c r="O142" s="178">
        <v>393928.30110398435</v>
      </c>
      <c r="P142" s="194">
        <v>2.5367589872117527E-2</v>
      </c>
    </row>
    <row r="143" spans="1:16" x14ac:dyDescent="0.35">
      <c r="A143" s="176" t="s">
        <v>262</v>
      </c>
      <c r="B143" s="185">
        <v>1178</v>
      </c>
      <c r="C143" s="185">
        <v>609</v>
      </c>
      <c r="D143" s="185">
        <v>12007</v>
      </c>
      <c r="E143" s="185">
        <v>2527</v>
      </c>
      <c r="F143" s="180">
        <v>75330.685098000875</v>
      </c>
      <c r="G143" s="180">
        <v>8498.7660060000344</v>
      </c>
      <c r="H143" s="180">
        <v>7524</v>
      </c>
      <c r="I143" s="180">
        <v>228164.69499999774</v>
      </c>
      <c r="J143" s="180">
        <v>55418.154999984567</v>
      </c>
      <c r="K143" s="180">
        <v>18992</v>
      </c>
      <c r="L143" s="180">
        <v>91353.451104000909</v>
      </c>
      <c r="M143" s="180">
        <v>302574.84999998228</v>
      </c>
      <c r="N143" s="180">
        <v>302574.84999998228</v>
      </c>
      <c r="O143" s="180">
        <v>393928.30110398319</v>
      </c>
      <c r="P143" s="195">
        <v>2.5367589872117454E-2</v>
      </c>
    </row>
    <row r="144" spans="1:16" x14ac:dyDescent="0.35">
      <c r="A144" s="177" t="s">
        <v>522</v>
      </c>
      <c r="B144" s="184">
        <v>101</v>
      </c>
      <c r="C144" s="184">
        <v>13</v>
      </c>
      <c r="D144" s="184">
        <v>983</v>
      </c>
      <c r="E144" s="184">
        <v>61</v>
      </c>
      <c r="F144" s="178">
        <v>6798.7800539999862</v>
      </c>
      <c r="G144" s="178">
        <v>150.46196600000002</v>
      </c>
      <c r="H144" s="178">
        <v>72</v>
      </c>
      <c r="I144" s="178">
        <v>19852.559999999998</v>
      </c>
      <c r="J144" s="178">
        <v>1236.6575000000003</v>
      </c>
      <c r="K144" s="178">
        <v>384</v>
      </c>
      <c r="L144" s="178">
        <v>7021.242019999986</v>
      </c>
      <c r="M144" s="178">
        <v>21473.217499999999</v>
      </c>
      <c r="N144" s="178">
        <v>21473.217499999999</v>
      </c>
      <c r="O144" s="178">
        <v>28494.459519999986</v>
      </c>
      <c r="P144" s="194">
        <v>1.834942451977344E-3</v>
      </c>
    </row>
    <row r="145" spans="1:16" x14ac:dyDescent="0.35">
      <c r="A145" s="176" t="s">
        <v>260</v>
      </c>
      <c r="B145" s="185">
        <v>101</v>
      </c>
      <c r="C145" s="185">
        <v>13</v>
      </c>
      <c r="D145" s="185">
        <v>983</v>
      </c>
      <c r="E145" s="185">
        <v>61</v>
      </c>
      <c r="F145" s="180">
        <v>6798.7800539999862</v>
      </c>
      <c r="G145" s="180">
        <v>150.46196600000002</v>
      </c>
      <c r="H145" s="180">
        <v>72</v>
      </c>
      <c r="I145" s="180">
        <v>19852.559999999983</v>
      </c>
      <c r="J145" s="180">
        <v>1236.6575000000003</v>
      </c>
      <c r="K145" s="180">
        <v>384</v>
      </c>
      <c r="L145" s="180">
        <v>7021.242019999986</v>
      </c>
      <c r="M145" s="180">
        <v>21473.217499999984</v>
      </c>
      <c r="N145" s="180">
        <v>21473.217499999984</v>
      </c>
      <c r="O145" s="180">
        <v>28494.459519999971</v>
      </c>
      <c r="P145" s="195">
        <v>1.8349424519773431E-3</v>
      </c>
    </row>
    <row r="146" spans="1:16" x14ac:dyDescent="0.35">
      <c r="A146" s="177" t="s">
        <v>75</v>
      </c>
      <c r="B146" s="184"/>
      <c r="C146" s="184">
        <v>147</v>
      </c>
      <c r="D146" s="184"/>
      <c r="E146" s="184">
        <v>426</v>
      </c>
      <c r="F146" s="178"/>
      <c r="G146" s="178">
        <v>1505.7913049999977</v>
      </c>
      <c r="H146" s="178"/>
      <c r="I146" s="178"/>
      <c r="J146" s="178">
        <v>12269.400000000011</v>
      </c>
      <c r="K146" s="178"/>
      <c r="L146" s="178">
        <v>1505.7913049999977</v>
      </c>
      <c r="M146" s="178">
        <v>12269.400000000011</v>
      </c>
      <c r="N146" s="178">
        <v>4623.8338145999915</v>
      </c>
      <c r="O146" s="178">
        <v>6129.6251195999894</v>
      </c>
      <c r="P146" s="194">
        <v>3.9472618663871151E-4</v>
      </c>
    </row>
    <row r="147" spans="1:16" x14ac:dyDescent="0.35">
      <c r="A147" s="176" t="s">
        <v>256</v>
      </c>
      <c r="B147" s="185"/>
      <c r="C147" s="185">
        <v>147</v>
      </c>
      <c r="D147" s="185"/>
      <c r="E147" s="185">
        <v>426</v>
      </c>
      <c r="F147" s="180"/>
      <c r="G147" s="180">
        <v>1505.7913049999977</v>
      </c>
      <c r="H147" s="180"/>
      <c r="I147" s="180"/>
      <c r="J147" s="180">
        <v>12269.399999999994</v>
      </c>
      <c r="K147" s="180"/>
      <c r="L147" s="180">
        <v>1505.7913049999977</v>
      </c>
      <c r="M147" s="180">
        <v>12269.399999999994</v>
      </c>
      <c r="N147" s="180">
        <v>4623.8338145999915</v>
      </c>
      <c r="O147" s="180">
        <v>6129.6251195999894</v>
      </c>
      <c r="P147" s="195">
        <v>3.9472618663871151E-4</v>
      </c>
    </row>
    <row r="148" spans="1:16" x14ac:dyDescent="0.35">
      <c r="A148" s="177" t="s">
        <v>76</v>
      </c>
      <c r="B148" s="184">
        <v>50</v>
      </c>
      <c r="C148" s="184">
        <v>57</v>
      </c>
      <c r="D148" s="184">
        <v>495</v>
      </c>
      <c r="E148" s="184">
        <v>201</v>
      </c>
      <c r="F148" s="178">
        <v>2706.300000000002</v>
      </c>
      <c r="G148" s="178">
        <v>821.3393909999993</v>
      </c>
      <c r="H148" s="178">
        <v>468</v>
      </c>
      <c r="I148" s="178">
        <v>8855.7499999999982</v>
      </c>
      <c r="J148" s="178">
        <v>3973.6125000000006</v>
      </c>
      <c r="K148" s="178">
        <v>1151.5</v>
      </c>
      <c r="L148" s="178">
        <v>3995.6393910000015</v>
      </c>
      <c r="M148" s="178">
        <v>13980.862499999999</v>
      </c>
      <c r="N148" s="178">
        <v>13980.862499999999</v>
      </c>
      <c r="O148" s="178">
        <v>17976.501891</v>
      </c>
      <c r="P148" s="194">
        <v>1.1576231665210023E-3</v>
      </c>
    </row>
    <row r="149" spans="1:16" x14ac:dyDescent="0.35">
      <c r="A149" s="176" t="s">
        <v>258</v>
      </c>
      <c r="B149" s="185">
        <v>50</v>
      </c>
      <c r="C149" s="185">
        <v>57</v>
      </c>
      <c r="D149" s="185">
        <v>495</v>
      </c>
      <c r="E149" s="185">
        <v>201</v>
      </c>
      <c r="F149" s="180">
        <v>2706.300000000002</v>
      </c>
      <c r="G149" s="180">
        <v>821.3393909999993</v>
      </c>
      <c r="H149" s="180">
        <v>468</v>
      </c>
      <c r="I149" s="180">
        <v>8855.7500000000018</v>
      </c>
      <c r="J149" s="180">
        <v>3973.6125000000038</v>
      </c>
      <c r="K149" s="180">
        <v>1151.5</v>
      </c>
      <c r="L149" s="180">
        <v>3995.6393910000015</v>
      </c>
      <c r="M149" s="180">
        <v>13980.862500000007</v>
      </c>
      <c r="N149" s="180">
        <v>13980.862500000007</v>
      </c>
      <c r="O149" s="180">
        <v>17976.501891000007</v>
      </c>
      <c r="P149" s="195">
        <v>1.1576231665210027E-3</v>
      </c>
    </row>
    <row r="150" spans="1:16" x14ac:dyDescent="0.35">
      <c r="A150" s="177" t="s">
        <v>461</v>
      </c>
      <c r="B150" s="184">
        <v>218</v>
      </c>
      <c r="C150" s="184">
        <v>124</v>
      </c>
      <c r="D150" s="184">
        <v>2721</v>
      </c>
      <c r="E150" s="184">
        <v>383</v>
      </c>
      <c r="F150" s="178">
        <v>11442.597839999957</v>
      </c>
      <c r="G150" s="178">
        <v>1788.6969369999954</v>
      </c>
      <c r="H150" s="178">
        <v>1116</v>
      </c>
      <c r="I150" s="178">
        <v>35897.160000000011</v>
      </c>
      <c r="J150" s="178">
        <v>10378.290000000003</v>
      </c>
      <c r="K150" s="178">
        <v>2566.5</v>
      </c>
      <c r="L150" s="178">
        <v>14347.294776999952</v>
      </c>
      <c r="M150" s="178">
        <v>48841.950000000012</v>
      </c>
      <c r="N150" s="178">
        <v>48841.950000000012</v>
      </c>
      <c r="O150" s="178">
        <v>63189.244776999964</v>
      </c>
      <c r="P150" s="194">
        <v>4.0691639603945345E-3</v>
      </c>
    </row>
    <row r="151" spans="1:16" x14ac:dyDescent="0.35">
      <c r="A151" s="176" t="s">
        <v>290</v>
      </c>
      <c r="B151" s="185">
        <v>218</v>
      </c>
      <c r="C151" s="185">
        <v>124</v>
      </c>
      <c r="D151" s="185">
        <v>2721</v>
      </c>
      <c r="E151" s="185">
        <v>383</v>
      </c>
      <c r="F151" s="180">
        <v>11442.597839999957</v>
      </c>
      <c r="G151" s="180">
        <v>1788.6969369999954</v>
      </c>
      <c r="H151" s="180">
        <v>1116</v>
      </c>
      <c r="I151" s="180">
        <v>35897.160000000033</v>
      </c>
      <c r="J151" s="180">
        <v>10378.289999999995</v>
      </c>
      <c r="K151" s="180">
        <v>2566.5</v>
      </c>
      <c r="L151" s="180">
        <v>14347.294776999952</v>
      </c>
      <c r="M151" s="180">
        <v>48841.950000000026</v>
      </c>
      <c r="N151" s="180">
        <v>48841.950000000026</v>
      </c>
      <c r="O151" s="180">
        <v>63189.244776999978</v>
      </c>
      <c r="P151" s="195">
        <v>4.0691639603945354E-3</v>
      </c>
    </row>
    <row r="152" spans="1:16" x14ac:dyDescent="0.35">
      <c r="A152" s="177" t="s">
        <v>77</v>
      </c>
      <c r="B152" s="184">
        <v>293</v>
      </c>
      <c r="C152" s="184">
        <v>155</v>
      </c>
      <c r="D152" s="184">
        <v>3335</v>
      </c>
      <c r="E152" s="184">
        <v>416</v>
      </c>
      <c r="F152" s="178">
        <v>20631.957786000065</v>
      </c>
      <c r="G152" s="178">
        <v>2433.7169999999969</v>
      </c>
      <c r="H152" s="178">
        <v>1277.28</v>
      </c>
      <c r="I152" s="178">
        <v>60831.400000000031</v>
      </c>
      <c r="J152" s="178">
        <v>10552.554999999995</v>
      </c>
      <c r="K152" s="178">
        <v>10670.179999999995</v>
      </c>
      <c r="L152" s="178">
        <v>24342.95478600006</v>
      </c>
      <c r="M152" s="178">
        <v>82054.135000000024</v>
      </c>
      <c r="N152" s="178">
        <v>82054.135000000024</v>
      </c>
      <c r="O152" s="178">
        <v>106397.08978600008</v>
      </c>
      <c r="P152" s="194">
        <v>6.8515964192317732E-3</v>
      </c>
    </row>
    <row r="153" spans="1:16" x14ac:dyDescent="0.35">
      <c r="A153" s="176" t="s">
        <v>255</v>
      </c>
      <c r="B153" s="185">
        <v>293</v>
      </c>
      <c r="C153" s="185">
        <v>155</v>
      </c>
      <c r="D153" s="185">
        <v>3335</v>
      </c>
      <c r="E153" s="185">
        <v>416</v>
      </c>
      <c r="F153" s="180">
        <v>20631.957786000065</v>
      </c>
      <c r="G153" s="180">
        <v>2433.7169999999969</v>
      </c>
      <c r="H153" s="180">
        <v>1277.28</v>
      </c>
      <c r="I153" s="180">
        <v>60831.400000000074</v>
      </c>
      <c r="J153" s="180">
        <v>10552.554999999991</v>
      </c>
      <c r="K153" s="180">
        <v>10670.179999999995</v>
      </c>
      <c r="L153" s="180">
        <v>24342.95478600006</v>
      </c>
      <c r="M153" s="180">
        <v>82054.135000000053</v>
      </c>
      <c r="N153" s="180">
        <v>82054.135000000053</v>
      </c>
      <c r="O153" s="180">
        <v>106397.08978600011</v>
      </c>
      <c r="P153" s="195">
        <v>6.8515964192317749E-3</v>
      </c>
    </row>
    <row r="154" spans="1:16" x14ac:dyDescent="0.35">
      <c r="A154" s="177" t="s">
        <v>78</v>
      </c>
      <c r="B154" s="184">
        <v>25</v>
      </c>
      <c r="C154" s="184"/>
      <c r="D154" s="184">
        <v>225</v>
      </c>
      <c r="E154" s="184"/>
      <c r="F154" s="178">
        <v>2312.6399999999994</v>
      </c>
      <c r="G154" s="178"/>
      <c r="H154" s="178"/>
      <c r="I154" s="178">
        <v>5951.5199999999995</v>
      </c>
      <c r="J154" s="178"/>
      <c r="K154" s="178"/>
      <c r="L154" s="178">
        <v>2312.6399999999994</v>
      </c>
      <c r="M154" s="178">
        <v>5951.5199999999995</v>
      </c>
      <c r="N154" s="178">
        <v>5951.5199999999995</v>
      </c>
      <c r="O154" s="178">
        <v>8264.16</v>
      </c>
      <c r="P154" s="194">
        <v>5.3218268636713183E-4</v>
      </c>
    </row>
    <row r="155" spans="1:16" x14ac:dyDescent="0.35">
      <c r="A155" s="176" t="s">
        <v>254</v>
      </c>
      <c r="B155" s="185">
        <v>25</v>
      </c>
      <c r="C155" s="185"/>
      <c r="D155" s="185">
        <v>225</v>
      </c>
      <c r="E155" s="185"/>
      <c r="F155" s="180">
        <v>2312.6399999999994</v>
      </c>
      <c r="G155" s="180"/>
      <c r="H155" s="180"/>
      <c r="I155" s="180">
        <v>5951.5199999999995</v>
      </c>
      <c r="J155" s="180"/>
      <c r="K155" s="180"/>
      <c r="L155" s="180">
        <v>2312.6399999999994</v>
      </c>
      <c r="M155" s="180">
        <v>5951.5199999999995</v>
      </c>
      <c r="N155" s="180">
        <v>5951.5199999999995</v>
      </c>
      <c r="O155" s="180">
        <v>8264.16</v>
      </c>
      <c r="P155" s="195">
        <v>5.3218268636713183E-4</v>
      </c>
    </row>
    <row r="156" spans="1:16" x14ac:dyDescent="0.35">
      <c r="A156" s="177" t="s">
        <v>79</v>
      </c>
      <c r="B156" s="184">
        <v>8</v>
      </c>
      <c r="C156" s="184"/>
      <c r="D156" s="184">
        <v>124</v>
      </c>
      <c r="E156" s="184"/>
      <c r="F156" s="178">
        <v>616.32000000000005</v>
      </c>
      <c r="G156" s="178"/>
      <c r="H156" s="178">
        <v>36</v>
      </c>
      <c r="I156" s="178">
        <v>1881.98</v>
      </c>
      <c r="J156" s="178"/>
      <c r="K156" s="178">
        <v>63</v>
      </c>
      <c r="L156" s="178">
        <v>652.32000000000005</v>
      </c>
      <c r="M156" s="178">
        <v>1944.98</v>
      </c>
      <c r="N156" s="178">
        <v>1944.98</v>
      </c>
      <c r="O156" s="178">
        <v>2597.3000000000002</v>
      </c>
      <c r="P156" s="194">
        <v>1.6725693734164775E-4</v>
      </c>
    </row>
    <row r="157" spans="1:16" x14ac:dyDescent="0.35">
      <c r="A157" s="176" t="s">
        <v>250</v>
      </c>
      <c r="B157" s="185">
        <v>8</v>
      </c>
      <c r="C157" s="185"/>
      <c r="D157" s="185">
        <v>124</v>
      </c>
      <c r="E157" s="185"/>
      <c r="F157" s="180">
        <v>616.32000000000005</v>
      </c>
      <c r="G157" s="180"/>
      <c r="H157" s="180">
        <v>36</v>
      </c>
      <c r="I157" s="180">
        <v>1881.98</v>
      </c>
      <c r="J157" s="180"/>
      <c r="K157" s="180">
        <v>63</v>
      </c>
      <c r="L157" s="180">
        <v>652.32000000000005</v>
      </c>
      <c r="M157" s="180">
        <v>1944.98</v>
      </c>
      <c r="N157" s="180">
        <v>1944.98</v>
      </c>
      <c r="O157" s="180">
        <v>2597.3000000000002</v>
      </c>
      <c r="P157" s="195">
        <v>1.6725693734164775E-4</v>
      </c>
    </row>
    <row r="158" spans="1:16" x14ac:dyDescent="0.35">
      <c r="A158" s="177" t="s">
        <v>80</v>
      </c>
      <c r="B158" s="184"/>
      <c r="C158" s="184">
        <v>84</v>
      </c>
      <c r="D158" s="184"/>
      <c r="E158" s="184">
        <v>351</v>
      </c>
      <c r="F158" s="178"/>
      <c r="G158" s="178">
        <v>1627.0018009999997</v>
      </c>
      <c r="H158" s="178"/>
      <c r="I158" s="178"/>
      <c r="J158" s="178">
        <v>8088.3399999999865</v>
      </c>
      <c r="K158" s="178"/>
      <c r="L158" s="178">
        <v>1627.0018009999997</v>
      </c>
      <c r="M158" s="178">
        <v>8088.3399999999865</v>
      </c>
      <c r="N158" s="178">
        <v>5116.1177002000122</v>
      </c>
      <c r="O158" s="178">
        <v>6743.1195012000117</v>
      </c>
      <c r="P158" s="194">
        <v>4.3423305582699468E-4</v>
      </c>
    </row>
    <row r="159" spans="1:16" x14ac:dyDescent="0.35">
      <c r="A159" s="176" t="s">
        <v>249</v>
      </c>
      <c r="B159" s="185"/>
      <c r="C159" s="185">
        <v>84</v>
      </c>
      <c r="D159" s="185"/>
      <c r="E159" s="185">
        <v>351</v>
      </c>
      <c r="F159" s="180"/>
      <c r="G159" s="180">
        <v>1627.0018009999997</v>
      </c>
      <c r="H159" s="180"/>
      <c r="I159" s="180"/>
      <c r="J159" s="180">
        <v>8088.3399999999865</v>
      </c>
      <c r="K159" s="180"/>
      <c r="L159" s="180">
        <v>1627.0018009999997</v>
      </c>
      <c r="M159" s="180">
        <v>8088.3399999999865</v>
      </c>
      <c r="N159" s="180">
        <v>5116.1177002000122</v>
      </c>
      <c r="O159" s="180">
        <v>6743.1195012000117</v>
      </c>
      <c r="P159" s="195">
        <v>4.3423305582699468E-4</v>
      </c>
    </row>
    <row r="160" spans="1:16" x14ac:dyDescent="0.35">
      <c r="A160" s="177" t="s">
        <v>81</v>
      </c>
      <c r="B160" s="184"/>
      <c r="C160" s="184">
        <v>34</v>
      </c>
      <c r="D160" s="184"/>
      <c r="E160" s="184">
        <v>143</v>
      </c>
      <c r="F160" s="178"/>
      <c r="G160" s="178">
        <v>576.57614699999999</v>
      </c>
      <c r="H160" s="178"/>
      <c r="I160" s="178"/>
      <c r="J160" s="178">
        <v>3826.1600000000021</v>
      </c>
      <c r="K160" s="178"/>
      <c r="L160" s="178">
        <v>576.57614699999999</v>
      </c>
      <c r="M160" s="178">
        <v>3826.1600000000021</v>
      </c>
      <c r="N160" s="178">
        <v>3826.1600000000021</v>
      </c>
      <c r="O160" s="178">
        <v>4402.7361470000023</v>
      </c>
      <c r="P160" s="194">
        <v>2.8352064215554114E-4</v>
      </c>
    </row>
    <row r="161" spans="1:16" x14ac:dyDescent="0.35">
      <c r="A161" s="176" t="s">
        <v>248</v>
      </c>
      <c r="B161" s="185"/>
      <c r="C161" s="185">
        <v>34</v>
      </c>
      <c r="D161" s="185"/>
      <c r="E161" s="185">
        <v>143</v>
      </c>
      <c r="F161" s="180"/>
      <c r="G161" s="180">
        <v>576.57614699999999</v>
      </c>
      <c r="H161" s="180"/>
      <c r="I161" s="180"/>
      <c r="J161" s="180">
        <v>3826.1600000000039</v>
      </c>
      <c r="K161" s="180"/>
      <c r="L161" s="180">
        <v>576.57614699999999</v>
      </c>
      <c r="M161" s="180">
        <v>3826.1600000000039</v>
      </c>
      <c r="N161" s="180">
        <v>3826.1600000000039</v>
      </c>
      <c r="O161" s="180">
        <v>4402.7361470000042</v>
      </c>
      <c r="P161" s="195">
        <v>2.8352064215554125E-4</v>
      </c>
    </row>
    <row r="162" spans="1:16" x14ac:dyDescent="0.35">
      <c r="A162" s="177" t="s">
        <v>82</v>
      </c>
      <c r="B162" s="184">
        <v>256</v>
      </c>
      <c r="C162" s="184">
        <v>116</v>
      </c>
      <c r="D162" s="184">
        <v>2427</v>
      </c>
      <c r="E162" s="184">
        <v>548</v>
      </c>
      <c r="F162" s="178">
        <v>12829.141133999963</v>
      </c>
      <c r="G162" s="178">
        <v>1807.1824580000036</v>
      </c>
      <c r="H162" s="178">
        <v>1188</v>
      </c>
      <c r="I162" s="178">
        <v>51351.084999999963</v>
      </c>
      <c r="J162" s="178">
        <v>12695.345000000007</v>
      </c>
      <c r="K162" s="178">
        <v>3083</v>
      </c>
      <c r="L162" s="178">
        <v>15824.323591999966</v>
      </c>
      <c r="M162" s="178">
        <v>67129.429999999964</v>
      </c>
      <c r="N162" s="178">
        <v>67129.429999999964</v>
      </c>
      <c r="O162" s="178">
        <v>82953.753591999935</v>
      </c>
      <c r="P162" s="194">
        <v>5.3419284513886037E-3</v>
      </c>
    </row>
    <row r="163" spans="1:16" x14ac:dyDescent="0.35">
      <c r="A163" s="176" t="s">
        <v>247</v>
      </c>
      <c r="B163" s="185">
        <v>256</v>
      </c>
      <c r="C163" s="185">
        <v>116</v>
      </c>
      <c r="D163" s="185">
        <v>2427</v>
      </c>
      <c r="E163" s="185">
        <v>548</v>
      </c>
      <c r="F163" s="180">
        <v>12829.141133999963</v>
      </c>
      <c r="G163" s="180">
        <v>1807.1824580000036</v>
      </c>
      <c r="H163" s="180">
        <v>1188</v>
      </c>
      <c r="I163" s="180">
        <v>51351.084999999948</v>
      </c>
      <c r="J163" s="180">
        <v>12695.345000000003</v>
      </c>
      <c r="K163" s="180">
        <v>3083</v>
      </c>
      <c r="L163" s="180">
        <v>15824.323591999966</v>
      </c>
      <c r="M163" s="180">
        <v>67129.429999999949</v>
      </c>
      <c r="N163" s="180">
        <v>67129.429999999949</v>
      </c>
      <c r="O163" s="180">
        <v>82953.753591999921</v>
      </c>
      <c r="P163" s="195">
        <v>5.3419284513886028E-3</v>
      </c>
    </row>
    <row r="164" spans="1:16" x14ac:dyDescent="0.35">
      <c r="A164" s="177" t="s">
        <v>83</v>
      </c>
      <c r="B164" s="184">
        <v>395</v>
      </c>
      <c r="C164" s="184">
        <v>101</v>
      </c>
      <c r="D164" s="184">
        <v>4028</v>
      </c>
      <c r="E164" s="184">
        <v>400</v>
      </c>
      <c r="F164" s="178">
        <v>21142.618596000062</v>
      </c>
      <c r="G164" s="178">
        <v>1332.3974190000015</v>
      </c>
      <c r="H164" s="178">
        <v>1080</v>
      </c>
      <c r="I164" s="178">
        <v>66079.704999999929</v>
      </c>
      <c r="J164" s="178">
        <v>8837.0100000000075</v>
      </c>
      <c r="K164" s="178">
        <v>3715.25</v>
      </c>
      <c r="L164" s="178">
        <v>23555.016015000063</v>
      </c>
      <c r="M164" s="178">
        <v>78631.964999999938</v>
      </c>
      <c r="N164" s="178">
        <v>78631.964999999938</v>
      </c>
      <c r="O164" s="178">
        <v>102186.981015</v>
      </c>
      <c r="P164" s="194">
        <v>6.5804802990636442E-3</v>
      </c>
    </row>
    <row r="165" spans="1:16" x14ac:dyDescent="0.35">
      <c r="A165" s="176" t="s">
        <v>246</v>
      </c>
      <c r="B165" s="185">
        <v>395</v>
      </c>
      <c r="C165" s="185">
        <v>101</v>
      </c>
      <c r="D165" s="185">
        <v>4028</v>
      </c>
      <c r="E165" s="185">
        <v>400</v>
      </c>
      <c r="F165" s="180">
        <v>21142.618596000062</v>
      </c>
      <c r="G165" s="180">
        <v>1332.3974190000015</v>
      </c>
      <c r="H165" s="180">
        <v>1080</v>
      </c>
      <c r="I165" s="180">
        <v>66079.704999999914</v>
      </c>
      <c r="J165" s="180">
        <v>8837.0100000000039</v>
      </c>
      <c r="K165" s="180">
        <v>3715.25</v>
      </c>
      <c r="L165" s="180">
        <v>23555.016015000063</v>
      </c>
      <c r="M165" s="180">
        <v>78631.964999999924</v>
      </c>
      <c r="N165" s="180">
        <v>78631.964999999924</v>
      </c>
      <c r="O165" s="180">
        <v>102186.98101499998</v>
      </c>
      <c r="P165" s="195">
        <v>6.5804802990636424E-3</v>
      </c>
    </row>
    <row r="166" spans="1:16" x14ac:dyDescent="0.35">
      <c r="A166" s="177" t="s">
        <v>523</v>
      </c>
      <c r="B166" s="184">
        <v>25</v>
      </c>
      <c r="C166" s="184">
        <v>1</v>
      </c>
      <c r="D166" s="184">
        <v>233</v>
      </c>
      <c r="E166" s="184">
        <v>4</v>
      </c>
      <c r="F166" s="178">
        <v>960.3000000000003</v>
      </c>
      <c r="G166" s="178">
        <v>9.1259999999999994</v>
      </c>
      <c r="H166" s="178">
        <v>36</v>
      </c>
      <c r="I166" s="178">
        <v>5181.4800000000041</v>
      </c>
      <c r="J166" s="178">
        <v>50.017499999999998</v>
      </c>
      <c r="K166" s="178">
        <v>104</v>
      </c>
      <c r="L166" s="178">
        <v>1005.4260000000003</v>
      </c>
      <c r="M166" s="178">
        <v>5335.497500000004</v>
      </c>
      <c r="N166" s="178">
        <v>5335.497500000004</v>
      </c>
      <c r="O166" s="178">
        <v>6340.9235000000044</v>
      </c>
      <c r="P166" s="194">
        <v>4.0833305529884204E-4</v>
      </c>
    </row>
    <row r="167" spans="1:16" x14ac:dyDescent="0.35">
      <c r="A167" s="176" t="s">
        <v>245</v>
      </c>
      <c r="B167" s="185">
        <v>25</v>
      </c>
      <c r="C167" s="185">
        <v>1</v>
      </c>
      <c r="D167" s="185">
        <v>233</v>
      </c>
      <c r="E167" s="185">
        <v>4</v>
      </c>
      <c r="F167" s="180">
        <v>960.3000000000003</v>
      </c>
      <c r="G167" s="180">
        <v>9.1259999999999994</v>
      </c>
      <c r="H167" s="180">
        <v>36</v>
      </c>
      <c r="I167" s="180">
        <v>5181.4800000000059</v>
      </c>
      <c r="J167" s="180">
        <v>50.017499999999998</v>
      </c>
      <c r="K167" s="180">
        <v>104</v>
      </c>
      <c r="L167" s="180">
        <v>1005.4260000000003</v>
      </c>
      <c r="M167" s="180">
        <v>5335.4975000000059</v>
      </c>
      <c r="N167" s="180">
        <v>5335.4975000000059</v>
      </c>
      <c r="O167" s="180">
        <v>6340.9235000000062</v>
      </c>
      <c r="P167" s="195">
        <v>4.0833305529884215E-4</v>
      </c>
    </row>
    <row r="168" spans="1:16" x14ac:dyDescent="0.35">
      <c r="A168" s="177" t="s">
        <v>85</v>
      </c>
      <c r="B168" s="184">
        <v>1345</v>
      </c>
      <c r="C168" s="184">
        <v>390</v>
      </c>
      <c r="D168" s="184">
        <v>14249</v>
      </c>
      <c r="E168" s="184">
        <v>1901</v>
      </c>
      <c r="F168" s="178">
        <v>77238.192744000931</v>
      </c>
      <c r="G168" s="178">
        <v>4990.5134410000019</v>
      </c>
      <c r="H168" s="178">
        <v>4500</v>
      </c>
      <c r="I168" s="178">
        <v>288194.57499999728</v>
      </c>
      <c r="J168" s="178">
        <v>42198.747499999692</v>
      </c>
      <c r="K168" s="178">
        <v>17434.75</v>
      </c>
      <c r="L168" s="178">
        <v>86728.706185000934</v>
      </c>
      <c r="M168" s="178">
        <v>347828.07249999698</v>
      </c>
      <c r="N168" s="178">
        <v>347828.07249999698</v>
      </c>
      <c r="O168" s="178">
        <v>434556.77868499793</v>
      </c>
      <c r="P168" s="194">
        <v>2.7983920187850838E-2</v>
      </c>
    </row>
    <row r="169" spans="1:16" x14ac:dyDescent="0.35">
      <c r="A169" s="176" t="s">
        <v>252</v>
      </c>
      <c r="B169" s="185">
        <v>1345</v>
      </c>
      <c r="C169" s="185">
        <v>390</v>
      </c>
      <c r="D169" s="185">
        <v>14249</v>
      </c>
      <c r="E169" s="185">
        <v>1901</v>
      </c>
      <c r="F169" s="180">
        <v>77238.192744000931</v>
      </c>
      <c r="G169" s="180">
        <v>4990.5134410000019</v>
      </c>
      <c r="H169" s="180">
        <v>4500</v>
      </c>
      <c r="I169" s="180">
        <v>288194.57499999512</v>
      </c>
      <c r="J169" s="180">
        <v>42198.747499999234</v>
      </c>
      <c r="K169" s="180">
        <v>17434.75</v>
      </c>
      <c r="L169" s="180">
        <v>86728.706185000934</v>
      </c>
      <c r="M169" s="180">
        <v>347828.07249999436</v>
      </c>
      <c r="N169" s="180">
        <v>347828.07249999436</v>
      </c>
      <c r="O169" s="180">
        <v>434556.77868499531</v>
      </c>
      <c r="P169" s="195">
        <v>2.7983920187850671E-2</v>
      </c>
    </row>
    <row r="170" spans="1:16" x14ac:dyDescent="0.35">
      <c r="A170" s="177" t="s">
        <v>516</v>
      </c>
      <c r="B170" s="184">
        <v>56</v>
      </c>
      <c r="C170" s="184">
        <v>33</v>
      </c>
      <c r="D170" s="184">
        <v>432</v>
      </c>
      <c r="E170" s="184">
        <v>117</v>
      </c>
      <c r="F170" s="178">
        <v>1512.3601080000017</v>
      </c>
      <c r="G170" s="178">
        <v>410.66948999999971</v>
      </c>
      <c r="H170" s="178"/>
      <c r="I170" s="178">
        <v>9353.32</v>
      </c>
      <c r="J170" s="178">
        <v>2293.5899999999997</v>
      </c>
      <c r="K170" s="178">
        <v>32.5</v>
      </c>
      <c r="L170" s="178">
        <v>1923.0295980000014</v>
      </c>
      <c r="M170" s="178">
        <v>11679.41</v>
      </c>
      <c r="N170" s="178">
        <v>11679.41</v>
      </c>
      <c r="O170" s="178">
        <v>13602.439598000001</v>
      </c>
      <c r="P170" s="194">
        <v>8.7594901918770806E-4</v>
      </c>
    </row>
    <row r="171" spans="1:16" x14ac:dyDescent="0.35">
      <c r="A171" s="176" t="s">
        <v>242</v>
      </c>
      <c r="B171" s="185">
        <v>56</v>
      </c>
      <c r="C171" s="185">
        <v>33</v>
      </c>
      <c r="D171" s="185">
        <v>432</v>
      </c>
      <c r="E171" s="185">
        <v>117</v>
      </c>
      <c r="F171" s="180">
        <v>1512.3601080000017</v>
      </c>
      <c r="G171" s="180">
        <v>410.66948999999971</v>
      </c>
      <c r="H171" s="180"/>
      <c r="I171" s="180">
        <v>9353.3199999999706</v>
      </c>
      <c r="J171" s="180">
        <v>2293.5899999999997</v>
      </c>
      <c r="K171" s="180">
        <v>32.5</v>
      </c>
      <c r="L171" s="180">
        <v>1923.0295980000014</v>
      </c>
      <c r="M171" s="180">
        <v>11679.409999999971</v>
      </c>
      <c r="N171" s="180">
        <v>11679.409999999971</v>
      </c>
      <c r="O171" s="180">
        <v>13602.439597999972</v>
      </c>
      <c r="P171" s="195">
        <v>8.7594901918770622E-4</v>
      </c>
    </row>
    <row r="172" spans="1:16" x14ac:dyDescent="0.35">
      <c r="A172" s="177" t="s">
        <v>87</v>
      </c>
      <c r="B172" s="184">
        <v>16</v>
      </c>
      <c r="C172" s="184"/>
      <c r="D172" s="184">
        <v>176</v>
      </c>
      <c r="E172" s="184"/>
      <c r="F172" s="178">
        <v>750.78000000000009</v>
      </c>
      <c r="G172" s="178"/>
      <c r="H172" s="178">
        <v>36</v>
      </c>
      <c r="I172" s="178">
        <v>3866.9400000000023</v>
      </c>
      <c r="J172" s="178"/>
      <c r="K172" s="178">
        <v>122</v>
      </c>
      <c r="L172" s="178">
        <v>786.78000000000009</v>
      </c>
      <c r="M172" s="178">
        <v>3988.9400000000023</v>
      </c>
      <c r="N172" s="178">
        <v>3988.9400000000023</v>
      </c>
      <c r="O172" s="178">
        <v>4775.7200000000021</v>
      </c>
      <c r="P172" s="194">
        <v>3.075394836180858E-4</v>
      </c>
    </row>
    <row r="173" spans="1:16" x14ac:dyDescent="0.35">
      <c r="A173" s="176" t="s">
        <v>241</v>
      </c>
      <c r="B173" s="185">
        <v>16</v>
      </c>
      <c r="C173" s="185"/>
      <c r="D173" s="185">
        <v>176</v>
      </c>
      <c r="E173" s="185"/>
      <c r="F173" s="180">
        <v>750.78000000000009</v>
      </c>
      <c r="G173" s="180"/>
      <c r="H173" s="180">
        <v>36</v>
      </c>
      <c r="I173" s="180">
        <v>3866.9400000000051</v>
      </c>
      <c r="J173" s="180"/>
      <c r="K173" s="180">
        <v>122</v>
      </c>
      <c r="L173" s="180">
        <v>786.78000000000009</v>
      </c>
      <c r="M173" s="180">
        <v>3988.9400000000051</v>
      </c>
      <c r="N173" s="180">
        <v>3988.9400000000051</v>
      </c>
      <c r="O173" s="180">
        <v>4775.7200000000048</v>
      </c>
      <c r="P173" s="195">
        <v>3.0753948361808602E-4</v>
      </c>
    </row>
    <row r="174" spans="1:16" x14ac:dyDescent="0.35">
      <c r="A174" s="177" t="s">
        <v>88</v>
      </c>
      <c r="B174" s="184">
        <v>27</v>
      </c>
      <c r="C174" s="184">
        <v>91</v>
      </c>
      <c r="D174" s="184">
        <v>493</v>
      </c>
      <c r="E174" s="184">
        <v>264</v>
      </c>
      <c r="F174" s="178">
        <v>754.37989200000004</v>
      </c>
      <c r="G174" s="178">
        <v>1304.7846009999998</v>
      </c>
      <c r="H174" s="178"/>
      <c r="I174" s="178">
        <v>8748.4500000000007</v>
      </c>
      <c r="J174" s="178">
        <v>6775.2750000000078</v>
      </c>
      <c r="K174" s="178"/>
      <c r="L174" s="178">
        <v>2059.1644929999998</v>
      </c>
      <c r="M174" s="178">
        <v>15523.725000000009</v>
      </c>
      <c r="N174" s="178">
        <v>15523.725000000009</v>
      </c>
      <c r="O174" s="178">
        <v>17582.88949300001</v>
      </c>
      <c r="P174" s="194">
        <v>1.1322759196919182E-3</v>
      </c>
    </row>
    <row r="175" spans="1:16" x14ac:dyDescent="0.35">
      <c r="A175" s="176" t="s">
        <v>240</v>
      </c>
      <c r="B175" s="185">
        <v>27</v>
      </c>
      <c r="C175" s="185">
        <v>91</v>
      </c>
      <c r="D175" s="185">
        <v>493</v>
      </c>
      <c r="E175" s="185">
        <v>264</v>
      </c>
      <c r="F175" s="180">
        <v>754.37989200000004</v>
      </c>
      <c r="G175" s="180">
        <v>1304.7846009999998</v>
      </c>
      <c r="H175" s="180"/>
      <c r="I175" s="180">
        <v>8748.4500000000062</v>
      </c>
      <c r="J175" s="180">
        <v>6775.2750000000115</v>
      </c>
      <c r="K175" s="180"/>
      <c r="L175" s="180">
        <v>2059.1644929999998</v>
      </c>
      <c r="M175" s="180">
        <v>15523.725000000017</v>
      </c>
      <c r="N175" s="180">
        <v>15523.725000000017</v>
      </c>
      <c r="O175" s="180">
        <v>17582.889493000017</v>
      </c>
      <c r="P175" s="195">
        <v>1.1322759196919186E-3</v>
      </c>
    </row>
    <row r="176" spans="1:16" x14ac:dyDescent="0.35">
      <c r="A176" s="177" t="s">
        <v>89</v>
      </c>
      <c r="B176" s="184">
        <v>51</v>
      </c>
      <c r="C176" s="184">
        <v>7</v>
      </c>
      <c r="D176" s="184">
        <v>476</v>
      </c>
      <c r="E176" s="184">
        <v>48</v>
      </c>
      <c r="F176" s="178">
        <v>4809.2403240000021</v>
      </c>
      <c r="G176" s="178">
        <v>249.67796700000002</v>
      </c>
      <c r="H176" s="178">
        <v>36</v>
      </c>
      <c r="I176" s="178">
        <v>12670.179999999995</v>
      </c>
      <c r="J176" s="178">
        <v>955.20749999999975</v>
      </c>
      <c r="K176" s="178">
        <v>16.5</v>
      </c>
      <c r="L176" s="178">
        <v>5094.9182910000018</v>
      </c>
      <c r="M176" s="178">
        <v>13641.887499999995</v>
      </c>
      <c r="N176" s="178">
        <v>13641.887499999995</v>
      </c>
      <c r="O176" s="178">
        <v>18736.805790999999</v>
      </c>
      <c r="P176" s="194">
        <v>1.2065840496546065E-3</v>
      </c>
    </row>
    <row r="177" spans="1:16" x14ac:dyDescent="0.35">
      <c r="A177" s="176" t="s">
        <v>244</v>
      </c>
      <c r="B177" s="185">
        <v>51</v>
      </c>
      <c r="C177" s="185">
        <v>7</v>
      </c>
      <c r="D177" s="185">
        <v>476</v>
      </c>
      <c r="E177" s="185">
        <v>48</v>
      </c>
      <c r="F177" s="180">
        <v>4809.2403240000021</v>
      </c>
      <c r="G177" s="180">
        <v>249.67796700000002</v>
      </c>
      <c r="H177" s="180">
        <v>36</v>
      </c>
      <c r="I177" s="180">
        <v>12670.179999999993</v>
      </c>
      <c r="J177" s="180">
        <v>955.20749999999964</v>
      </c>
      <c r="K177" s="180">
        <v>16.5</v>
      </c>
      <c r="L177" s="180">
        <v>5094.9182910000018</v>
      </c>
      <c r="M177" s="180">
        <v>13641.887499999993</v>
      </c>
      <c r="N177" s="180">
        <v>13641.887499999993</v>
      </c>
      <c r="O177" s="180">
        <v>18736.805790999995</v>
      </c>
      <c r="P177" s="195">
        <v>1.2065840496546063E-3</v>
      </c>
    </row>
    <row r="178" spans="1:16" x14ac:dyDescent="0.35">
      <c r="A178" s="177" t="s">
        <v>90</v>
      </c>
      <c r="B178" s="184">
        <v>19</v>
      </c>
      <c r="C178" s="184">
        <v>9</v>
      </c>
      <c r="D178" s="184">
        <v>229</v>
      </c>
      <c r="E178" s="184">
        <v>40</v>
      </c>
      <c r="F178" s="178">
        <v>960.30027000000041</v>
      </c>
      <c r="G178" s="178">
        <v>136.88989199999997</v>
      </c>
      <c r="H178" s="178"/>
      <c r="I178" s="178">
        <v>3830.87</v>
      </c>
      <c r="J178" s="178">
        <v>608.39999999999986</v>
      </c>
      <c r="K178" s="178"/>
      <c r="L178" s="178">
        <v>1097.1901620000003</v>
      </c>
      <c r="M178" s="178">
        <v>4439.2699999999995</v>
      </c>
      <c r="N178" s="178">
        <v>4439.2699999999995</v>
      </c>
      <c r="O178" s="178">
        <v>5536.4601619999994</v>
      </c>
      <c r="P178" s="194">
        <v>3.5652846048210172E-4</v>
      </c>
    </row>
    <row r="179" spans="1:16" x14ac:dyDescent="0.35">
      <c r="A179" s="176" t="s">
        <v>243</v>
      </c>
      <c r="B179" s="185">
        <v>19</v>
      </c>
      <c r="C179" s="185">
        <v>9</v>
      </c>
      <c r="D179" s="185">
        <v>229</v>
      </c>
      <c r="E179" s="185">
        <v>40</v>
      </c>
      <c r="F179" s="180">
        <v>960.30027000000041</v>
      </c>
      <c r="G179" s="180">
        <v>136.88989199999997</v>
      </c>
      <c r="H179" s="180"/>
      <c r="I179" s="180">
        <v>3830.869999999999</v>
      </c>
      <c r="J179" s="180">
        <v>608.39999999999964</v>
      </c>
      <c r="K179" s="180"/>
      <c r="L179" s="180">
        <v>1097.1901620000003</v>
      </c>
      <c r="M179" s="180">
        <v>4439.2699999999986</v>
      </c>
      <c r="N179" s="180">
        <v>4439.2699999999986</v>
      </c>
      <c r="O179" s="180">
        <v>5536.4601619999994</v>
      </c>
      <c r="P179" s="195">
        <v>3.5652846048210172E-4</v>
      </c>
    </row>
    <row r="180" spans="1:16" x14ac:dyDescent="0.35">
      <c r="A180" s="177" t="s">
        <v>91</v>
      </c>
      <c r="B180" s="184">
        <v>41</v>
      </c>
      <c r="C180" s="184">
        <v>61</v>
      </c>
      <c r="D180" s="184">
        <v>402</v>
      </c>
      <c r="E180" s="184">
        <v>187</v>
      </c>
      <c r="F180" s="178">
        <v>2055.6004319999984</v>
      </c>
      <c r="G180" s="178">
        <v>638.82073100000025</v>
      </c>
      <c r="H180" s="178">
        <v>72</v>
      </c>
      <c r="I180" s="178">
        <v>5781.9800000000032</v>
      </c>
      <c r="J180" s="178">
        <v>4884.9449999999997</v>
      </c>
      <c r="K180" s="178">
        <v>501</v>
      </c>
      <c r="L180" s="178">
        <v>2766.4211629999986</v>
      </c>
      <c r="M180" s="178">
        <v>11167.925000000003</v>
      </c>
      <c r="N180" s="178">
        <v>11167.925000000003</v>
      </c>
      <c r="O180" s="178">
        <v>13934.346163000002</v>
      </c>
      <c r="P180" s="194">
        <v>8.9732262853028954E-4</v>
      </c>
    </row>
    <row r="181" spans="1:16" x14ac:dyDescent="0.35">
      <c r="A181" s="176" t="s">
        <v>238</v>
      </c>
      <c r="B181" s="185">
        <v>41</v>
      </c>
      <c r="C181" s="185">
        <v>61</v>
      </c>
      <c r="D181" s="185">
        <v>402</v>
      </c>
      <c r="E181" s="185">
        <v>187</v>
      </c>
      <c r="F181" s="180">
        <v>2055.6004319999984</v>
      </c>
      <c r="G181" s="180">
        <v>638.82073100000025</v>
      </c>
      <c r="H181" s="180">
        <v>72</v>
      </c>
      <c r="I181" s="180">
        <v>5781.9800000000014</v>
      </c>
      <c r="J181" s="180">
        <v>4884.9450000000061</v>
      </c>
      <c r="K181" s="180">
        <v>501</v>
      </c>
      <c r="L181" s="180">
        <v>2766.4211629999986</v>
      </c>
      <c r="M181" s="180">
        <v>11167.925000000007</v>
      </c>
      <c r="N181" s="180">
        <v>11167.925000000007</v>
      </c>
      <c r="O181" s="180">
        <v>13934.346163000006</v>
      </c>
      <c r="P181" s="195">
        <v>8.9732262853028976E-4</v>
      </c>
    </row>
    <row r="182" spans="1:16" x14ac:dyDescent="0.35">
      <c r="A182" s="177" t="s">
        <v>92</v>
      </c>
      <c r="B182" s="184">
        <v>551</v>
      </c>
      <c r="C182" s="184">
        <v>286</v>
      </c>
      <c r="D182" s="184">
        <v>5276</v>
      </c>
      <c r="E182" s="184">
        <v>1120</v>
      </c>
      <c r="F182" s="178">
        <v>31388.757677999914</v>
      </c>
      <c r="G182" s="178">
        <v>4030.8862610000242</v>
      </c>
      <c r="H182" s="178">
        <v>1908</v>
      </c>
      <c r="I182" s="178">
        <v>96251.309999999765</v>
      </c>
      <c r="J182" s="178">
        <v>25313.047499999935</v>
      </c>
      <c r="K182" s="178">
        <v>6499</v>
      </c>
      <c r="L182" s="178">
        <v>37327.643938999936</v>
      </c>
      <c r="M182" s="178">
        <v>128063.35749999969</v>
      </c>
      <c r="N182" s="178">
        <v>128063.35749999969</v>
      </c>
      <c r="O182" s="178">
        <v>165391.00143899964</v>
      </c>
      <c r="P182" s="194">
        <v>1.0650595758886203E-2</v>
      </c>
    </row>
    <row r="183" spans="1:16" x14ac:dyDescent="0.35">
      <c r="A183" s="176" t="s">
        <v>237</v>
      </c>
      <c r="B183" s="185">
        <v>551</v>
      </c>
      <c r="C183" s="185">
        <v>286</v>
      </c>
      <c r="D183" s="185">
        <v>5276</v>
      </c>
      <c r="E183" s="185">
        <v>1120</v>
      </c>
      <c r="F183" s="180">
        <v>31388.757677999914</v>
      </c>
      <c r="G183" s="180">
        <v>4030.8862610000242</v>
      </c>
      <c r="H183" s="180">
        <v>1908</v>
      </c>
      <c r="I183" s="180">
        <v>96251.309999999969</v>
      </c>
      <c r="J183" s="180">
        <v>25313.047499999855</v>
      </c>
      <c r="K183" s="180">
        <v>6499</v>
      </c>
      <c r="L183" s="180">
        <v>37327.643938999936</v>
      </c>
      <c r="M183" s="180">
        <v>128063.35749999982</v>
      </c>
      <c r="N183" s="180">
        <v>128063.35749999982</v>
      </c>
      <c r="O183" s="180">
        <v>165391.00143899975</v>
      </c>
      <c r="P183" s="195">
        <v>1.065059575888621E-2</v>
      </c>
    </row>
    <row r="184" spans="1:16" x14ac:dyDescent="0.35">
      <c r="A184" s="177" t="s">
        <v>93</v>
      </c>
      <c r="B184" s="184"/>
      <c r="C184" s="184">
        <v>71</v>
      </c>
      <c r="D184" s="184"/>
      <c r="E184" s="184">
        <v>230</v>
      </c>
      <c r="F184" s="178"/>
      <c r="G184" s="178">
        <v>784.83652799999913</v>
      </c>
      <c r="H184" s="178"/>
      <c r="I184" s="178"/>
      <c r="J184" s="178">
        <v>4469.2049999999999</v>
      </c>
      <c r="K184" s="178"/>
      <c r="L184" s="178">
        <v>784.83652799999913</v>
      </c>
      <c r="M184" s="178">
        <v>4469.2049999999999</v>
      </c>
      <c r="N184" s="178">
        <v>4469.2049999999999</v>
      </c>
      <c r="O184" s="178">
        <v>5254.0415279999988</v>
      </c>
      <c r="P184" s="194">
        <v>3.3834169893316561E-4</v>
      </c>
    </row>
    <row r="185" spans="1:16" x14ac:dyDescent="0.35">
      <c r="A185" s="176" t="s">
        <v>236</v>
      </c>
      <c r="B185" s="185"/>
      <c r="C185" s="185">
        <v>71</v>
      </c>
      <c r="D185" s="185"/>
      <c r="E185" s="185">
        <v>230</v>
      </c>
      <c r="F185" s="180"/>
      <c r="G185" s="180">
        <v>784.83652799999913</v>
      </c>
      <c r="H185" s="180"/>
      <c r="I185" s="180"/>
      <c r="J185" s="180">
        <v>4469.2050000000027</v>
      </c>
      <c r="K185" s="180"/>
      <c r="L185" s="180">
        <v>784.83652799999913</v>
      </c>
      <c r="M185" s="180">
        <v>4469.2050000000027</v>
      </c>
      <c r="N185" s="180">
        <v>4469.2050000000027</v>
      </c>
      <c r="O185" s="180">
        <v>5254.0415280000016</v>
      </c>
      <c r="P185" s="195">
        <v>3.3834169893316577E-4</v>
      </c>
    </row>
    <row r="186" spans="1:16" x14ac:dyDescent="0.35">
      <c r="A186" s="177" t="s">
        <v>456</v>
      </c>
      <c r="B186" s="184">
        <v>256</v>
      </c>
      <c r="C186" s="184">
        <v>1089</v>
      </c>
      <c r="D186" s="184">
        <v>3086</v>
      </c>
      <c r="E186" s="184">
        <v>3403</v>
      </c>
      <c r="F186" s="178">
        <v>6795.3712500000274</v>
      </c>
      <c r="G186" s="178">
        <v>12676.002333999902</v>
      </c>
      <c r="H186" s="178">
        <v>144</v>
      </c>
      <c r="I186" s="178">
        <v>41201.940000000024</v>
      </c>
      <c r="J186" s="178">
        <v>94099.199999999939</v>
      </c>
      <c r="K186" s="178">
        <v>290</v>
      </c>
      <c r="L186" s="178">
        <v>19615.373583999928</v>
      </c>
      <c r="M186" s="178">
        <v>135591.13999999996</v>
      </c>
      <c r="N186" s="178">
        <v>100182.05615355978</v>
      </c>
      <c r="O186" s="178">
        <v>119797.42973755971</v>
      </c>
      <c r="P186" s="194">
        <v>7.7145309357045675E-3</v>
      </c>
    </row>
    <row r="187" spans="1:16" x14ac:dyDescent="0.35">
      <c r="A187" s="176" t="s">
        <v>259</v>
      </c>
      <c r="B187" s="185">
        <v>256</v>
      </c>
      <c r="C187" s="185">
        <v>1089</v>
      </c>
      <c r="D187" s="185">
        <v>3086</v>
      </c>
      <c r="E187" s="185">
        <v>3403</v>
      </c>
      <c r="F187" s="180">
        <v>6795.3712500000274</v>
      </c>
      <c r="G187" s="180">
        <v>12676.002333999902</v>
      </c>
      <c r="H187" s="180">
        <v>144</v>
      </c>
      <c r="I187" s="180">
        <v>41201.940000000024</v>
      </c>
      <c r="J187" s="180">
        <v>94099.200000000565</v>
      </c>
      <c r="K187" s="180">
        <v>290</v>
      </c>
      <c r="L187" s="180">
        <v>19615.373583999928</v>
      </c>
      <c r="M187" s="180">
        <v>135591.1400000006</v>
      </c>
      <c r="N187" s="180">
        <v>100182.05615355978</v>
      </c>
      <c r="O187" s="180">
        <v>119797.42973755971</v>
      </c>
      <c r="P187" s="195">
        <v>7.7145309357045675E-3</v>
      </c>
    </row>
    <row r="188" spans="1:16" x14ac:dyDescent="0.35">
      <c r="A188" s="177" t="s">
        <v>94</v>
      </c>
      <c r="B188" s="184"/>
      <c r="C188" s="184">
        <v>20</v>
      </c>
      <c r="D188" s="184"/>
      <c r="E188" s="184">
        <v>98</v>
      </c>
      <c r="F188" s="178"/>
      <c r="G188" s="178">
        <v>182.52000000000004</v>
      </c>
      <c r="H188" s="178"/>
      <c r="I188" s="178"/>
      <c r="J188" s="178">
        <v>1865.7599999999995</v>
      </c>
      <c r="K188" s="178">
        <v>20</v>
      </c>
      <c r="L188" s="178">
        <v>182.52000000000004</v>
      </c>
      <c r="M188" s="178">
        <v>1885.7599999999995</v>
      </c>
      <c r="N188" s="178">
        <v>1885.7599999999995</v>
      </c>
      <c r="O188" s="178">
        <v>2068.2799999999997</v>
      </c>
      <c r="P188" s="194">
        <v>1.3318991967234558E-4</v>
      </c>
    </row>
    <row r="189" spans="1:16" x14ac:dyDescent="0.35">
      <c r="A189" s="176" t="s">
        <v>235</v>
      </c>
      <c r="B189" s="185"/>
      <c r="C189" s="185">
        <v>20</v>
      </c>
      <c r="D189" s="185"/>
      <c r="E189" s="185">
        <v>98</v>
      </c>
      <c r="F189" s="180"/>
      <c r="G189" s="180">
        <v>182.52000000000004</v>
      </c>
      <c r="H189" s="180"/>
      <c r="I189" s="180"/>
      <c r="J189" s="180">
        <v>1865.7599999999991</v>
      </c>
      <c r="K189" s="180">
        <v>20</v>
      </c>
      <c r="L189" s="180">
        <v>182.52000000000004</v>
      </c>
      <c r="M189" s="180">
        <v>1885.7599999999991</v>
      </c>
      <c r="N189" s="180">
        <v>1885.7599999999991</v>
      </c>
      <c r="O189" s="180">
        <v>2068.2799999999993</v>
      </c>
      <c r="P189" s="195">
        <v>1.3318991967234555E-4</v>
      </c>
    </row>
    <row r="190" spans="1:16" x14ac:dyDescent="0.35">
      <c r="A190" s="177" t="s">
        <v>95</v>
      </c>
      <c r="B190" s="184">
        <v>15</v>
      </c>
      <c r="C190" s="184">
        <v>6</v>
      </c>
      <c r="D190" s="184">
        <v>227</v>
      </c>
      <c r="E190" s="184">
        <v>29</v>
      </c>
      <c r="F190" s="178">
        <v>471.42027000000007</v>
      </c>
      <c r="G190" s="178">
        <v>82.133999999999986</v>
      </c>
      <c r="H190" s="178"/>
      <c r="I190" s="178">
        <v>4456.4000000000024</v>
      </c>
      <c r="J190" s="178">
        <v>390.3900000000001</v>
      </c>
      <c r="K190" s="178">
        <v>117.5</v>
      </c>
      <c r="L190" s="178">
        <v>553.55427000000009</v>
      </c>
      <c r="M190" s="178">
        <v>4964.2900000000027</v>
      </c>
      <c r="N190" s="178">
        <v>4964.2900000000027</v>
      </c>
      <c r="O190" s="178">
        <v>5517.8442700000032</v>
      </c>
      <c r="P190" s="194">
        <v>3.5532966285310149E-4</v>
      </c>
    </row>
    <row r="191" spans="1:16" x14ac:dyDescent="0.35">
      <c r="A191" s="176" t="s">
        <v>234</v>
      </c>
      <c r="B191" s="185">
        <v>15</v>
      </c>
      <c r="C191" s="185">
        <v>6</v>
      </c>
      <c r="D191" s="185">
        <v>227</v>
      </c>
      <c r="E191" s="185">
        <v>29</v>
      </c>
      <c r="F191" s="180">
        <v>471.42027000000007</v>
      </c>
      <c r="G191" s="180">
        <v>82.133999999999986</v>
      </c>
      <c r="H191" s="180"/>
      <c r="I191" s="180">
        <v>4456.4000000000051</v>
      </c>
      <c r="J191" s="180">
        <v>390.39000000000004</v>
      </c>
      <c r="K191" s="180">
        <v>117.5</v>
      </c>
      <c r="L191" s="180">
        <v>553.55427000000009</v>
      </c>
      <c r="M191" s="180">
        <v>4964.2900000000054</v>
      </c>
      <c r="N191" s="180">
        <v>4964.2900000000054</v>
      </c>
      <c r="O191" s="180">
        <v>5517.8442700000051</v>
      </c>
      <c r="P191" s="195">
        <v>3.5532966285310166E-4</v>
      </c>
    </row>
    <row r="192" spans="1:16" x14ac:dyDescent="0.35">
      <c r="A192" s="177" t="s">
        <v>96</v>
      </c>
      <c r="B192" s="184">
        <v>822</v>
      </c>
      <c r="C192" s="184">
        <v>288</v>
      </c>
      <c r="D192" s="184">
        <v>8917</v>
      </c>
      <c r="E192" s="184">
        <v>1146</v>
      </c>
      <c r="F192" s="178">
        <v>51837.483941999519</v>
      </c>
      <c r="G192" s="178">
        <v>4103.538910999986</v>
      </c>
      <c r="H192" s="178">
        <v>2844</v>
      </c>
      <c r="I192" s="178">
        <v>187294.95999999926</v>
      </c>
      <c r="J192" s="178">
        <v>27617.26499999985</v>
      </c>
      <c r="K192" s="178">
        <v>8062.5</v>
      </c>
      <c r="L192" s="178">
        <v>58785.022852999507</v>
      </c>
      <c r="M192" s="178">
        <v>222974.7249999991</v>
      </c>
      <c r="N192" s="178">
        <v>222974.7249999991</v>
      </c>
      <c r="O192" s="178">
        <v>281759.74785299861</v>
      </c>
      <c r="P192" s="194">
        <v>1.8144331610536888E-2</v>
      </c>
    </row>
    <row r="193" spans="1:16" x14ac:dyDescent="0.35">
      <c r="A193" s="176" t="s">
        <v>233</v>
      </c>
      <c r="B193" s="185">
        <v>822</v>
      </c>
      <c r="C193" s="185">
        <v>288</v>
      </c>
      <c r="D193" s="185">
        <v>8917</v>
      </c>
      <c r="E193" s="185">
        <v>1146</v>
      </c>
      <c r="F193" s="180">
        <v>51837.483941999519</v>
      </c>
      <c r="G193" s="180">
        <v>4103.538910999986</v>
      </c>
      <c r="H193" s="180">
        <v>2844</v>
      </c>
      <c r="I193" s="180">
        <v>187294.95999999985</v>
      </c>
      <c r="J193" s="180">
        <v>27617.264999999785</v>
      </c>
      <c r="K193" s="180">
        <v>8062.5</v>
      </c>
      <c r="L193" s="180">
        <v>58785.022852999507</v>
      </c>
      <c r="M193" s="180">
        <v>222974.72499999963</v>
      </c>
      <c r="N193" s="180">
        <v>222974.72499999963</v>
      </c>
      <c r="O193" s="180">
        <v>281759.74785299913</v>
      </c>
      <c r="P193" s="195">
        <v>1.8144331610536919E-2</v>
      </c>
    </row>
    <row r="194" spans="1:16" x14ac:dyDescent="0.35">
      <c r="A194" s="177" t="s">
        <v>97</v>
      </c>
      <c r="B194" s="184">
        <v>521</v>
      </c>
      <c r="C194" s="184">
        <v>213</v>
      </c>
      <c r="D194" s="184">
        <v>5476</v>
      </c>
      <c r="E194" s="184">
        <v>881</v>
      </c>
      <c r="F194" s="178">
        <v>30838.49994600008</v>
      </c>
      <c r="G194" s="178">
        <v>2830.6963559999976</v>
      </c>
      <c r="H194" s="178">
        <v>3240</v>
      </c>
      <c r="I194" s="178">
        <v>104952.06</v>
      </c>
      <c r="J194" s="178">
        <v>19103.012499999932</v>
      </c>
      <c r="K194" s="178">
        <v>8310.25</v>
      </c>
      <c r="L194" s="178">
        <v>36909.196302000077</v>
      </c>
      <c r="M194" s="178">
        <v>132365.32249999992</v>
      </c>
      <c r="N194" s="178">
        <v>132365.32249999992</v>
      </c>
      <c r="O194" s="178">
        <v>169274.51880200001</v>
      </c>
      <c r="P194" s="194">
        <v>1.0900680547031028E-2</v>
      </c>
    </row>
    <row r="195" spans="1:16" x14ac:dyDescent="0.35">
      <c r="A195" s="176" t="s">
        <v>231</v>
      </c>
      <c r="B195" s="185">
        <v>521</v>
      </c>
      <c r="C195" s="185">
        <v>213</v>
      </c>
      <c r="D195" s="185">
        <v>5476</v>
      </c>
      <c r="E195" s="185">
        <v>881</v>
      </c>
      <c r="F195" s="180">
        <v>30838.49994600008</v>
      </c>
      <c r="G195" s="180">
        <v>2830.6963559999976</v>
      </c>
      <c r="H195" s="180">
        <v>3240</v>
      </c>
      <c r="I195" s="180">
        <v>104952.06000000039</v>
      </c>
      <c r="J195" s="180">
        <v>19103.012499999903</v>
      </c>
      <c r="K195" s="180">
        <v>8310.25</v>
      </c>
      <c r="L195" s="180">
        <v>36909.196302000077</v>
      </c>
      <c r="M195" s="180">
        <v>132365.3225000003</v>
      </c>
      <c r="N195" s="180">
        <v>132365.3225000003</v>
      </c>
      <c r="O195" s="180">
        <v>169274.51880200038</v>
      </c>
      <c r="P195" s="195">
        <v>1.0900680547031052E-2</v>
      </c>
    </row>
    <row r="196" spans="1:16" x14ac:dyDescent="0.35">
      <c r="A196" s="177" t="s">
        <v>98</v>
      </c>
      <c r="B196" s="184">
        <v>880</v>
      </c>
      <c r="C196" s="184">
        <v>625</v>
      </c>
      <c r="D196" s="184">
        <v>10097</v>
      </c>
      <c r="E196" s="184">
        <v>2045</v>
      </c>
      <c r="F196" s="178">
        <v>46017.370530000422</v>
      </c>
      <c r="G196" s="178">
        <v>7423.5257489999976</v>
      </c>
      <c r="H196" s="178">
        <v>2484</v>
      </c>
      <c r="I196" s="178">
        <v>184847.57499999841</v>
      </c>
      <c r="J196" s="178">
        <v>55331.964999999997</v>
      </c>
      <c r="K196" s="178">
        <v>8078.5</v>
      </c>
      <c r="L196" s="178">
        <v>55924.896279000423</v>
      </c>
      <c r="M196" s="178">
        <v>248258.03999999841</v>
      </c>
      <c r="N196" s="178">
        <v>248258.03999999841</v>
      </c>
      <c r="O196" s="178">
        <v>304182.93627899885</v>
      </c>
      <c r="P196" s="194">
        <v>1.958830566881567E-2</v>
      </c>
    </row>
    <row r="197" spans="1:16" x14ac:dyDescent="0.35">
      <c r="A197" s="176" t="s">
        <v>230</v>
      </c>
      <c r="B197" s="185">
        <v>880</v>
      </c>
      <c r="C197" s="185">
        <v>625</v>
      </c>
      <c r="D197" s="185">
        <v>10097</v>
      </c>
      <c r="E197" s="185">
        <v>2045</v>
      </c>
      <c r="F197" s="180">
        <v>46017.370530000422</v>
      </c>
      <c r="G197" s="180">
        <v>7423.5257489999976</v>
      </c>
      <c r="H197" s="180">
        <v>2484</v>
      </c>
      <c r="I197" s="180">
        <v>184847.57499999914</v>
      </c>
      <c r="J197" s="180">
        <v>55331.965000000004</v>
      </c>
      <c r="K197" s="180">
        <v>8078.5</v>
      </c>
      <c r="L197" s="180">
        <v>55924.896279000423</v>
      </c>
      <c r="M197" s="180">
        <v>248258.03999999914</v>
      </c>
      <c r="N197" s="180">
        <v>248258.03999999914</v>
      </c>
      <c r="O197" s="180">
        <v>304182.93627899955</v>
      </c>
      <c r="P197" s="195">
        <v>1.9588305668815715E-2</v>
      </c>
    </row>
    <row r="198" spans="1:16" x14ac:dyDescent="0.35">
      <c r="A198" s="177" t="s">
        <v>99</v>
      </c>
      <c r="B198" s="184">
        <v>736</v>
      </c>
      <c r="C198" s="184">
        <v>280</v>
      </c>
      <c r="D198" s="184">
        <v>7525</v>
      </c>
      <c r="E198" s="184">
        <v>1287</v>
      </c>
      <c r="F198" s="178">
        <v>41562.88703999947</v>
      </c>
      <c r="G198" s="178">
        <v>4667.9459399999805</v>
      </c>
      <c r="H198" s="178">
        <v>2124</v>
      </c>
      <c r="I198" s="178">
        <v>154796.37999999887</v>
      </c>
      <c r="J198" s="178">
        <v>28144.902499999916</v>
      </c>
      <c r="K198" s="178">
        <v>7094.5</v>
      </c>
      <c r="L198" s="178">
        <v>48354.832979999454</v>
      </c>
      <c r="M198" s="178">
        <v>190035.78249999878</v>
      </c>
      <c r="N198" s="178">
        <v>190035.78249999878</v>
      </c>
      <c r="O198" s="178">
        <v>238390.61547999823</v>
      </c>
      <c r="P198" s="194">
        <v>1.5351512815683558E-2</v>
      </c>
    </row>
    <row r="199" spans="1:16" x14ac:dyDescent="0.35">
      <c r="A199" s="176" t="s">
        <v>229</v>
      </c>
      <c r="B199" s="185">
        <v>736</v>
      </c>
      <c r="C199" s="185">
        <v>280</v>
      </c>
      <c r="D199" s="185">
        <v>7525</v>
      </c>
      <c r="E199" s="185">
        <v>1287</v>
      </c>
      <c r="F199" s="180">
        <v>41562.88703999947</v>
      </c>
      <c r="G199" s="180">
        <v>4667.9459399999805</v>
      </c>
      <c r="H199" s="180">
        <v>2124</v>
      </c>
      <c r="I199" s="180">
        <v>154796.37999999893</v>
      </c>
      <c r="J199" s="180">
        <v>28144.902499999709</v>
      </c>
      <c r="K199" s="180">
        <v>7094.5</v>
      </c>
      <c r="L199" s="180">
        <v>48354.832979999454</v>
      </c>
      <c r="M199" s="180">
        <v>190035.78249999863</v>
      </c>
      <c r="N199" s="180">
        <v>190035.78249999863</v>
      </c>
      <c r="O199" s="180">
        <v>238390.61547999809</v>
      </c>
      <c r="P199" s="195">
        <v>1.5351512815683548E-2</v>
      </c>
    </row>
    <row r="200" spans="1:16" x14ac:dyDescent="0.35">
      <c r="A200" s="177" t="s">
        <v>100</v>
      </c>
      <c r="B200" s="184">
        <v>1386</v>
      </c>
      <c r="C200" s="184">
        <v>736</v>
      </c>
      <c r="D200" s="184">
        <v>14678</v>
      </c>
      <c r="E200" s="184">
        <v>3348</v>
      </c>
      <c r="F200" s="178">
        <v>77541.815375999242</v>
      </c>
      <c r="G200" s="178">
        <v>10068.676980999973</v>
      </c>
      <c r="H200" s="178">
        <v>6012</v>
      </c>
      <c r="I200" s="178">
        <v>286456.83999999816</v>
      </c>
      <c r="J200" s="178">
        <v>75379.00499999999</v>
      </c>
      <c r="K200" s="178">
        <v>18439</v>
      </c>
      <c r="L200" s="178">
        <v>93622.49235699921</v>
      </c>
      <c r="M200" s="178">
        <v>380274.84499999817</v>
      </c>
      <c r="N200" s="178">
        <v>380274.84499999817</v>
      </c>
      <c r="O200" s="178">
        <v>473897.33735699736</v>
      </c>
      <c r="P200" s="194">
        <v>3.051731307923344E-2</v>
      </c>
    </row>
    <row r="201" spans="1:16" x14ac:dyDescent="0.35">
      <c r="A201" s="176" t="s">
        <v>228</v>
      </c>
      <c r="B201" s="185">
        <v>1386</v>
      </c>
      <c r="C201" s="185">
        <v>736</v>
      </c>
      <c r="D201" s="185">
        <v>14678</v>
      </c>
      <c r="E201" s="185">
        <v>3348</v>
      </c>
      <c r="F201" s="180">
        <v>77541.815375999242</v>
      </c>
      <c r="G201" s="180">
        <v>10068.676980999973</v>
      </c>
      <c r="H201" s="180">
        <v>6012</v>
      </c>
      <c r="I201" s="180">
        <v>286456.83999999496</v>
      </c>
      <c r="J201" s="180">
        <v>75379.005000000034</v>
      </c>
      <c r="K201" s="180">
        <v>18439</v>
      </c>
      <c r="L201" s="180">
        <v>93622.49235699921</v>
      </c>
      <c r="M201" s="180">
        <v>380274.84499999497</v>
      </c>
      <c r="N201" s="180">
        <v>380274.84499999497</v>
      </c>
      <c r="O201" s="180">
        <v>473897.33735699416</v>
      </c>
      <c r="P201" s="195">
        <v>3.0517313079233232E-2</v>
      </c>
    </row>
    <row r="202" spans="1:16" x14ac:dyDescent="0.35">
      <c r="A202" s="177" t="s">
        <v>101</v>
      </c>
      <c r="B202" s="184">
        <v>1219</v>
      </c>
      <c r="C202" s="184">
        <v>585</v>
      </c>
      <c r="D202" s="184">
        <v>12206</v>
      </c>
      <c r="E202" s="184">
        <v>2512</v>
      </c>
      <c r="F202" s="178">
        <v>76270.690169999201</v>
      </c>
      <c r="G202" s="178">
        <v>8289.1293809999552</v>
      </c>
      <c r="H202" s="178">
        <v>3672</v>
      </c>
      <c r="I202" s="178">
        <v>247893.66999999841</v>
      </c>
      <c r="J202" s="178">
        <v>57862.057499999879</v>
      </c>
      <c r="K202" s="178">
        <v>13080.5</v>
      </c>
      <c r="L202" s="178">
        <v>88231.819550999149</v>
      </c>
      <c r="M202" s="178">
        <v>318836.22749999829</v>
      </c>
      <c r="N202" s="178">
        <v>318836.22749999829</v>
      </c>
      <c r="O202" s="178">
        <v>407068.04705099744</v>
      </c>
      <c r="P202" s="194">
        <v>2.6213743056018018E-2</v>
      </c>
    </row>
    <row r="203" spans="1:16" x14ac:dyDescent="0.35">
      <c r="A203" s="176" t="s">
        <v>227</v>
      </c>
      <c r="B203" s="185">
        <v>1219</v>
      </c>
      <c r="C203" s="185">
        <v>585</v>
      </c>
      <c r="D203" s="185">
        <v>12206</v>
      </c>
      <c r="E203" s="185">
        <v>2512</v>
      </c>
      <c r="F203" s="180">
        <v>76270.690169999201</v>
      </c>
      <c r="G203" s="180">
        <v>8289.1293809999552</v>
      </c>
      <c r="H203" s="180">
        <v>3672</v>
      </c>
      <c r="I203" s="180">
        <v>247893.66999999669</v>
      </c>
      <c r="J203" s="180">
        <v>57862.057499999944</v>
      </c>
      <c r="K203" s="180">
        <v>13080.5</v>
      </c>
      <c r="L203" s="180">
        <v>88231.819550999149</v>
      </c>
      <c r="M203" s="180">
        <v>318836.22749999666</v>
      </c>
      <c r="N203" s="180">
        <v>318836.22749999666</v>
      </c>
      <c r="O203" s="180">
        <v>407068.04705099581</v>
      </c>
      <c r="P203" s="195">
        <v>2.621374305601791E-2</v>
      </c>
    </row>
    <row r="204" spans="1:16" x14ac:dyDescent="0.35">
      <c r="A204" s="177" t="s">
        <v>102</v>
      </c>
      <c r="B204" s="184">
        <v>575</v>
      </c>
      <c r="C204" s="184">
        <v>224</v>
      </c>
      <c r="D204" s="184">
        <v>5678</v>
      </c>
      <c r="E204" s="184">
        <v>1019</v>
      </c>
      <c r="F204" s="178">
        <v>29158.196112000023</v>
      </c>
      <c r="G204" s="178">
        <v>3248.8538800000074</v>
      </c>
      <c r="H204" s="178">
        <v>2767.68</v>
      </c>
      <c r="I204" s="178">
        <v>113624.07000000049</v>
      </c>
      <c r="J204" s="178">
        <v>21309.209999999966</v>
      </c>
      <c r="K204" s="178">
        <v>8959.8999999999978</v>
      </c>
      <c r="L204" s="178">
        <v>35174.72999200003</v>
      </c>
      <c r="M204" s="178">
        <v>143893.18000000046</v>
      </c>
      <c r="N204" s="178">
        <v>143893.18000000046</v>
      </c>
      <c r="O204" s="178">
        <v>179067.9099920005</v>
      </c>
      <c r="P204" s="194">
        <v>1.1531340315493722E-2</v>
      </c>
    </row>
    <row r="205" spans="1:16" x14ac:dyDescent="0.35">
      <c r="A205" s="176" t="s">
        <v>226</v>
      </c>
      <c r="B205" s="185">
        <v>575</v>
      </c>
      <c r="C205" s="185">
        <v>224</v>
      </c>
      <c r="D205" s="185">
        <v>5678</v>
      </c>
      <c r="E205" s="185">
        <v>1019</v>
      </c>
      <c r="F205" s="180">
        <v>29158.196112000023</v>
      </c>
      <c r="G205" s="180">
        <v>3248.8538800000074</v>
      </c>
      <c r="H205" s="180">
        <v>2767.68</v>
      </c>
      <c r="I205" s="180">
        <v>113624.07000000089</v>
      </c>
      <c r="J205" s="180">
        <v>21309.209999999912</v>
      </c>
      <c r="K205" s="180">
        <v>8959.8999999999978</v>
      </c>
      <c r="L205" s="180">
        <v>35174.72999200003</v>
      </c>
      <c r="M205" s="180">
        <v>143893.18000000081</v>
      </c>
      <c r="N205" s="180">
        <v>143893.18000000081</v>
      </c>
      <c r="O205" s="180">
        <v>179067.90999200084</v>
      </c>
      <c r="P205" s="195">
        <v>1.1531340315493745E-2</v>
      </c>
    </row>
    <row r="206" spans="1:16" x14ac:dyDescent="0.35">
      <c r="A206" s="177" t="s">
        <v>103</v>
      </c>
      <c r="B206" s="184">
        <v>10</v>
      </c>
      <c r="C206" s="184"/>
      <c r="D206" s="184">
        <v>71</v>
      </c>
      <c r="E206" s="184"/>
      <c r="F206" s="178">
        <v>770.39999999999986</v>
      </c>
      <c r="G206" s="178"/>
      <c r="H206" s="178"/>
      <c r="I206" s="178">
        <v>1434.7999999999997</v>
      </c>
      <c r="J206" s="178"/>
      <c r="K206" s="178"/>
      <c r="L206" s="178">
        <v>770.39999999999986</v>
      </c>
      <c r="M206" s="178">
        <v>1434.7999999999997</v>
      </c>
      <c r="N206" s="178">
        <v>1434.7999999999997</v>
      </c>
      <c r="O206" s="178">
        <v>2205.1999999999998</v>
      </c>
      <c r="P206" s="194">
        <v>1.4200708359673566E-4</v>
      </c>
    </row>
    <row r="207" spans="1:16" x14ac:dyDescent="0.35">
      <c r="A207" s="176" t="s">
        <v>223</v>
      </c>
      <c r="B207" s="185">
        <v>10</v>
      </c>
      <c r="C207" s="185"/>
      <c r="D207" s="185">
        <v>71</v>
      </c>
      <c r="E207" s="185"/>
      <c r="F207" s="180">
        <v>770.39999999999986</v>
      </c>
      <c r="G207" s="180"/>
      <c r="H207" s="180"/>
      <c r="I207" s="180">
        <v>1434.7999999999997</v>
      </c>
      <c r="J207" s="180"/>
      <c r="K207" s="180"/>
      <c r="L207" s="180">
        <v>770.39999999999986</v>
      </c>
      <c r="M207" s="180">
        <v>1434.7999999999997</v>
      </c>
      <c r="N207" s="180">
        <v>1434.7999999999997</v>
      </c>
      <c r="O207" s="180">
        <v>2205.1999999999998</v>
      </c>
      <c r="P207" s="195">
        <v>1.4200708359673566E-4</v>
      </c>
    </row>
    <row r="208" spans="1:16" x14ac:dyDescent="0.35">
      <c r="A208" s="177" t="s">
        <v>133</v>
      </c>
      <c r="B208" s="184"/>
      <c r="C208" s="184">
        <v>30</v>
      </c>
      <c r="D208" s="184"/>
      <c r="E208" s="184">
        <v>117</v>
      </c>
      <c r="F208" s="178"/>
      <c r="G208" s="178">
        <v>413.12736000000018</v>
      </c>
      <c r="H208" s="178"/>
      <c r="I208" s="178"/>
      <c r="J208" s="178">
        <v>2462.0699999999988</v>
      </c>
      <c r="K208" s="178"/>
      <c r="L208" s="178">
        <v>413.12736000000018</v>
      </c>
      <c r="M208" s="178">
        <v>2462.0699999999988</v>
      </c>
      <c r="N208" s="178">
        <v>1752.6589984800003</v>
      </c>
      <c r="O208" s="178">
        <v>2165.7863584800007</v>
      </c>
      <c r="P208" s="194">
        <v>1.3946898442832362E-4</v>
      </c>
    </row>
    <row r="209" spans="1:16" x14ac:dyDescent="0.35">
      <c r="A209" s="176" t="s">
        <v>222</v>
      </c>
      <c r="B209" s="185"/>
      <c r="C209" s="185">
        <v>30</v>
      </c>
      <c r="D209" s="185"/>
      <c r="E209" s="185">
        <v>117</v>
      </c>
      <c r="F209" s="180"/>
      <c r="G209" s="180">
        <v>413.12736000000018</v>
      </c>
      <c r="H209" s="180"/>
      <c r="I209" s="180"/>
      <c r="J209" s="180">
        <v>2462.0699999999988</v>
      </c>
      <c r="K209" s="180"/>
      <c r="L209" s="180">
        <v>413.12736000000018</v>
      </c>
      <c r="M209" s="180">
        <v>2462.0699999999988</v>
      </c>
      <c r="N209" s="180">
        <v>1752.6589984800003</v>
      </c>
      <c r="O209" s="180">
        <v>2165.7863584800007</v>
      </c>
      <c r="P209" s="195">
        <v>1.3946898442832362E-4</v>
      </c>
    </row>
    <row r="210" spans="1:16" x14ac:dyDescent="0.35">
      <c r="A210" s="177" t="s">
        <v>488</v>
      </c>
      <c r="B210" s="184">
        <v>39</v>
      </c>
      <c r="C210" s="184"/>
      <c r="D210" s="184">
        <v>397</v>
      </c>
      <c r="E210" s="184"/>
      <c r="F210" s="178">
        <v>2095.1991900000012</v>
      </c>
      <c r="G210" s="178"/>
      <c r="H210" s="178">
        <v>360</v>
      </c>
      <c r="I210" s="178">
        <v>8041.7799999999961</v>
      </c>
      <c r="J210" s="178"/>
      <c r="K210" s="178">
        <v>1140</v>
      </c>
      <c r="L210" s="178">
        <v>2455.1991900000012</v>
      </c>
      <c r="M210" s="178">
        <v>9181.7799999999952</v>
      </c>
      <c r="N210" s="178">
        <v>9181.7799999999952</v>
      </c>
      <c r="O210" s="178">
        <v>11636.979189999996</v>
      </c>
      <c r="P210" s="194">
        <v>7.4938031772528706E-4</v>
      </c>
    </row>
    <row r="211" spans="1:16" x14ac:dyDescent="0.35">
      <c r="A211" s="176" t="s">
        <v>221</v>
      </c>
      <c r="B211" s="185">
        <v>39</v>
      </c>
      <c r="C211" s="185"/>
      <c r="D211" s="185">
        <v>397</v>
      </c>
      <c r="E211" s="185"/>
      <c r="F211" s="180">
        <v>2095.1991900000012</v>
      </c>
      <c r="G211" s="180"/>
      <c r="H211" s="180">
        <v>360</v>
      </c>
      <c r="I211" s="180">
        <v>8041.7800000000043</v>
      </c>
      <c r="J211" s="180"/>
      <c r="K211" s="180">
        <v>1140</v>
      </c>
      <c r="L211" s="180">
        <v>2455.1991900000012</v>
      </c>
      <c r="M211" s="180">
        <v>9181.7800000000043</v>
      </c>
      <c r="N211" s="180">
        <v>9181.7800000000043</v>
      </c>
      <c r="O211" s="180">
        <v>11636.979190000005</v>
      </c>
      <c r="P211" s="195">
        <v>7.4938031772528761E-4</v>
      </c>
    </row>
    <row r="212" spans="1:16" x14ac:dyDescent="0.35">
      <c r="A212" s="177" t="s">
        <v>105</v>
      </c>
      <c r="B212" s="184">
        <v>76</v>
      </c>
      <c r="C212" s="184">
        <v>134</v>
      </c>
      <c r="D212" s="184">
        <v>687</v>
      </c>
      <c r="E212" s="184">
        <v>501</v>
      </c>
      <c r="F212" s="178">
        <v>6964.1997300000048</v>
      </c>
      <c r="G212" s="178">
        <v>1934.7109500000049</v>
      </c>
      <c r="H212" s="178">
        <v>72</v>
      </c>
      <c r="I212" s="178">
        <v>15727.959999999986</v>
      </c>
      <c r="J212" s="178">
        <v>10094.370000000004</v>
      </c>
      <c r="K212" s="178">
        <v>121</v>
      </c>
      <c r="L212" s="178">
        <v>8970.91068000001</v>
      </c>
      <c r="M212" s="178">
        <v>25943.329999999991</v>
      </c>
      <c r="N212" s="178">
        <v>25943.329999999991</v>
      </c>
      <c r="O212" s="178">
        <v>34914.240680000003</v>
      </c>
      <c r="P212" s="194">
        <v>2.2483536617818383E-3</v>
      </c>
    </row>
    <row r="213" spans="1:16" x14ac:dyDescent="0.35">
      <c r="A213" s="176" t="s">
        <v>220</v>
      </c>
      <c r="B213" s="185">
        <v>76</v>
      </c>
      <c r="C213" s="185">
        <v>134</v>
      </c>
      <c r="D213" s="185">
        <v>687</v>
      </c>
      <c r="E213" s="185">
        <v>501</v>
      </c>
      <c r="F213" s="180">
        <v>6964.1997300000048</v>
      </c>
      <c r="G213" s="180">
        <v>1934.7109500000049</v>
      </c>
      <c r="H213" s="180">
        <v>72</v>
      </c>
      <c r="I213" s="180">
        <v>15727.959999999981</v>
      </c>
      <c r="J213" s="180">
        <v>10094.369999999994</v>
      </c>
      <c r="K213" s="180">
        <v>121</v>
      </c>
      <c r="L213" s="180">
        <v>8970.91068000001</v>
      </c>
      <c r="M213" s="180">
        <v>25943.329999999973</v>
      </c>
      <c r="N213" s="180">
        <v>25943.329999999973</v>
      </c>
      <c r="O213" s="180">
        <v>34914.240679999981</v>
      </c>
      <c r="P213" s="195">
        <v>2.248353661781837E-3</v>
      </c>
    </row>
    <row r="214" spans="1:16" x14ac:dyDescent="0.35">
      <c r="A214" s="177" t="s">
        <v>106</v>
      </c>
      <c r="B214" s="184"/>
      <c r="C214" s="184">
        <v>165</v>
      </c>
      <c r="D214" s="184"/>
      <c r="E214" s="184">
        <v>672</v>
      </c>
      <c r="F214" s="178"/>
      <c r="G214" s="178">
        <v>1861.7066790000026</v>
      </c>
      <c r="H214" s="178"/>
      <c r="I214" s="178"/>
      <c r="J214" s="178">
        <v>14888.054999999982</v>
      </c>
      <c r="K214" s="178"/>
      <c r="L214" s="178">
        <v>1861.7066790000026</v>
      </c>
      <c r="M214" s="178">
        <v>14888.054999999982</v>
      </c>
      <c r="N214" s="178">
        <v>14479.913860229966</v>
      </c>
      <c r="O214" s="178">
        <v>16341.620539229969</v>
      </c>
      <c r="P214" s="194">
        <v>1.0523425875297312E-3</v>
      </c>
    </row>
    <row r="215" spans="1:16" x14ac:dyDescent="0.35">
      <c r="A215" s="176" t="s">
        <v>219</v>
      </c>
      <c r="B215" s="185"/>
      <c r="C215" s="185">
        <v>165</v>
      </c>
      <c r="D215" s="185"/>
      <c r="E215" s="185">
        <v>672</v>
      </c>
      <c r="F215" s="180"/>
      <c r="G215" s="180">
        <v>1861.7066790000026</v>
      </c>
      <c r="H215" s="180"/>
      <c r="I215" s="180"/>
      <c r="J215" s="180">
        <v>14888.054999999982</v>
      </c>
      <c r="K215" s="180"/>
      <c r="L215" s="180">
        <v>1861.7066790000026</v>
      </c>
      <c r="M215" s="180">
        <v>14888.054999999982</v>
      </c>
      <c r="N215" s="180">
        <v>14479.913860229966</v>
      </c>
      <c r="O215" s="180">
        <v>16341.620539229969</v>
      </c>
      <c r="P215" s="195">
        <v>1.0523425875297312E-3</v>
      </c>
    </row>
    <row r="216" spans="1:16" x14ac:dyDescent="0.35">
      <c r="A216" s="177" t="s">
        <v>453</v>
      </c>
      <c r="B216" s="184">
        <v>127</v>
      </c>
      <c r="C216" s="184">
        <v>522</v>
      </c>
      <c r="D216" s="184">
        <v>1485</v>
      </c>
      <c r="E216" s="184">
        <v>1777</v>
      </c>
      <c r="F216" s="178">
        <v>4157.6413499999953</v>
      </c>
      <c r="G216" s="178">
        <v>6323.0255440000474</v>
      </c>
      <c r="H216" s="178"/>
      <c r="I216" s="178">
        <v>24142.210000000017</v>
      </c>
      <c r="J216" s="178">
        <v>45207.694999999942</v>
      </c>
      <c r="K216" s="178"/>
      <c r="L216" s="178">
        <v>10480.666894000042</v>
      </c>
      <c r="M216" s="178">
        <v>69349.904999999955</v>
      </c>
      <c r="N216" s="178">
        <v>52893.935392455125</v>
      </c>
      <c r="O216" s="178">
        <v>63374.602286455163</v>
      </c>
      <c r="P216" s="194">
        <v>4.0811003286788114E-3</v>
      </c>
    </row>
    <row r="217" spans="1:16" x14ac:dyDescent="0.35">
      <c r="A217" s="176" t="s">
        <v>218</v>
      </c>
      <c r="B217" s="185">
        <v>127</v>
      </c>
      <c r="C217" s="185">
        <v>522</v>
      </c>
      <c r="D217" s="185">
        <v>1485</v>
      </c>
      <c r="E217" s="185">
        <v>1777</v>
      </c>
      <c r="F217" s="180">
        <v>4157.6413499999953</v>
      </c>
      <c r="G217" s="180">
        <v>6323.0255440000474</v>
      </c>
      <c r="H217" s="180"/>
      <c r="I217" s="180">
        <v>24142.210000000017</v>
      </c>
      <c r="J217" s="180">
        <v>45207.695000000407</v>
      </c>
      <c r="K217" s="180"/>
      <c r="L217" s="180">
        <v>10480.666894000042</v>
      </c>
      <c r="M217" s="180">
        <v>69349.905000000421</v>
      </c>
      <c r="N217" s="180">
        <v>52893.935392455125</v>
      </c>
      <c r="O217" s="180">
        <v>63374.602286455163</v>
      </c>
      <c r="P217" s="195">
        <v>4.0811003286788114E-3</v>
      </c>
    </row>
    <row r="218" spans="1:16" x14ac:dyDescent="0.35">
      <c r="A218" s="177" t="s">
        <v>107</v>
      </c>
      <c r="B218" s="184">
        <v>126</v>
      </c>
      <c r="C218" s="184"/>
      <c r="D218" s="184">
        <v>1370</v>
      </c>
      <c r="E218" s="184">
        <v>7</v>
      </c>
      <c r="F218" s="178">
        <v>9250.560701999997</v>
      </c>
      <c r="G218" s="178"/>
      <c r="H218" s="178">
        <v>216</v>
      </c>
      <c r="I218" s="178">
        <v>25817.599999999984</v>
      </c>
      <c r="J218" s="178">
        <v>220.67500000000001</v>
      </c>
      <c r="K218" s="178">
        <v>861</v>
      </c>
      <c r="L218" s="178">
        <v>9466.560701999997</v>
      </c>
      <c r="M218" s="178">
        <v>26899.274999999983</v>
      </c>
      <c r="N218" s="178">
        <v>26899.274999999983</v>
      </c>
      <c r="O218" s="178">
        <v>36365.835701999982</v>
      </c>
      <c r="P218" s="194">
        <v>2.3418312491379771E-3</v>
      </c>
    </row>
    <row r="219" spans="1:16" x14ac:dyDescent="0.35">
      <c r="A219" s="176" t="s">
        <v>217</v>
      </c>
      <c r="B219" s="185">
        <v>126</v>
      </c>
      <c r="C219" s="185"/>
      <c r="D219" s="185">
        <v>1370</v>
      </c>
      <c r="E219" s="185">
        <v>7</v>
      </c>
      <c r="F219" s="180">
        <v>9250.560701999997</v>
      </c>
      <c r="G219" s="180"/>
      <c r="H219" s="180">
        <v>216</v>
      </c>
      <c r="I219" s="180">
        <v>25817.599999999962</v>
      </c>
      <c r="J219" s="180">
        <v>220.67500000000001</v>
      </c>
      <c r="K219" s="180">
        <v>861</v>
      </c>
      <c r="L219" s="180">
        <v>9466.560701999997</v>
      </c>
      <c r="M219" s="180">
        <v>26899.274999999961</v>
      </c>
      <c r="N219" s="180">
        <v>26899.274999999961</v>
      </c>
      <c r="O219" s="180">
        <v>36365.83570199996</v>
      </c>
      <c r="P219" s="195">
        <v>2.3418312491379754E-3</v>
      </c>
    </row>
    <row r="220" spans="1:16" x14ac:dyDescent="0.35">
      <c r="A220" s="177" t="s">
        <v>108</v>
      </c>
      <c r="B220" s="184">
        <v>266</v>
      </c>
      <c r="C220" s="184">
        <v>16</v>
      </c>
      <c r="D220" s="184">
        <v>2974</v>
      </c>
      <c r="E220" s="184">
        <v>116</v>
      </c>
      <c r="F220" s="178">
        <v>17421.30048599992</v>
      </c>
      <c r="G220" s="178">
        <v>310.28399999999999</v>
      </c>
      <c r="H220" s="178">
        <v>1008</v>
      </c>
      <c r="I220" s="178">
        <v>51743.785000000011</v>
      </c>
      <c r="J220" s="178">
        <v>2017.4700000000018</v>
      </c>
      <c r="K220" s="178">
        <v>2496.75</v>
      </c>
      <c r="L220" s="178">
        <v>18739.58448599992</v>
      </c>
      <c r="M220" s="178">
        <v>56258.005000000012</v>
      </c>
      <c r="N220" s="178">
        <v>56258.005000000012</v>
      </c>
      <c r="O220" s="178">
        <v>74997.589485999924</v>
      </c>
      <c r="P220" s="194">
        <v>4.8295796116869473E-3</v>
      </c>
    </row>
    <row r="221" spans="1:16" x14ac:dyDescent="0.35">
      <c r="A221" s="176" t="s">
        <v>216</v>
      </c>
      <c r="B221" s="185">
        <v>266</v>
      </c>
      <c r="C221" s="185">
        <v>16</v>
      </c>
      <c r="D221" s="185">
        <v>2974</v>
      </c>
      <c r="E221" s="185">
        <v>116</v>
      </c>
      <c r="F221" s="180">
        <v>17421.30048599992</v>
      </c>
      <c r="G221" s="180">
        <v>310.28399999999999</v>
      </c>
      <c r="H221" s="180">
        <v>1008</v>
      </c>
      <c r="I221" s="180">
        <v>51743.785000000076</v>
      </c>
      <c r="J221" s="180">
        <v>2017.4700000000018</v>
      </c>
      <c r="K221" s="180">
        <v>2496.75</v>
      </c>
      <c r="L221" s="180">
        <v>18739.58448599992</v>
      </c>
      <c r="M221" s="180">
        <v>56258.005000000077</v>
      </c>
      <c r="N221" s="180">
        <v>56258.005000000077</v>
      </c>
      <c r="O221" s="180">
        <v>74997.589485999997</v>
      </c>
      <c r="P221" s="195">
        <v>4.8295796116869525E-3</v>
      </c>
    </row>
    <row r="222" spans="1:16" x14ac:dyDescent="0.35">
      <c r="A222" s="177" t="s">
        <v>109</v>
      </c>
      <c r="B222" s="184">
        <v>396</v>
      </c>
      <c r="C222" s="184">
        <v>165</v>
      </c>
      <c r="D222" s="184">
        <v>3806</v>
      </c>
      <c r="E222" s="184">
        <v>565</v>
      </c>
      <c r="F222" s="178">
        <v>24832.620377999934</v>
      </c>
      <c r="G222" s="178">
        <v>2573.0659970000002</v>
      </c>
      <c r="H222" s="178">
        <v>432</v>
      </c>
      <c r="I222" s="178">
        <v>80163.875000000073</v>
      </c>
      <c r="J222" s="178">
        <v>13663.848250000035</v>
      </c>
      <c r="K222" s="178">
        <v>1620</v>
      </c>
      <c r="L222" s="178">
        <v>27837.686374999936</v>
      </c>
      <c r="M222" s="178">
        <v>95447.723250000112</v>
      </c>
      <c r="N222" s="178">
        <v>95447.723250000112</v>
      </c>
      <c r="O222" s="178">
        <v>123285.40962500004</v>
      </c>
      <c r="P222" s="194">
        <v>7.9391445088314826E-3</v>
      </c>
    </row>
    <row r="223" spans="1:16" x14ac:dyDescent="0.35">
      <c r="A223" s="176" t="s">
        <v>215</v>
      </c>
      <c r="B223" s="185">
        <v>396</v>
      </c>
      <c r="C223" s="185">
        <v>165</v>
      </c>
      <c r="D223" s="185">
        <v>3806</v>
      </c>
      <c r="E223" s="185">
        <v>565</v>
      </c>
      <c r="F223" s="180">
        <v>24832.620377999934</v>
      </c>
      <c r="G223" s="180">
        <v>2573.0659970000002</v>
      </c>
      <c r="H223" s="180">
        <v>432</v>
      </c>
      <c r="I223" s="180">
        <v>80163.87500000016</v>
      </c>
      <c r="J223" s="180">
        <v>13663.848250000035</v>
      </c>
      <c r="K223" s="180">
        <v>1620</v>
      </c>
      <c r="L223" s="180">
        <v>27837.686374999936</v>
      </c>
      <c r="M223" s="180">
        <v>95447.723250000199</v>
      </c>
      <c r="N223" s="180">
        <v>95447.723250000199</v>
      </c>
      <c r="O223" s="180">
        <v>123285.40962500013</v>
      </c>
      <c r="P223" s="195">
        <v>7.9391445088314878E-3</v>
      </c>
    </row>
    <row r="224" spans="1:16" x14ac:dyDescent="0.35">
      <c r="A224" s="177" t="s">
        <v>110</v>
      </c>
      <c r="B224" s="184">
        <v>559</v>
      </c>
      <c r="C224" s="184">
        <v>882</v>
      </c>
      <c r="D224" s="184">
        <v>6639</v>
      </c>
      <c r="E224" s="184">
        <v>3611</v>
      </c>
      <c r="F224" s="178">
        <v>20587.862429999928</v>
      </c>
      <c r="G224" s="178">
        <v>12969.925406000075</v>
      </c>
      <c r="H224" s="178">
        <v>360</v>
      </c>
      <c r="I224" s="178">
        <v>128101.72999999982</v>
      </c>
      <c r="J224" s="178">
        <v>79055.437499999476</v>
      </c>
      <c r="K224" s="178">
        <v>1140.75</v>
      </c>
      <c r="L224" s="178">
        <v>33917.787836000003</v>
      </c>
      <c r="M224" s="178">
        <v>208297.91749999928</v>
      </c>
      <c r="N224" s="178">
        <v>196245.79999344982</v>
      </c>
      <c r="O224" s="178">
        <v>230163.58782944983</v>
      </c>
      <c r="P224" s="194">
        <v>1.4821721321341057E-2</v>
      </c>
    </row>
    <row r="225" spans="1:16" x14ac:dyDescent="0.35">
      <c r="A225" s="176" t="s">
        <v>214</v>
      </c>
      <c r="B225" s="185">
        <v>559</v>
      </c>
      <c r="C225" s="185">
        <v>882</v>
      </c>
      <c r="D225" s="185">
        <v>6639</v>
      </c>
      <c r="E225" s="185">
        <v>3611</v>
      </c>
      <c r="F225" s="180">
        <v>20587.862429999928</v>
      </c>
      <c r="G225" s="180">
        <v>12969.925406000075</v>
      </c>
      <c r="H225" s="180">
        <v>360</v>
      </c>
      <c r="I225" s="180">
        <v>128101.72999999982</v>
      </c>
      <c r="J225" s="180">
        <v>79055.437499999927</v>
      </c>
      <c r="K225" s="180">
        <v>1140.75</v>
      </c>
      <c r="L225" s="180">
        <v>33917.787836000003</v>
      </c>
      <c r="M225" s="180">
        <v>208297.91749999975</v>
      </c>
      <c r="N225" s="180">
        <v>196245.79999344982</v>
      </c>
      <c r="O225" s="180">
        <v>230163.58782944983</v>
      </c>
      <c r="P225" s="195">
        <v>1.4821721321341057E-2</v>
      </c>
    </row>
    <row r="226" spans="1:16" x14ac:dyDescent="0.35">
      <c r="A226" s="177" t="s">
        <v>111</v>
      </c>
      <c r="B226" s="184">
        <v>2393</v>
      </c>
      <c r="C226" s="184">
        <v>562</v>
      </c>
      <c r="D226" s="184">
        <v>25740</v>
      </c>
      <c r="E226" s="184">
        <v>2627</v>
      </c>
      <c r="F226" s="178">
        <v>143505.20208600265</v>
      </c>
      <c r="G226" s="178">
        <v>8063.4649579999541</v>
      </c>
      <c r="H226" s="178">
        <v>13212</v>
      </c>
      <c r="I226" s="178">
        <v>486234.6000000012</v>
      </c>
      <c r="J226" s="178">
        <v>59506.45999999965</v>
      </c>
      <c r="K226" s="178">
        <v>40333.5</v>
      </c>
      <c r="L226" s="178">
        <v>164780.66704400262</v>
      </c>
      <c r="M226" s="178">
        <v>586074.56000000087</v>
      </c>
      <c r="N226" s="178">
        <v>586074.56000000087</v>
      </c>
      <c r="O226" s="178">
        <v>750855.22704400355</v>
      </c>
      <c r="P226" s="194">
        <v>4.835242200067285E-2</v>
      </c>
    </row>
    <row r="227" spans="1:16" x14ac:dyDescent="0.35">
      <c r="A227" s="176" t="s">
        <v>213</v>
      </c>
      <c r="B227" s="185">
        <v>2393</v>
      </c>
      <c r="C227" s="185">
        <v>562</v>
      </c>
      <c r="D227" s="185">
        <v>25740</v>
      </c>
      <c r="E227" s="185">
        <v>2627</v>
      </c>
      <c r="F227" s="180">
        <v>143505.20208600265</v>
      </c>
      <c r="G227" s="180">
        <v>8063.4649579999541</v>
      </c>
      <c r="H227" s="180">
        <v>13212</v>
      </c>
      <c r="I227" s="180">
        <v>486234.59999999753</v>
      </c>
      <c r="J227" s="180">
        <v>59506.459999999352</v>
      </c>
      <c r="K227" s="180">
        <v>40333.5</v>
      </c>
      <c r="L227" s="180">
        <v>164780.66704400262</v>
      </c>
      <c r="M227" s="180">
        <v>586074.55999999691</v>
      </c>
      <c r="N227" s="180">
        <v>586074.55999999691</v>
      </c>
      <c r="O227" s="180">
        <v>750855.22704399959</v>
      </c>
      <c r="P227" s="195">
        <v>4.8352422000672593E-2</v>
      </c>
    </row>
    <row r="228" spans="1:16" x14ac:dyDescent="0.35">
      <c r="A228" s="177" t="s">
        <v>112</v>
      </c>
      <c r="B228" s="184">
        <v>36</v>
      </c>
      <c r="C228" s="184"/>
      <c r="D228" s="184">
        <v>281</v>
      </c>
      <c r="E228" s="184"/>
      <c r="F228" s="178">
        <v>3098.5199999999995</v>
      </c>
      <c r="G228" s="178"/>
      <c r="H228" s="178">
        <v>72</v>
      </c>
      <c r="I228" s="178">
        <v>6373.5300000000007</v>
      </c>
      <c r="J228" s="178"/>
      <c r="K228" s="178">
        <v>95.5</v>
      </c>
      <c r="L228" s="178">
        <v>3170.5199999999995</v>
      </c>
      <c r="M228" s="178">
        <v>6469.0300000000007</v>
      </c>
      <c r="N228" s="178">
        <v>6469.0300000000007</v>
      </c>
      <c r="O228" s="178">
        <v>9639.5499999999993</v>
      </c>
      <c r="P228" s="194">
        <v>6.2075293972651613E-4</v>
      </c>
    </row>
    <row r="229" spans="1:16" x14ac:dyDescent="0.35">
      <c r="A229" s="176" t="s">
        <v>212</v>
      </c>
      <c r="B229" s="185">
        <v>36</v>
      </c>
      <c r="C229" s="185"/>
      <c r="D229" s="185">
        <v>281</v>
      </c>
      <c r="E229" s="185"/>
      <c r="F229" s="180">
        <v>3098.5199999999995</v>
      </c>
      <c r="G229" s="180"/>
      <c r="H229" s="180">
        <v>72</v>
      </c>
      <c r="I229" s="180">
        <v>6373.5300000000007</v>
      </c>
      <c r="J229" s="180"/>
      <c r="K229" s="180">
        <v>95.5</v>
      </c>
      <c r="L229" s="180">
        <v>3170.5199999999995</v>
      </c>
      <c r="M229" s="180">
        <v>6469.0300000000007</v>
      </c>
      <c r="N229" s="180">
        <v>6469.0300000000007</v>
      </c>
      <c r="O229" s="180">
        <v>9639.5499999999993</v>
      </c>
      <c r="P229" s="195">
        <v>6.2075293972651613E-4</v>
      </c>
    </row>
    <row r="230" spans="1:16" x14ac:dyDescent="0.35">
      <c r="A230" s="177" t="s">
        <v>113</v>
      </c>
      <c r="B230" s="184">
        <v>33</v>
      </c>
      <c r="C230" s="184">
        <v>18</v>
      </c>
      <c r="D230" s="184">
        <v>265</v>
      </c>
      <c r="E230" s="184">
        <v>75</v>
      </c>
      <c r="F230" s="178">
        <v>3232.4400539999997</v>
      </c>
      <c r="G230" s="178">
        <v>301.15821599999998</v>
      </c>
      <c r="H230" s="178">
        <v>72</v>
      </c>
      <c r="I230" s="178">
        <v>6830.34</v>
      </c>
      <c r="J230" s="178">
        <v>1368.9000000000015</v>
      </c>
      <c r="K230" s="178">
        <v>328</v>
      </c>
      <c r="L230" s="178">
        <v>3605.5982699999995</v>
      </c>
      <c r="M230" s="178">
        <v>8527.2400000000016</v>
      </c>
      <c r="N230" s="178">
        <v>8527.2400000000016</v>
      </c>
      <c r="O230" s="178">
        <v>12132.83827</v>
      </c>
      <c r="P230" s="194">
        <v>7.8131188938579909E-4</v>
      </c>
    </row>
    <row r="231" spans="1:16" x14ac:dyDescent="0.35">
      <c r="A231" s="176" t="s">
        <v>211</v>
      </c>
      <c r="B231" s="185">
        <v>33</v>
      </c>
      <c r="C231" s="185">
        <v>18</v>
      </c>
      <c r="D231" s="185">
        <v>265</v>
      </c>
      <c r="E231" s="185">
        <v>75</v>
      </c>
      <c r="F231" s="180">
        <v>3232.4400539999997</v>
      </c>
      <c r="G231" s="180">
        <v>301.15821599999998</v>
      </c>
      <c r="H231" s="180">
        <v>72</v>
      </c>
      <c r="I231" s="180">
        <v>6830.34</v>
      </c>
      <c r="J231" s="180">
        <v>1368.9000000000017</v>
      </c>
      <c r="K231" s="180">
        <v>328</v>
      </c>
      <c r="L231" s="180">
        <v>3605.5982699999995</v>
      </c>
      <c r="M231" s="180">
        <v>8527.2400000000016</v>
      </c>
      <c r="N231" s="180">
        <v>8527.2400000000016</v>
      </c>
      <c r="O231" s="180">
        <v>12132.83827</v>
      </c>
      <c r="P231" s="195">
        <v>7.8131188938579909E-4</v>
      </c>
    </row>
    <row r="232" spans="1:16" x14ac:dyDescent="0.35">
      <c r="A232" s="177" t="s">
        <v>114</v>
      </c>
      <c r="B232" s="184">
        <v>58</v>
      </c>
      <c r="C232" s="184"/>
      <c r="D232" s="184">
        <v>626</v>
      </c>
      <c r="E232" s="184"/>
      <c r="F232" s="178">
        <v>3254.9394599999991</v>
      </c>
      <c r="G232" s="178"/>
      <c r="H232" s="178">
        <v>468</v>
      </c>
      <c r="I232" s="178">
        <v>10849.63999999999</v>
      </c>
      <c r="J232" s="178"/>
      <c r="K232" s="178">
        <v>2013.5</v>
      </c>
      <c r="L232" s="178">
        <v>3722.9394599999991</v>
      </c>
      <c r="M232" s="178">
        <v>12863.13999999999</v>
      </c>
      <c r="N232" s="178">
        <v>12863.13999999999</v>
      </c>
      <c r="O232" s="178">
        <v>16586.07945999999</v>
      </c>
      <c r="P232" s="194">
        <v>1.0680848777518226E-3</v>
      </c>
    </row>
    <row r="233" spans="1:16" x14ac:dyDescent="0.35">
      <c r="A233" s="176" t="s">
        <v>206</v>
      </c>
      <c r="B233" s="185">
        <v>58</v>
      </c>
      <c r="C233" s="185"/>
      <c r="D233" s="185">
        <v>626</v>
      </c>
      <c r="E233" s="185"/>
      <c r="F233" s="180">
        <v>3254.9394599999991</v>
      </c>
      <c r="G233" s="180"/>
      <c r="H233" s="180">
        <v>468</v>
      </c>
      <c r="I233" s="180">
        <v>10849.639999999938</v>
      </c>
      <c r="J233" s="180"/>
      <c r="K233" s="180">
        <v>2013.5</v>
      </c>
      <c r="L233" s="180">
        <v>3722.9394599999991</v>
      </c>
      <c r="M233" s="180">
        <v>12863.139999999938</v>
      </c>
      <c r="N233" s="180">
        <v>12863.139999999938</v>
      </c>
      <c r="O233" s="180">
        <v>16586.079459999935</v>
      </c>
      <c r="P233" s="195">
        <v>1.0680848777518191E-3</v>
      </c>
    </row>
    <row r="234" spans="1:16" x14ac:dyDescent="0.35">
      <c r="A234" s="177" t="s">
        <v>115</v>
      </c>
      <c r="B234" s="184"/>
      <c r="C234" s="184"/>
      <c r="D234" s="184">
        <v>145</v>
      </c>
      <c r="E234" s="184"/>
      <c r="F234" s="178"/>
      <c r="G234" s="178"/>
      <c r="H234" s="178"/>
      <c r="I234" s="178">
        <v>3988.2999999999988</v>
      </c>
      <c r="J234" s="178"/>
      <c r="K234" s="178"/>
      <c r="L234" s="178"/>
      <c r="M234" s="178">
        <v>3988.2999999999988</v>
      </c>
      <c r="N234" s="178">
        <v>3988.2999999999988</v>
      </c>
      <c r="O234" s="178">
        <v>3988.2999999999988</v>
      </c>
      <c r="P234" s="194">
        <v>2.5683241951245274E-4</v>
      </c>
    </row>
    <row r="235" spans="1:16" x14ac:dyDescent="0.35">
      <c r="A235" s="176" t="s">
        <v>207</v>
      </c>
      <c r="B235" s="185"/>
      <c r="C235" s="185"/>
      <c r="D235" s="185">
        <v>145</v>
      </c>
      <c r="E235" s="185"/>
      <c r="F235" s="180"/>
      <c r="G235" s="180"/>
      <c r="H235" s="180"/>
      <c r="I235" s="180">
        <v>3988.2999999999993</v>
      </c>
      <c r="J235" s="180"/>
      <c r="K235" s="180"/>
      <c r="L235" s="180"/>
      <c r="M235" s="180">
        <v>3988.2999999999993</v>
      </c>
      <c r="N235" s="180">
        <v>3988.2999999999993</v>
      </c>
      <c r="O235" s="180">
        <v>3988.2999999999993</v>
      </c>
      <c r="P235" s="195">
        <v>2.5683241951245274E-4</v>
      </c>
    </row>
    <row r="236" spans="1:16" x14ac:dyDescent="0.35">
      <c r="A236" s="177" t="s">
        <v>116</v>
      </c>
      <c r="B236" s="184">
        <v>216</v>
      </c>
      <c r="C236" s="184">
        <v>444</v>
      </c>
      <c r="D236" s="184">
        <v>2442</v>
      </c>
      <c r="E236" s="184">
        <v>2038</v>
      </c>
      <c r="F236" s="178">
        <v>11201.223726000033</v>
      </c>
      <c r="G236" s="178">
        <v>7033.5771000000668</v>
      </c>
      <c r="H236" s="178">
        <v>36</v>
      </c>
      <c r="I236" s="178">
        <v>50539.66000000004</v>
      </c>
      <c r="J236" s="178">
        <v>42286.594999999768</v>
      </c>
      <c r="K236" s="178">
        <v>95</v>
      </c>
      <c r="L236" s="178">
        <v>18270.800826000101</v>
      </c>
      <c r="M236" s="178">
        <v>92921.254999999801</v>
      </c>
      <c r="N236" s="178">
        <v>92921.254999999801</v>
      </c>
      <c r="O236" s="178">
        <v>111192.05582599991</v>
      </c>
      <c r="P236" s="194">
        <v>7.1603752797821836E-3</v>
      </c>
    </row>
    <row r="237" spans="1:16" x14ac:dyDescent="0.35">
      <c r="A237" s="176" t="s">
        <v>204</v>
      </c>
      <c r="B237" s="185">
        <v>216</v>
      </c>
      <c r="C237" s="185">
        <v>444</v>
      </c>
      <c r="D237" s="185">
        <v>2442</v>
      </c>
      <c r="E237" s="185">
        <v>2038</v>
      </c>
      <c r="F237" s="180">
        <v>11201.223726000033</v>
      </c>
      <c r="G237" s="180">
        <v>7033.5771000000668</v>
      </c>
      <c r="H237" s="180">
        <v>36</v>
      </c>
      <c r="I237" s="180">
        <v>50539.660000000011</v>
      </c>
      <c r="J237" s="180">
        <v>42286.594999999965</v>
      </c>
      <c r="K237" s="180">
        <v>95</v>
      </c>
      <c r="L237" s="180">
        <v>18270.800826000101</v>
      </c>
      <c r="M237" s="180">
        <v>92921.254999999976</v>
      </c>
      <c r="N237" s="180">
        <v>92921.254999999976</v>
      </c>
      <c r="O237" s="180">
        <v>111192.05582600008</v>
      </c>
      <c r="P237" s="195">
        <v>7.1603752797821949E-3</v>
      </c>
    </row>
    <row r="238" spans="1:16" x14ac:dyDescent="0.35">
      <c r="A238" s="177" t="s">
        <v>117</v>
      </c>
      <c r="B238" s="184">
        <v>67</v>
      </c>
      <c r="C238" s="184">
        <v>17</v>
      </c>
      <c r="D238" s="184">
        <v>664</v>
      </c>
      <c r="E238" s="184">
        <v>52</v>
      </c>
      <c r="F238" s="178">
        <v>2949.8391900000024</v>
      </c>
      <c r="G238" s="178">
        <v>298.70078799999999</v>
      </c>
      <c r="H238" s="178">
        <v>144</v>
      </c>
      <c r="I238" s="178">
        <v>14865.109999999984</v>
      </c>
      <c r="J238" s="178">
        <v>1289.8275000000001</v>
      </c>
      <c r="K238" s="178">
        <v>791.5</v>
      </c>
      <c r="L238" s="178">
        <v>3392.5399780000025</v>
      </c>
      <c r="M238" s="178">
        <v>16946.437499999985</v>
      </c>
      <c r="N238" s="178">
        <v>16946.437499999985</v>
      </c>
      <c r="O238" s="178">
        <v>20338.977477999986</v>
      </c>
      <c r="P238" s="194">
        <v>1.3097582418785001E-3</v>
      </c>
    </row>
    <row r="239" spans="1:16" x14ac:dyDescent="0.35">
      <c r="A239" s="176" t="s">
        <v>203</v>
      </c>
      <c r="B239" s="185">
        <v>67</v>
      </c>
      <c r="C239" s="185">
        <v>17</v>
      </c>
      <c r="D239" s="185">
        <v>664</v>
      </c>
      <c r="E239" s="185">
        <v>52</v>
      </c>
      <c r="F239" s="180">
        <v>2949.8391900000024</v>
      </c>
      <c r="G239" s="180">
        <v>298.70078799999999</v>
      </c>
      <c r="H239" s="180">
        <v>144</v>
      </c>
      <c r="I239" s="180">
        <v>14865.109999999971</v>
      </c>
      <c r="J239" s="180">
        <v>1289.8275000000001</v>
      </c>
      <c r="K239" s="180">
        <v>791.5</v>
      </c>
      <c r="L239" s="180">
        <v>3392.5399780000025</v>
      </c>
      <c r="M239" s="180">
        <v>16946.437499999971</v>
      </c>
      <c r="N239" s="180">
        <v>16946.437499999971</v>
      </c>
      <c r="O239" s="180">
        <v>20338.977477999972</v>
      </c>
      <c r="P239" s="195">
        <v>1.3097582418784991E-3</v>
      </c>
    </row>
    <row r="240" spans="1:16" x14ac:dyDescent="0.35">
      <c r="A240" s="177" t="s">
        <v>118</v>
      </c>
      <c r="B240" s="184">
        <v>1236</v>
      </c>
      <c r="C240" s="184">
        <v>435</v>
      </c>
      <c r="D240" s="184">
        <v>14261</v>
      </c>
      <c r="E240" s="184">
        <v>1541</v>
      </c>
      <c r="F240" s="178">
        <v>78340.374485998836</v>
      </c>
      <c r="G240" s="178">
        <v>6073.1557459999885</v>
      </c>
      <c r="H240" s="178">
        <v>3024</v>
      </c>
      <c r="I240" s="178">
        <v>250470.06999999756</v>
      </c>
      <c r="J240" s="178">
        <v>37492.441999999988</v>
      </c>
      <c r="K240" s="178">
        <v>10331.5</v>
      </c>
      <c r="L240" s="178">
        <v>87437.530231998826</v>
      </c>
      <c r="M240" s="178">
        <v>298294.01199999754</v>
      </c>
      <c r="N240" s="178">
        <v>298294.01199999754</v>
      </c>
      <c r="O240" s="178">
        <v>385731.54223199637</v>
      </c>
      <c r="P240" s="194">
        <v>2.4839747580100168E-2</v>
      </c>
    </row>
    <row r="241" spans="1:16" x14ac:dyDescent="0.35">
      <c r="A241" s="176" t="s">
        <v>202</v>
      </c>
      <c r="B241" s="185">
        <v>1236</v>
      </c>
      <c r="C241" s="185">
        <v>435</v>
      </c>
      <c r="D241" s="185">
        <v>14261</v>
      </c>
      <c r="E241" s="185">
        <v>1541</v>
      </c>
      <c r="F241" s="180">
        <v>78340.374485998836</v>
      </c>
      <c r="G241" s="180">
        <v>6073.1557459999885</v>
      </c>
      <c r="H241" s="180">
        <v>3024</v>
      </c>
      <c r="I241" s="180">
        <v>250470.06999999454</v>
      </c>
      <c r="J241" s="180">
        <v>37492.441999999945</v>
      </c>
      <c r="K241" s="180">
        <v>10331.5</v>
      </c>
      <c r="L241" s="180">
        <v>87437.530231998826</v>
      </c>
      <c r="M241" s="180">
        <v>298294.01199999446</v>
      </c>
      <c r="N241" s="180">
        <v>298294.01199999446</v>
      </c>
      <c r="O241" s="180">
        <v>385731.54223199328</v>
      </c>
      <c r="P241" s="195">
        <v>2.483974758009997E-2</v>
      </c>
    </row>
    <row r="242" spans="1:16" x14ac:dyDescent="0.35">
      <c r="A242" s="177" t="s">
        <v>119</v>
      </c>
      <c r="B242" s="184">
        <v>84</v>
      </c>
      <c r="C242" s="184">
        <v>33</v>
      </c>
      <c r="D242" s="184">
        <v>659</v>
      </c>
      <c r="E242" s="184">
        <v>134</v>
      </c>
      <c r="F242" s="178">
        <v>3718.9814580000002</v>
      </c>
      <c r="G242" s="178">
        <v>520.18210200000033</v>
      </c>
      <c r="H242" s="178">
        <v>36</v>
      </c>
      <c r="I242" s="178">
        <v>13023.649999999989</v>
      </c>
      <c r="J242" s="178">
        <v>2208.1150000000002</v>
      </c>
      <c r="K242" s="178">
        <v>30</v>
      </c>
      <c r="L242" s="178">
        <v>4275.1635600000009</v>
      </c>
      <c r="M242" s="178">
        <v>15261.764999999989</v>
      </c>
      <c r="N242" s="178">
        <v>15261.764999999989</v>
      </c>
      <c r="O242" s="178">
        <v>19536.928559999989</v>
      </c>
      <c r="P242" s="194">
        <v>1.2581091271736675E-3</v>
      </c>
    </row>
    <row r="243" spans="1:16" x14ac:dyDescent="0.35">
      <c r="A243" s="176" t="s">
        <v>201</v>
      </c>
      <c r="B243" s="185">
        <v>84</v>
      </c>
      <c r="C243" s="185">
        <v>33</v>
      </c>
      <c r="D243" s="185">
        <v>659</v>
      </c>
      <c r="E243" s="185">
        <v>134</v>
      </c>
      <c r="F243" s="180">
        <v>3718.9814580000002</v>
      </c>
      <c r="G243" s="180">
        <v>520.18210200000033</v>
      </c>
      <c r="H243" s="180">
        <v>36</v>
      </c>
      <c r="I243" s="180">
        <v>13023.649999999991</v>
      </c>
      <c r="J243" s="180">
        <v>2208.1149999999998</v>
      </c>
      <c r="K243" s="180">
        <v>30</v>
      </c>
      <c r="L243" s="180">
        <v>4275.1635600000009</v>
      </c>
      <c r="M243" s="180">
        <v>15261.76499999999</v>
      </c>
      <c r="N243" s="180">
        <v>15261.76499999999</v>
      </c>
      <c r="O243" s="180">
        <v>19536.928559999993</v>
      </c>
      <c r="P243" s="195">
        <v>1.2581091271736677E-3</v>
      </c>
    </row>
    <row r="244" spans="1:16" x14ac:dyDescent="0.35">
      <c r="A244" s="177" t="s">
        <v>395</v>
      </c>
      <c r="B244" s="184">
        <v>38</v>
      </c>
      <c r="C244" s="184">
        <v>4</v>
      </c>
      <c r="D244" s="184">
        <v>510</v>
      </c>
      <c r="E244" s="184">
        <v>31</v>
      </c>
      <c r="F244" s="178">
        <v>2733.1197300000003</v>
      </c>
      <c r="G244" s="178">
        <v>45.396000000000001</v>
      </c>
      <c r="H244" s="178"/>
      <c r="I244" s="178">
        <v>14621.680000000006</v>
      </c>
      <c r="J244" s="178">
        <v>633.65250000000015</v>
      </c>
      <c r="K244" s="178">
        <v>30</v>
      </c>
      <c r="L244" s="178">
        <v>2778.5157300000005</v>
      </c>
      <c r="M244" s="178">
        <v>15285.332500000006</v>
      </c>
      <c r="N244" s="178">
        <v>13653.59268496</v>
      </c>
      <c r="O244" s="178">
        <v>16432.108414959999</v>
      </c>
      <c r="P244" s="194">
        <v>1.058169686810198E-3</v>
      </c>
    </row>
    <row r="245" spans="1:16" x14ac:dyDescent="0.35">
      <c r="A245" s="176" t="s">
        <v>394</v>
      </c>
      <c r="B245" s="185">
        <v>38</v>
      </c>
      <c r="C245" s="185">
        <v>4</v>
      </c>
      <c r="D245" s="185">
        <v>510</v>
      </c>
      <c r="E245" s="185">
        <v>31</v>
      </c>
      <c r="F245" s="180">
        <v>2733.1197300000003</v>
      </c>
      <c r="G245" s="180">
        <v>45.396000000000001</v>
      </c>
      <c r="H245" s="180"/>
      <c r="I245" s="180">
        <v>14621.680000000006</v>
      </c>
      <c r="J245" s="180">
        <v>633.65250000000015</v>
      </c>
      <c r="K245" s="180">
        <v>30</v>
      </c>
      <c r="L245" s="180">
        <v>2778.5157300000005</v>
      </c>
      <c r="M245" s="180">
        <v>15285.332500000006</v>
      </c>
      <c r="N245" s="180">
        <v>13653.59268496</v>
      </c>
      <c r="O245" s="180">
        <v>16432.108414959999</v>
      </c>
      <c r="P245" s="195">
        <v>1.058169686810198E-3</v>
      </c>
    </row>
    <row r="246" spans="1:16" x14ac:dyDescent="0.35">
      <c r="A246" s="177" t="s">
        <v>134</v>
      </c>
      <c r="B246" s="184"/>
      <c r="C246" s="184">
        <v>29</v>
      </c>
      <c r="D246" s="184"/>
      <c r="E246" s="184">
        <v>119</v>
      </c>
      <c r="F246" s="178"/>
      <c r="G246" s="178">
        <v>647.94620500000042</v>
      </c>
      <c r="H246" s="178"/>
      <c r="I246" s="178"/>
      <c r="J246" s="178">
        <v>2228.2650000000008</v>
      </c>
      <c r="K246" s="178"/>
      <c r="L246" s="178">
        <v>647.94620500000042</v>
      </c>
      <c r="M246" s="178">
        <v>2228.2650000000008</v>
      </c>
      <c r="N246" s="178">
        <v>1703.5197338249993</v>
      </c>
      <c r="O246" s="178">
        <v>2351.4659388249997</v>
      </c>
      <c r="P246" s="194">
        <v>1.5142609293923378E-4</v>
      </c>
    </row>
    <row r="247" spans="1:16" x14ac:dyDescent="0.35">
      <c r="A247" s="176" t="s">
        <v>261</v>
      </c>
      <c r="B247" s="185"/>
      <c r="C247" s="185">
        <v>29</v>
      </c>
      <c r="D247" s="185"/>
      <c r="E247" s="185">
        <v>119</v>
      </c>
      <c r="F247" s="180"/>
      <c r="G247" s="180">
        <v>647.94620500000042</v>
      </c>
      <c r="H247" s="180"/>
      <c r="I247" s="180"/>
      <c r="J247" s="180">
        <v>2228.2650000000008</v>
      </c>
      <c r="K247" s="180"/>
      <c r="L247" s="180">
        <v>647.94620500000042</v>
      </c>
      <c r="M247" s="180">
        <v>2228.2650000000008</v>
      </c>
      <c r="N247" s="180">
        <v>1703.5197338249993</v>
      </c>
      <c r="O247" s="180">
        <v>2351.4659388249997</v>
      </c>
      <c r="P247" s="195">
        <v>1.5142609293923378E-4</v>
      </c>
    </row>
    <row r="248" spans="1:16" ht="23" x14ac:dyDescent="0.35">
      <c r="A248" s="177" t="s">
        <v>459</v>
      </c>
      <c r="B248" s="184">
        <v>214</v>
      </c>
      <c r="C248" s="184">
        <v>250</v>
      </c>
      <c r="D248" s="184">
        <v>3996</v>
      </c>
      <c r="E248" s="184">
        <v>1285</v>
      </c>
      <c r="F248" s="178">
        <v>12519.90243000002</v>
      </c>
      <c r="G248" s="178">
        <v>4737.7088519999825</v>
      </c>
      <c r="H248" s="178"/>
      <c r="I248" s="178">
        <v>98127.390000000058</v>
      </c>
      <c r="J248" s="178">
        <v>30334.88249999996</v>
      </c>
      <c r="K248" s="178">
        <v>172.5</v>
      </c>
      <c r="L248" s="178">
        <v>17257.611282000002</v>
      </c>
      <c r="M248" s="178">
        <v>128634.77250000002</v>
      </c>
      <c r="N248" s="178">
        <v>128634.77250000002</v>
      </c>
      <c r="O248" s="178">
        <v>145892.38378200002</v>
      </c>
      <c r="P248" s="194">
        <v>9.3949537184189746E-3</v>
      </c>
    </row>
    <row r="249" spans="1:16" x14ac:dyDescent="0.35">
      <c r="A249" s="176" t="s">
        <v>200</v>
      </c>
      <c r="B249" s="185">
        <v>214</v>
      </c>
      <c r="C249" s="185">
        <v>250</v>
      </c>
      <c r="D249" s="185">
        <v>3996</v>
      </c>
      <c r="E249" s="185">
        <v>1285</v>
      </c>
      <c r="F249" s="180">
        <v>12519.90243000002</v>
      </c>
      <c r="G249" s="180">
        <v>4737.7088519999825</v>
      </c>
      <c r="H249" s="180"/>
      <c r="I249" s="180">
        <v>98127.390000000029</v>
      </c>
      <c r="J249" s="180">
        <v>30334.882499999934</v>
      </c>
      <c r="K249" s="180">
        <v>172.5</v>
      </c>
      <c r="L249" s="180">
        <v>17257.611282000002</v>
      </c>
      <c r="M249" s="180">
        <v>128634.77249999996</v>
      </c>
      <c r="N249" s="180">
        <v>128634.77249999996</v>
      </c>
      <c r="O249" s="180">
        <v>145892.38378199996</v>
      </c>
      <c r="P249" s="195">
        <v>9.3949537184189712E-3</v>
      </c>
    </row>
    <row r="250" spans="1:16" x14ac:dyDescent="0.35">
      <c r="A250" s="177" t="s">
        <v>121</v>
      </c>
      <c r="B250" s="184">
        <v>636</v>
      </c>
      <c r="C250" s="184">
        <v>324</v>
      </c>
      <c r="D250" s="184">
        <v>6991</v>
      </c>
      <c r="E250" s="184">
        <v>1441</v>
      </c>
      <c r="F250" s="178">
        <v>37134.188099999737</v>
      </c>
      <c r="G250" s="178">
        <v>6271.7834500000281</v>
      </c>
      <c r="H250" s="178">
        <v>2808</v>
      </c>
      <c r="I250" s="178">
        <v>130069.25000000068</v>
      </c>
      <c r="J250" s="178">
        <v>30042.934999999838</v>
      </c>
      <c r="K250" s="178">
        <v>9926</v>
      </c>
      <c r="L250" s="178">
        <v>46213.971549999769</v>
      </c>
      <c r="M250" s="178">
        <v>170038.18500000052</v>
      </c>
      <c r="N250" s="178">
        <v>170038.18500000052</v>
      </c>
      <c r="O250" s="178">
        <v>216252.15655000031</v>
      </c>
      <c r="P250" s="194">
        <v>1.3925874330296692E-2</v>
      </c>
    </row>
    <row r="251" spans="1:16" x14ac:dyDescent="0.35">
      <c r="A251" s="176" t="s">
        <v>199</v>
      </c>
      <c r="B251" s="185">
        <v>636</v>
      </c>
      <c r="C251" s="185">
        <v>324</v>
      </c>
      <c r="D251" s="185">
        <v>6991</v>
      </c>
      <c r="E251" s="185">
        <v>1441</v>
      </c>
      <c r="F251" s="180">
        <v>37134.188099999737</v>
      </c>
      <c r="G251" s="180">
        <v>6271.7834500000281</v>
      </c>
      <c r="H251" s="180">
        <v>2808</v>
      </c>
      <c r="I251" s="180">
        <v>130069.25000000122</v>
      </c>
      <c r="J251" s="180">
        <v>30042.934999999801</v>
      </c>
      <c r="K251" s="180">
        <v>9926</v>
      </c>
      <c r="L251" s="180">
        <v>46213.971549999769</v>
      </c>
      <c r="M251" s="180">
        <v>170038.18500000102</v>
      </c>
      <c r="N251" s="180">
        <v>170038.18500000102</v>
      </c>
      <c r="O251" s="180">
        <v>216252.15655000077</v>
      </c>
      <c r="P251" s="195">
        <v>1.3925874330296722E-2</v>
      </c>
    </row>
    <row r="252" spans="1:16" x14ac:dyDescent="0.35">
      <c r="A252" s="177" t="s">
        <v>122</v>
      </c>
      <c r="B252" s="184">
        <v>308</v>
      </c>
      <c r="C252" s="184">
        <v>65</v>
      </c>
      <c r="D252" s="184">
        <v>2990</v>
      </c>
      <c r="E252" s="184">
        <v>242</v>
      </c>
      <c r="F252" s="178">
        <v>17181.361836000007</v>
      </c>
      <c r="G252" s="178">
        <v>786.3568300000004</v>
      </c>
      <c r="H252" s="178">
        <v>1692</v>
      </c>
      <c r="I252" s="178">
        <v>52658.360000000044</v>
      </c>
      <c r="J252" s="178">
        <v>6091.9950000000026</v>
      </c>
      <c r="K252" s="178">
        <v>4125</v>
      </c>
      <c r="L252" s="178">
        <v>19659.718666000008</v>
      </c>
      <c r="M252" s="178">
        <v>62875.355000000047</v>
      </c>
      <c r="N252" s="178">
        <v>62875.355000000047</v>
      </c>
      <c r="O252" s="178">
        <v>82535.073666000055</v>
      </c>
      <c r="P252" s="194">
        <v>5.3149669443816466E-3</v>
      </c>
    </row>
    <row r="253" spans="1:16" x14ac:dyDescent="0.35">
      <c r="A253" s="176" t="s">
        <v>198</v>
      </c>
      <c r="B253" s="185">
        <v>308</v>
      </c>
      <c r="C253" s="185">
        <v>65</v>
      </c>
      <c r="D253" s="185">
        <v>2990</v>
      </c>
      <c r="E253" s="185">
        <v>242</v>
      </c>
      <c r="F253" s="180">
        <v>17181.361836000007</v>
      </c>
      <c r="G253" s="180">
        <v>786.3568300000004</v>
      </c>
      <c r="H253" s="180">
        <v>1692</v>
      </c>
      <c r="I253" s="180">
        <v>52658.360000000073</v>
      </c>
      <c r="J253" s="180">
        <v>6091.9950000000063</v>
      </c>
      <c r="K253" s="180">
        <v>4125</v>
      </c>
      <c r="L253" s="180">
        <v>19659.718666000008</v>
      </c>
      <c r="M253" s="180">
        <v>62875.355000000083</v>
      </c>
      <c r="N253" s="180">
        <v>62875.355000000083</v>
      </c>
      <c r="O253" s="180">
        <v>82535.073666000098</v>
      </c>
      <c r="P253" s="195">
        <v>5.3149669443816501E-3</v>
      </c>
    </row>
    <row r="254" spans="1:16" ht="23" x14ac:dyDescent="0.35">
      <c r="A254" s="177" t="s">
        <v>524</v>
      </c>
      <c r="B254" s="184"/>
      <c r="C254" s="184">
        <v>13</v>
      </c>
      <c r="D254" s="184"/>
      <c r="E254" s="184">
        <v>63</v>
      </c>
      <c r="F254" s="178"/>
      <c r="G254" s="178">
        <v>310.28399999999999</v>
      </c>
      <c r="H254" s="178"/>
      <c r="I254" s="178"/>
      <c r="J254" s="178">
        <v>948.08999999999992</v>
      </c>
      <c r="K254" s="178"/>
      <c r="L254" s="178">
        <v>310.28399999999999</v>
      </c>
      <c r="M254" s="178">
        <v>948.08999999999992</v>
      </c>
      <c r="N254" s="178">
        <v>948.08999999999992</v>
      </c>
      <c r="O254" s="178">
        <v>1258.3739999999998</v>
      </c>
      <c r="P254" s="194">
        <v>8.1034836665136339E-5</v>
      </c>
    </row>
    <row r="255" spans="1:16" x14ac:dyDescent="0.35">
      <c r="A255" s="176" t="s">
        <v>197</v>
      </c>
      <c r="B255" s="185"/>
      <c r="C255" s="185">
        <v>13</v>
      </c>
      <c r="D255" s="185"/>
      <c r="E255" s="185">
        <v>63</v>
      </c>
      <c r="F255" s="180"/>
      <c r="G255" s="180">
        <v>310.28399999999999</v>
      </c>
      <c r="H255" s="180"/>
      <c r="I255" s="180"/>
      <c r="J255" s="180">
        <v>948.08999999999992</v>
      </c>
      <c r="K255" s="180"/>
      <c r="L255" s="180">
        <v>310.28399999999999</v>
      </c>
      <c r="M255" s="180">
        <v>948.08999999999992</v>
      </c>
      <c r="N255" s="180">
        <v>948.08999999999992</v>
      </c>
      <c r="O255" s="180">
        <v>1258.3739999999998</v>
      </c>
      <c r="P255" s="195">
        <v>8.1034836665136339E-5</v>
      </c>
    </row>
    <row r="256" spans="1:16" x14ac:dyDescent="0.35">
      <c r="A256" s="177" t="s">
        <v>125</v>
      </c>
      <c r="B256" s="184">
        <v>782</v>
      </c>
      <c r="C256" s="184">
        <v>247</v>
      </c>
      <c r="D256" s="184">
        <v>9194</v>
      </c>
      <c r="E256" s="184">
        <v>923</v>
      </c>
      <c r="F256" s="178">
        <v>51773.572386000029</v>
      </c>
      <c r="G256" s="178">
        <v>5400.0196550000237</v>
      </c>
      <c r="H256" s="178">
        <v>2988</v>
      </c>
      <c r="I256" s="178">
        <v>176371.78999999887</v>
      </c>
      <c r="J256" s="178">
        <v>21535.604999999945</v>
      </c>
      <c r="K256" s="178">
        <v>11345</v>
      </c>
      <c r="L256" s="178">
        <v>60161.592041000054</v>
      </c>
      <c r="M256" s="178">
        <v>209252.39499999883</v>
      </c>
      <c r="N256" s="178">
        <v>209252.39499999883</v>
      </c>
      <c r="O256" s="178">
        <v>269413.98704099888</v>
      </c>
      <c r="P256" s="194">
        <v>1.7349308262226099E-2</v>
      </c>
    </row>
    <row r="257" spans="1:16" x14ac:dyDescent="0.35">
      <c r="A257" s="176" t="s">
        <v>191</v>
      </c>
      <c r="B257" s="185">
        <v>782</v>
      </c>
      <c r="C257" s="185">
        <v>247</v>
      </c>
      <c r="D257" s="185">
        <v>9194</v>
      </c>
      <c r="E257" s="185">
        <v>923</v>
      </c>
      <c r="F257" s="180">
        <v>51773.572386000029</v>
      </c>
      <c r="G257" s="180">
        <v>5400.0196550000237</v>
      </c>
      <c r="H257" s="180">
        <v>2988</v>
      </c>
      <c r="I257" s="180">
        <v>176371.7899999982</v>
      </c>
      <c r="J257" s="180">
        <v>21535.604999999952</v>
      </c>
      <c r="K257" s="180">
        <v>11345</v>
      </c>
      <c r="L257" s="180">
        <v>60161.592041000054</v>
      </c>
      <c r="M257" s="180">
        <v>209252.39499999816</v>
      </c>
      <c r="N257" s="180">
        <v>209252.39499999816</v>
      </c>
      <c r="O257" s="180">
        <v>269413.98704099818</v>
      </c>
      <c r="P257" s="195">
        <v>1.7349308262226054E-2</v>
      </c>
    </row>
    <row r="258" spans="1:16" x14ac:dyDescent="0.35">
      <c r="A258" s="177" t="s">
        <v>126</v>
      </c>
      <c r="B258" s="184">
        <v>57</v>
      </c>
      <c r="C258" s="184">
        <v>62</v>
      </c>
      <c r="D258" s="184">
        <v>557</v>
      </c>
      <c r="E258" s="184">
        <v>173</v>
      </c>
      <c r="F258" s="178">
        <v>4572.7195139999976</v>
      </c>
      <c r="G258" s="178">
        <v>894.34853900000064</v>
      </c>
      <c r="H258" s="178">
        <v>36</v>
      </c>
      <c r="I258" s="178">
        <v>13149.080000000004</v>
      </c>
      <c r="J258" s="178">
        <v>4490.7525000000032</v>
      </c>
      <c r="K258" s="178">
        <v>193.5</v>
      </c>
      <c r="L258" s="178">
        <v>5503.0680529999981</v>
      </c>
      <c r="M258" s="178">
        <v>17833.332500000008</v>
      </c>
      <c r="N258" s="178">
        <v>17833.332500000008</v>
      </c>
      <c r="O258" s="178">
        <v>23336.400553000007</v>
      </c>
      <c r="P258" s="194">
        <v>1.5027816906297755E-3</v>
      </c>
    </row>
    <row r="259" spans="1:16" x14ac:dyDescent="0.35">
      <c r="A259" s="176" t="s">
        <v>190</v>
      </c>
      <c r="B259" s="185">
        <v>57</v>
      </c>
      <c r="C259" s="185">
        <v>62</v>
      </c>
      <c r="D259" s="185">
        <v>557</v>
      </c>
      <c r="E259" s="185">
        <v>173</v>
      </c>
      <c r="F259" s="180">
        <v>4572.7195139999976</v>
      </c>
      <c r="G259" s="180">
        <v>894.34853900000064</v>
      </c>
      <c r="H259" s="180">
        <v>36</v>
      </c>
      <c r="I259" s="180">
        <v>13149.080000000005</v>
      </c>
      <c r="J259" s="180">
        <v>4490.7525000000078</v>
      </c>
      <c r="K259" s="180">
        <v>193.5</v>
      </c>
      <c r="L259" s="180">
        <v>5503.0680529999981</v>
      </c>
      <c r="M259" s="180">
        <v>17833.332500000011</v>
      </c>
      <c r="N259" s="180">
        <v>17833.332500000011</v>
      </c>
      <c r="O259" s="180">
        <v>23336.40055300001</v>
      </c>
      <c r="P259" s="195">
        <v>1.5027816906297757E-3</v>
      </c>
    </row>
    <row r="260" spans="1:16" x14ac:dyDescent="0.35">
      <c r="A260" s="177" t="s">
        <v>127</v>
      </c>
      <c r="B260" s="184">
        <v>330</v>
      </c>
      <c r="C260" s="184">
        <v>292</v>
      </c>
      <c r="D260" s="184">
        <v>3805</v>
      </c>
      <c r="E260" s="184">
        <v>1299</v>
      </c>
      <c r="F260" s="178">
        <v>22499.64037800008</v>
      </c>
      <c r="G260" s="178">
        <v>5112.7824979999968</v>
      </c>
      <c r="H260" s="178">
        <v>1512</v>
      </c>
      <c r="I260" s="178">
        <v>82920.849999999686</v>
      </c>
      <c r="J260" s="178">
        <v>34231.486250000038</v>
      </c>
      <c r="K260" s="178">
        <v>5596.25</v>
      </c>
      <c r="L260" s="178">
        <v>29124.422876000077</v>
      </c>
      <c r="M260" s="178">
        <v>122748.58624999973</v>
      </c>
      <c r="N260" s="178">
        <v>122748.58624999973</v>
      </c>
      <c r="O260" s="178">
        <v>151873.00912599982</v>
      </c>
      <c r="P260" s="194">
        <v>9.7800848462922443E-3</v>
      </c>
    </row>
    <row r="261" spans="1:16" x14ac:dyDescent="0.35">
      <c r="A261" s="176" t="s">
        <v>185</v>
      </c>
      <c r="B261" s="185">
        <v>330</v>
      </c>
      <c r="C261" s="185">
        <v>292</v>
      </c>
      <c r="D261" s="185">
        <v>3805</v>
      </c>
      <c r="E261" s="185">
        <v>1299</v>
      </c>
      <c r="F261" s="180">
        <v>22499.64037800008</v>
      </c>
      <c r="G261" s="180">
        <v>5112.7824979999968</v>
      </c>
      <c r="H261" s="180">
        <v>1512</v>
      </c>
      <c r="I261" s="180">
        <v>82920.8499999997</v>
      </c>
      <c r="J261" s="180">
        <v>34231.486250000002</v>
      </c>
      <c r="K261" s="180">
        <v>5596.25</v>
      </c>
      <c r="L261" s="180">
        <v>29124.422876000077</v>
      </c>
      <c r="M261" s="180">
        <v>122748.5862499997</v>
      </c>
      <c r="N261" s="180">
        <v>122748.5862499997</v>
      </c>
      <c r="O261" s="180">
        <v>151873.00912599979</v>
      </c>
      <c r="P261" s="195">
        <v>9.7800848462922425E-3</v>
      </c>
    </row>
    <row r="262" spans="1:16" x14ac:dyDescent="0.35">
      <c r="A262" s="177" t="s">
        <v>128</v>
      </c>
      <c r="B262" s="184">
        <v>437</v>
      </c>
      <c r="C262" s="184">
        <v>143</v>
      </c>
      <c r="D262" s="184">
        <v>4658</v>
      </c>
      <c r="E262" s="184">
        <v>551</v>
      </c>
      <c r="F262" s="178">
        <v>25812.722376000107</v>
      </c>
      <c r="G262" s="178">
        <v>1926.5224489999998</v>
      </c>
      <c r="H262" s="178">
        <v>972</v>
      </c>
      <c r="I262" s="178">
        <v>95904.409999999989</v>
      </c>
      <c r="J262" s="178">
        <v>13011.699999999968</v>
      </c>
      <c r="K262" s="178">
        <v>3264</v>
      </c>
      <c r="L262" s="178">
        <v>28711.244825000107</v>
      </c>
      <c r="M262" s="178">
        <v>112180.10999999996</v>
      </c>
      <c r="N262" s="178">
        <v>112180.10999999996</v>
      </c>
      <c r="O262" s="178">
        <v>140891.35482500007</v>
      </c>
      <c r="P262" s="194">
        <v>9.0729051345415992E-3</v>
      </c>
    </row>
    <row r="263" spans="1:16" x14ac:dyDescent="0.35">
      <c r="A263" s="176" t="s">
        <v>183</v>
      </c>
      <c r="B263" s="185">
        <v>437</v>
      </c>
      <c r="C263" s="185">
        <v>143</v>
      </c>
      <c r="D263" s="185">
        <v>4658</v>
      </c>
      <c r="E263" s="185">
        <v>551</v>
      </c>
      <c r="F263" s="180">
        <v>25812.722376000107</v>
      </c>
      <c r="G263" s="180">
        <v>1926.5224489999998</v>
      </c>
      <c r="H263" s="180">
        <v>972</v>
      </c>
      <c r="I263" s="180">
        <v>95904.410000000338</v>
      </c>
      <c r="J263" s="180">
        <v>13011.699999999957</v>
      </c>
      <c r="K263" s="180">
        <v>3264</v>
      </c>
      <c r="L263" s="180">
        <v>28711.244825000107</v>
      </c>
      <c r="M263" s="180">
        <v>112180.11000000029</v>
      </c>
      <c r="N263" s="180">
        <v>112180.11000000029</v>
      </c>
      <c r="O263" s="180">
        <v>140891.3548250004</v>
      </c>
      <c r="P263" s="195">
        <v>9.0729051345416201E-3</v>
      </c>
    </row>
    <row r="264" spans="1:16" x14ac:dyDescent="0.35">
      <c r="A264" s="40" t="s">
        <v>13</v>
      </c>
      <c r="B264" s="186">
        <v>43593</v>
      </c>
      <c r="C264" s="186">
        <v>24478</v>
      </c>
      <c r="D264" s="186">
        <v>467032</v>
      </c>
      <c r="E264" s="186">
        <v>98647</v>
      </c>
      <c r="F264" s="182">
        <v>2562582.4256159994</v>
      </c>
      <c r="G264" s="182">
        <v>360332.08052500041</v>
      </c>
      <c r="H264" s="182">
        <v>359902.80000000028</v>
      </c>
      <c r="I264" s="182">
        <v>8977941.5600000024</v>
      </c>
      <c r="J264" s="182">
        <v>2250369.3350356976</v>
      </c>
      <c r="K264" s="182">
        <v>1120206.5650000004</v>
      </c>
      <c r="L264" s="182">
        <v>3282817.3061410002</v>
      </c>
      <c r="M264" s="182">
        <v>12348517.4600357</v>
      </c>
      <c r="N264" s="182">
        <v>12245985.512331154</v>
      </c>
      <c r="O264" s="182">
        <v>15528802.818472154</v>
      </c>
      <c r="P264" s="196">
        <v>1</v>
      </c>
    </row>
    <row r="265" spans="1:16" x14ac:dyDescent="0.35">
      <c r="A265" s="9" t="s">
        <v>593</v>
      </c>
    </row>
    <row r="266" spans="1:16" x14ac:dyDescent="0.35">
      <c r="A266" s="163" t="s">
        <v>448</v>
      </c>
    </row>
    <row r="267" spans="1:16" x14ac:dyDescent="0.35">
      <c r="A267" s="163" t="s">
        <v>496</v>
      </c>
    </row>
  </sheetData>
  <hyperlinks>
    <hyperlink ref="A144" r:id="rId1" display="https://vipunen.fi/fi-fi/_layouts/15/xlviewer.aspx?id=/fi-fi/Raportit/Koski%20tutkinnot%20ja%20tutkinnon%20osat%20painotetut.xlsb"/>
  </hyperlinks>
  <pageMargins left="0.7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6">
    <tabColor theme="9" tint="0.59999389629810485"/>
  </sheetPr>
  <dimension ref="A1:P151"/>
  <sheetViews>
    <sheetView zoomScale="90" zoomScaleNormal="90" workbookViewId="0">
      <pane xSplit="2" ySplit="3" topLeftCell="C4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4.5" x14ac:dyDescent="0.35"/>
  <cols>
    <col min="1" max="1" width="12" customWidth="1"/>
    <col min="2" max="2" width="34.1796875" customWidth="1"/>
    <col min="3" max="13" width="17.453125" customWidth="1"/>
    <col min="14" max="14" width="18.26953125" customWidth="1"/>
  </cols>
  <sheetData>
    <row r="1" spans="1:16" ht="19.5" x14ac:dyDescent="0.45">
      <c r="A1" s="123" t="s">
        <v>594</v>
      </c>
      <c r="C1" s="3"/>
    </row>
    <row r="2" spans="1:16" x14ac:dyDescent="0.35">
      <c r="A2" s="9" t="s">
        <v>593</v>
      </c>
      <c r="C2" s="146"/>
    </row>
    <row r="3" spans="1:16" ht="54" customHeight="1" x14ac:dyDescent="0.35">
      <c r="A3" s="39" t="s">
        <v>12</v>
      </c>
      <c r="B3" s="39" t="s">
        <v>12</v>
      </c>
      <c r="C3" s="39" t="s">
        <v>497</v>
      </c>
      <c r="D3" s="39" t="s">
        <v>130</v>
      </c>
      <c r="E3" s="39" t="s">
        <v>498</v>
      </c>
      <c r="F3" s="39" t="s">
        <v>499</v>
      </c>
      <c r="G3" s="39" t="s">
        <v>500</v>
      </c>
      <c r="H3" s="39" t="s">
        <v>501</v>
      </c>
      <c r="I3" s="39" t="s">
        <v>502</v>
      </c>
      <c r="J3" s="39" t="s">
        <v>503</v>
      </c>
      <c r="K3" s="39" t="s">
        <v>504</v>
      </c>
      <c r="L3" s="39" t="s">
        <v>505</v>
      </c>
      <c r="M3" s="39" t="s">
        <v>462</v>
      </c>
      <c r="N3" s="39" t="s">
        <v>463</v>
      </c>
    </row>
    <row r="4" spans="1:16" x14ac:dyDescent="0.35">
      <c r="A4" s="247" t="s">
        <v>392</v>
      </c>
      <c r="B4" s="162" t="s">
        <v>393</v>
      </c>
      <c r="C4" s="185">
        <v>2242</v>
      </c>
      <c r="D4" s="185">
        <v>1985</v>
      </c>
      <c r="E4" s="185">
        <v>1997</v>
      </c>
      <c r="F4" s="185">
        <v>16</v>
      </c>
      <c r="G4" s="185">
        <v>1344</v>
      </c>
      <c r="H4" s="185">
        <v>29</v>
      </c>
      <c r="I4" s="180">
        <v>4862.2769957838418</v>
      </c>
      <c r="J4" s="180">
        <v>55.632460000000016</v>
      </c>
      <c r="K4" s="180">
        <v>1890.8854983603987</v>
      </c>
      <c r="L4" s="180">
        <v>47.073620000000012</v>
      </c>
      <c r="M4" s="180">
        <v>6855.8685741444715</v>
      </c>
      <c r="N4" s="195">
        <v>2.2013279304267025E-2</v>
      </c>
      <c r="P4" s="125"/>
    </row>
    <row r="5" spans="1:16" x14ac:dyDescent="0.35">
      <c r="A5" s="247" t="s">
        <v>332</v>
      </c>
      <c r="B5" s="162" t="s">
        <v>15</v>
      </c>
      <c r="C5" s="185">
        <v>153</v>
      </c>
      <c r="D5" s="185">
        <v>284</v>
      </c>
      <c r="E5" s="185">
        <v>89</v>
      </c>
      <c r="F5" s="185">
        <v>10</v>
      </c>
      <c r="G5" s="185">
        <v>141</v>
      </c>
      <c r="H5" s="185">
        <v>8</v>
      </c>
      <c r="I5" s="180">
        <v>316.16568650296881</v>
      </c>
      <c r="J5" s="180">
        <v>46.961172000000005</v>
      </c>
      <c r="K5" s="180">
        <v>248.22925799819797</v>
      </c>
      <c r="L5" s="180">
        <v>19.567155000000003</v>
      </c>
      <c r="M5" s="180">
        <v>630.92327150116716</v>
      </c>
      <c r="N5" s="195">
        <v>2.0258104490940053E-3</v>
      </c>
      <c r="O5" s="163"/>
      <c r="P5" s="125"/>
    </row>
    <row r="6" spans="1:16" x14ac:dyDescent="0.35">
      <c r="A6" s="247" t="s">
        <v>331</v>
      </c>
      <c r="B6" s="162" t="s">
        <v>16</v>
      </c>
      <c r="C6" s="185">
        <v>17</v>
      </c>
      <c r="D6" s="185">
        <v>13</v>
      </c>
      <c r="E6" s="185">
        <v>1</v>
      </c>
      <c r="F6" s="185"/>
      <c r="G6" s="185"/>
      <c r="H6" s="185"/>
      <c r="I6" s="180">
        <v>24.03666350154835</v>
      </c>
      <c r="J6" s="180"/>
      <c r="K6" s="180"/>
      <c r="L6" s="180"/>
      <c r="M6" s="180">
        <v>24.03666350154835</v>
      </c>
      <c r="N6" s="195">
        <v>7.7178519611323395E-5</v>
      </c>
      <c r="O6" s="163"/>
      <c r="P6" s="125"/>
    </row>
    <row r="7" spans="1:16" x14ac:dyDescent="0.35">
      <c r="A7" s="247" t="s">
        <v>509</v>
      </c>
      <c r="B7" s="162" t="s">
        <v>510</v>
      </c>
      <c r="C7" s="185">
        <v>400</v>
      </c>
      <c r="D7" s="185">
        <v>761</v>
      </c>
      <c r="E7" s="185">
        <v>148</v>
      </c>
      <c r="F7" s="185">
        <v>5</v>
      </c>
      <c r="G7" s="185">
        <v>106</v>
      </c>
      <c r="H7" s="185">
        <v>3</v>
      </c>
      <c r="I7" s="180">
        <v>1106.6550446393571</v>
      </c>
      <c r="J7" s="180">
        <v>37.790226000000004</v>
      </c>
      <c r="K7" s="180">
        <v>387.96527427011949</v>
      </c>
      <c r="L7" s="180">
        <v>12.596742000000001</v>
      </c>
      <c r="M7" s="180">
        <v>1545.0072869094731</v>
      </c>
      <c r="N7" s="195">
        <v>4.9608122685038739E-3</v>
      </c>
      <c r="O7" s="163"/>
      <c r="P7" s="125"/>
    </row>
    <row r="8" spans="1:16" x14ac:dyDescent="0.35">
      <c r="A8" s="247" t="s">
        <v>330</v>
      </c>
      <c r="B8" s="162" t="s">
        <v>17</v>
      </c>
      <c r="C8" s="185">
        <v>181</v>
      </c>
      <c r="D8" s="185">
        <v>490</v>
      </c>
      <c r="E8" s="185">
        <v>42</v>
      </c>
      <c r="F8" s="185"/>
      <c r="G8" s="185">
        <v>53</v>
      </c>
      <c r="H8" s="185">
        <v>2</v>
      </c>
      <c r="I8" s="180">
        <v>427.54218326947552</v>
      </c>
      <c r="J8" s="180"/>
      <c r="K8" s="180">
        <v>270.43330869454769</v>
      </c>
      <c r="L8" s="180">
        <v>10.323076</v>
      </c>
      <c r="M8" s="180">
        <v>708.29856796402373</v>
      </c>
      <c r="N8" s="195">
        <v>2.2742522028800856E-3</v>
      </c>
      <c r="O8" s="163"/>
      <c r="P8" s="125"/>
    </row>
    <row r="9" spans="1:16" x14ac:dyDescent="0.35">
      <c r="A9" s="247" t="s">
        <v>328</v>
      </c>
      <c r="B9" s="162" t="s">
        <v>517</v>
      </c>
      <c r="C9" s="185">
        <v>114</v>
      </c>
      <c r="D9" s="185">
        <v>5</v>
      </c>
      <c r="E9" s="185">
        <v>107</v>
      </c>
      <c r="F9" s="185">
        <v>1</v>
      </c>
      <c r="G9" s="185">
        <v>4</v>
      </c>
      <c r="H9" s="185"/>
      <c r="I9" s="180">
        <v>219.40319560501899</v>
      </c>
      <c r="J9" s="180">
        <v>2.0169480000000002</v>
      </c>
      <c r="K9" s="180">
        <v>4.0257467083489686</v>
      </c>
      <c r="L9" s="180"/>
      <c r="M9" s="180">
        <v>225.44589031336795</v>
      </c>
      <c r="N9" s="195">
        <v>7.2387667555115205E-4</v>
      </c>
      <c r="O9" s="163"/>
      <c r="P9" s="125"/>
    </row>
    <row r="10" spans="1:16" x14ac:dyDescent="0.35">
      <c r="A10" s="247" t="s">
        <v>327</v>
      </c>
      <c r="B10" s="162" t="s">
        <v>19</v>
      </c>
      <c r="C10" s="185">
        <v>615</v>
      </c>
      <c r="D10" s="185">
        <v>1164</v>
      </c>
      <c r="E10" s="185">
        <v>437</v>
      </c>
      <c r="F10" s="185">
        <v>39</v>
      </c>
      <c r="G10" s="185">
        <v>651</v>
      </c>
      <c r="H10" s="185">
        <v>21</v>
      </c>
      <c r="I10" s="180">
        <v>1603.843378768682</v>
      </c>
      <c r="J10" s="180">
        <v>187.53724800000018</v>
      </c>
      <c r="K10" s="180">
        <v>1216.5294996170821</v>
      </c>
      <c r="L10" s="180">
        <v>52.093679999999985</v>
      </c>
      <c r="M10" s="180">
        <v>3060.0038063857578</v>
      </c>
      <c r="N10" s="195">
        <v>9.8252639667171151E-3</v>
      </c>
      <c r="O10" s="163"/>
      <c r="P10" s="125"/>
    </row>
    <row r="11" spans="1:16" x14ac:dyDescent="0.35">
      <c r="A11" s="247" t="s">
        <v>181</v>
      </c>
      <c r="B11" s="162" t="s">
        <v>154</v>
      </c>
      <c r="C11" s="185">
        <v>1345</v>
      </c>
      <c r="D11" s="185">
        <v>1882</v>
      </c>
      <c r="E11" s="185">
        <v>1032</v>
      </c>
      <c r="F11" s="185">
        <v>29</v>
      </c>
      <c r="G11" s="185">
        <v>1085</v>
      </c>
      <c r="H11" s="185">
        <v>15</v>
      </c>
      <c r="I11" s="180">
        <v>3448.2404862621547</v>
      </c>
      <c r="J11" s="180">
        <v>132.515568</v>
      </c>
      <c r="K11" s="180">
        <v>1818.4080689273089</v>
      </c>
      <c r="L11" s="180">
        <v>34.355888</v>
      </c>
      <c r="M11" s="180">
        <v>5433.5200111894519</v>
      </c>
      <c r="N11" s="195">
        <v>1.7446307833659622E-2</v>
      </c>
      <c r="O11" s="163"/>
      <c r="P11" s="125"/>
    </row>
    <row r="12" spans="1:16" x14ac:dyDescent="0.35">
      <c r="A12" s="247" t="s">
        <v>326</v>
      </c>
      <c r="B12" s="162" t="s">
        <v>20</v>
      </c>
      <c r="C12" s="185">
        <v>31</v>
      </c>
      <c r="D12" s="185"/>
      <c r="E12" s="185">
        <v>15</v>
      </c>
      <c r="F12" s="185"/>
      <c r="G12" s="185"/>
      <c r="H12" s="185"/>
      <c r="I12" s="180">
        <v>52.708111329117763</v>
      </c>
      <c r="J12" s="180"/>
      <c r="K12" s="180"/>
      <c r="L12" s="180"/>
      <c r="M12" s="180">
        <v>52.708111329117763</v>
      </c>
      <c r="N12" s="195">
        <v>1.692387133359042E-4</v>
      </c>
      <c r="O12" s="163"/>
      <c r="P12" s="125"/>
    </row>
    <row r="13" spans="1:16" x14ac:dyDescent="0.35">
      <c r="A13" s="247" t="s">
        <v>325</v>
      </c>
      <c r="B13" s="162" t="s">
        <v>21</v>
      </c>
      <c r="C13" s="185">
        <v>2285</v>
      </c>
      <c r="D13" s="185">
        <v>3964</v>
      </c>
      <c r="E13" s="185">
        <v>1626</v>
      </c>
      <c r="F13" s="185">
        <v>80</v>
      </c>
      <c r="G13" s="185">
        <v>1703</v>
      </c>
      <c r="H13" s="185">
        <v>55</v>
      </c>
      <c r="I13" s="180">
        <v>6641.2596672748668</v>
      </c>
      <c r="J13" s="180">
        <v>411.34069199999919</v>
      </c>
      <c r="K13" s="180">
        <v>3863.2899165265335</v>
      </c>
      <c r="L13" s="180">
        <v>136.64399699999998</v>
      </c>
      <c r="M13" s="180">
        <v>11052.534272801622</v>
      </c>
      <c r="N13" s="195">
        <v>3.5488212957397181E-2</v>
      </c>
      <c r="O13" s="163"/>
      <c r="P13" s="125"/>
    </row>
    <row r="14" spans="1:16" x14ac:dyDescent="0.35">
      <c r="A14" s="247" t="s">
        <v>324</v>
      </c>
      <c r="B14" s="162" t="s">
        <v>22</v>
      </c>
      <c r="C14" s="185">
        <v>1178</v>
      </c>
      <c r="D14" s="185">
        <v>1945</v>
      </c>
      <c r="E14" s="185">
        <v>697</v>
      </c>
      <c r="F14" s="185">
        <v>34</v>
      </c>
      <c r="G14" s="185">
        <v>775</v>
      </c>
      <c r="H14" s="185">
        <v>20</v>
      </c>
      <c r="I14" s="180">
        <v>3115.5837271975302</v>
      </c>
      <c r="J14" s="180">
        <v>177.36562999999995</v>
      </c>
      <c r="K14" s="180">
        <v>1759.5203063669517</v>
      </c>
      <c r="L14" s="180">
        <v>49.116635999999986</v>
      </c>
      <c r="M14" s="180">
        <v>5101.5862995644065</v>
      </c>
      <c r="N14" s="195">
        <v>1.6380512971129607E-2</v>
      </c>
      <c r="O14" s="163"/>
      <c r="P14" s="125"/>
    </row>
    <row r="15" spans="1:16" x14ac:dyDescent="0.35">
      <c r="A15" s="247" t="s">
        <v>322</v>
      </c>
      <c r="B15" s="162" t="s">
        <v>23</v>
      </c>
      <c r="C15" s="185">
        <v>941</v>
      </c>
      <c r="D15" s="185">
        <v>1413</v>
      </c>
      <c r="E15" s="185">
        <v>659</v>
      </c>
      <c r="F15" s="185">
        <v>40</v>
      </c>
      <c r="G15" s="185">
        <v>648</v>
      </c>
      <c r="H15" s="185">
        <v>9</v>
      </c>
      <c r="I15" s="180">
        <v>2848.9925284845308</v>
      </c>
      <c r="J15" s="180">
        <v>214.12466399999994</v>
      </c>
      <c r="K15" s="180">
        <v>1412.2043501692233</v>
      </c>
      <c r="L15" s="180">
        <v>23.334098000000001</v>
      </c>
      <c r="M15" s="180">
        <v>4498.6556406537984</v>
      </c>
      <c r="N15" s="195">
        <v>1.4444583066382093E-2</v>
      </c>
      <c r="O15" s="163"/>
      <c r="P15" s="125"/>
    </row>
    <row r="16" spans="1:16" ht="23" x14ac:dyDescent="0.35">
      <c r="A16" s="247" t="s">
        <v>321</v>
      </c>
      <c r="B16" s="162" t="s">
        <v>24</v>
      </c>
      <c r="C16" s="185">
        <v>26</v>
      </c>
      <c r="D16" s="185">
        <v>17</v>
      </c>
      <c r="E16" s="185">
        <v>16</v>
      </c>
      <c r="F16" s="185">
        <v>2</v>
      </c>
      <c r="G16" s="185">
        <v>14</v>
      </c>
      <c r="H16" s="185"/>
      <c r="I16" s="180">
        <v>48.088304537207748</v>
      </c>
      <c r="J16" s="180">
        <v>6.2926800000000007</v>
      </c>
      <c r="K16" s="180">
        <v>22.998754343881966</v>
      </c>
      <c r="L16" s="180"/>
      <c r="M16" s="180">
        <v>77.379738881089722</v>
      </c>
      <c r="N16" s="195">
        <v>2.4845601779833418E-4</v>
      </c>
      <c r="O16" s="163"/>
      <c r="P16" s="125"/>
    </row>
    <row r="17" spans="1:16" x14ac:dyDescent="0.35">
      <c r="A17" s="247" t="s">
        <v>320</v>
      </c>
      <c r="B17" s="162" t="s">
        <v>25</v>
      </c>
      <c r="C17" s="185">
        <v>40</v>
      </c>
      <c r="D17" s="185">
        <v>71</v>
      </c>
      <c r="E17" s="185">
        <v>27</v>
      </c>
      <c r="F17" s="185">
        <v>3</v>
      </c>
      <c r="G17" s="185">
        <v>51</v>
      </c>
      <c r="H17" s="185">
        <v>2</v>
      </c>
      <c r="I17" s="180">
        <v>105.95935519873188</v>
      </c>
      <c r="J17" s="180">
        <v>14.478251999999999</v>
      </c>
      <c r="K17" s="180">
        <v>105.95935519873188</v>
      </c>
      <c r="L17" s="180">
        <v>3.6195629999999999</v>
      </c>
      <c r="M17" s="180">
        <v>230.01652539746377</v>
      </c>
      <c r="N17" s="195">
        <v>7.385523750071671E-4</v>
      </c>
      <c r="O17" s="163"/>
      <c r="P17" s="125"/>
    </row>
    <row r="18" spans="1:16" x14ac:dyDescent="0.35">
      <c r="A18" s="247" t="s">
        <v>319</v>
      </c>
      <c r="B18" s="162" t="s">
        <v>396</v>
      </c>
      <c r="C18" s="185">
        <v>7</v>
      </c>
      <c r="D18" s="185"/>
      <c r="E18" s="185">
        <v>3</v>
      </c>
      <c r="F18" s="185">
        <v>3</v>
      </c>
      <c r="G18" s="185"/>
      <c r="H18" s="185"/>
      <c r="I18" s="180">
        <v>13.328551100404027</v>
      </c>
      <c r="J18" s="180">
        <v>13.999991999999999</v>
      </c>
      <c r="K18" s="180"/>
      <c r="L18" s="180"/>
      <c r="M18" s="180">
        <v>27.328543100404026</v>
      </c>
      <c r="N18" s="195">
        <v>8.7748305811560077E-5</v>
      </c>
      <c r="O18" s="163"/>
      <c r="P18" s="125"/>
    </row>
    <row r="19" spans="1:16" ht="23" x14ac:dyDescent="0.35">
      <c r="A19" s="247" t="s">
        <v>318</v>
      </c>
      <c r="B19" s="162" t="s">
        <v>131</v>
      </c>
      <c r="C19" s="185">
        <v>130</v>
      </c>
      <c r="D19" s="185">
        <v>14</v>
      </c>
      <c r="E19" s="185">
        <v>104</v>
      </c>
      <c r="F19" s="185">
        <v>3</v>
      </c>
      <c r="G19" s="185">
        <v>10</v>
      </c>
      <c r="H19" s="185"/>
      <c r="I19" s="180">
        <v>259.81599743441524</v>
      </c>
      <c r="J19" s="180">
        <v>8.7938880000000008</v>
      </c>
      <c r="K19" s="180">
        <v>12.110067677027835</v>
      </c>
      <c r="L19" s="180"/>
      <c r="M19" s="180">
        <v>280.71995311144286</v>
      </c>
      <c r="N19" s="195">
        <v>9.0135431671311899E-4</v>
      </c>
      <c r="O19" s="163"/>
      <c r="P19" s="125"/>
    </row>
    <row r="20" spans="1:16" x14ac:dyDescent="0.35">
      <c r="A20" s="247" t="s">
        <v>317</v>
      </c>
      <c r="B20" s="162" t="s">
        <v>518</v>
      </c>
      <c r="C20" s="185">
        <v>69</v>
      </c>
      <c r="D20" s="185">
        <v>91</v>
      </c>
      <c r="E20" s="185">
        <v>48</v>
      </c>
      <c r="F20" s="185">
        <v>2</v>
      </c>
      <c r="G20" s="185">
        <v>52</v>
      </c>
      <c r="H20" s="185">
        <v>2</v>
      </c>
      <c r="I20" s="180">
        <v>160.29552884946708</v>
      </c>
      <c r="J20" s="180">
        <v>10.078735999999999</v>
      </c>
      <c r="K20" s="180">
        <v>92.869631793738819</v>
      </c>
      <c r="L20" s="180">
        <v>5.0393679999999996</v>
      </c>
      <c r="M20" s="180">
        <v>268.28326464320588</v>
      </c>
      <c r="N20" s="195">
        <v>8.6142176930345386E-4</v>
      </c>
      <c r="O20" s="163"/>
      <c r="P20" s="125"/>
    </row>
    <row r="21" spans="1:16" x14ac:dyDescent="0.35">
      <c r="A21" s="247" t="s">
        <v>316</v>
      </c>
      <c r="B21" s="162" t="s">
        <v>27</v>
      </c>
      <c r="C21" s="185">
        <v>55</v>
      </c>
      <c r="D21" s="185">
        <v>135</v>
      </c>
      <c r="E21" s="185">
        <v>36</v>
      </c>
      <c r="F21" s="185">
        <v>2</v>
      </c>
      <c r="G21" s="185">
        <v>53</v>
      </c>
      <c r="H21" s="185">
        <v>3</v>
      </c>
      <c r="I21" s="180">
        <v>152.99514733290678</v>
      </c>
      <c r="J21" s="180">
        <v>12.063488</v>
      </c>
      <c r="K21" s="180">
        <v>123.92606933965452</v>
      </c>
      <c r="L21" s="180">
        <v>6.0317439999999998</v>
      </c>
      <c r="M21" s="180">
        <v>295.01644867256135</v>
      </c>
      <c r="N21" s="195">
        <v>9.4725845656871521E-4</v>
      </c>
      <c r="O21" s="163"/>
      <c r="P21" s="125"/>
    </row>
    <row r="22" spans="1:16" x14ac:dyDescent="0.35">
      <c r="A22" s="247" t="s">
        <v>315</v>
      </c>
      <c r="B22" s="162" t="s">
        <v>147</v>
      </c>
      <c r="C22" s="185">
        <v>19</v>
      </c>
      <c r="D22" s="185">
        <v>1</v>
      </c>
      <c r="E22" s="185">
        <v>19</v>
      </c>
      <c r="F22" s="185"/>
      <c r="G22" s="185">
        <v>1</v>
      </c>
      <c r="H22" s="185"/>
      <c r="I22" s="180">
        <v>37.923232259151156</v>
      </c>
      <c r="J22" s="180"/>
      <c r="K22" s="180">
        <v>0.99797979629345135</v>
      </c>
      <c r="L22" s="180"/>
      <c r="M22" s="180">
        <v>38.921212055444606</v>
      </c>
      <c r="N22" s="195">
        <v>1.2497081917064361E-4</v>
      </c>
      <c r="O22" s="163"/>
      <c r="P22" s="125"/>
    </row>
    <row r="23" spans="1:16" x14ac:dyDescent="0.35">
      <c r="A23" s="247" t="s">
        <v>314</v>
      </c>
      <c r="B23" s="162" t="s">
        <v>28</v>
      </c>
      <c r="C23" s="185">
        <v>3380</v>
      </c>
      <c r="D23" s="185">
        <v>5719</v>
      </c>
      <c r="E23" s="185">
        <v>2428</v>
      </c>
      <c r="F23" s="185">
        <v>108</v>
      </c>
      <c r="G23" s="185">
        <v>2530</v>
      </c>
      <c r="H23" s="185">
        <v>79</v>
      </c>
      <c r="I23" s="180">
        <v>9630.3640695856411</v>
      </c>
      <c r="J23" s="180">
        <v>508.91749999999854</v>
      </c>
      <c r="K23" s="180">
        <v>5625.8516268573785</v>
      </c>
      <c r="L23" s="180">
        <v>173.36749999999978</v>
      </c>
      <c r="M23" s="180">
        <v>15938.500696442738</v>
      </c>
      <c r="N23" s="195">
        <v>5.1176399274227825E-2</v>
      </c>
      <c r="O23" s="163"/>
      <c r="P23" s="125"/>
    </row>
    <row r="24" spans="1:16" x14ac:dyDescent="0.35">
      <c r="A24" s="247" t="s">
        <v>310</v>
      </c>
      <c r="B24" s="162" t="s">
        <v>29</v>
      </c>
      <c r="C24" s="185">
        <v>23</v>
      </c>
      <c r="D24" s="185">
        <v>57</v>
      </c>
      <c r="E24" s="185">
        <v>11</v>
      </c>
      <c r="F24" s="185">
        <v>11</v>
      </c>
      <c r="G24" s="185">
        <v>23</v>
      </c>
      <c r="H24" s="185">
        <v>16</v>
      </c>
      <c r="I24" s="180">
        <v>48.15647517519276</v>
      </c>
      <c r="J24" s="180">
        <v>50.793639999999989</v>
      </c>
      <c r="K24" s="180">
        <v>41.820096862667384</v>
      </c>
      <c r="L24" s="180">
        <v>35.555547999999995</v>
      </c>
      <c r="M24" s="180">
        <v>176.32576003786011</v>
      </c>
      <c r="N24" s="195">
        <v>5.6615849068182361E-4</v>
      </c>
      <c r="O24" s="163"/>
      <c r="P24" s="125"/>
    </row>
    <row r="25" spans="1:16" x14ac:dyDescent="0.35">
      <c r="A25" s="247" t="s">
        <v>313</v>
      </c>
      <c r="B25" s="162" t="s">
        <v>30</v>
      </c>
      <c r="C25" s="185">
        <v>833</v>
      </c>
      <c r="D25" s="185">
        <v>819</v>
      </c>
      <c r="E25" s="185">
        <v>534</v>
      </c>
      <c r="F25" s="185">
        <v>42</v>
      </c>
      <c r="G25" s="185">
        <v>310</v>
      </c>
      <c r="H25" s="185">
        <v>12</v>
      </c>
      <c r="I25" s="180">
        <v>2209.9092118294252</v>
      </c>
      <c r="J25" s="180">
        <v>210.89359200000024</v>
      </c>
      <c r="K25" s="180">
        <v>742.03300763503228</v>
      </c>
      <c r="L25" s="180">
        <v>31.093285999999999</v>
      </c>
      <c r="M25" s="180">
        <v>3193.9290974644487</v>
      </c>
      <c r="N25" s="195">
        <v>1.0255280208501385E-2</v>
      </c>
      <c r="O25" s="163"/>
      <c r="P25" s="125"/>
    </row>
    <row r="26" spans="1:16" x14ac:dyDescent="0.35">
      <c r="A26" s="247" t="s">
        <v>311</v>
      </c>
      <c r="B26" s="162" t="s">
        <v>32</v>
      </c>
      <c r="C26" s="185">
        <v>99</v>
      </c>
      <c r="D26" s="185">
        <v>183</v>
      </c>
      <c r="E26" s="185">
        <v>80</v>
      </c>
      <c r="F26" s="185">
        <v>1</v>
      </c>
      <c r="G26" s="185">
        <v>103</v>
      </c>
      <c r="H26" s="185">
        <v>4</v>
      </c>
      <c r="I26" s="180">
        <v>267.70132420037902</v>
      </c>
      <c r="J26" s="180">
        <v>5.1272719999999996</v>
      </c>
      <c r="K26" s="180">
        <v>180.94626543173757</v>
      </c>
      <c r="L26" s="180">
        <v>7.6909079999999994</v>
      </c>
      <c r="M26" s="180">
        <v>461.46576963211646</v>
      </c>
      <c r="N26" s="195">
        <v>1.4817050190519391E-3</v>
      </c>
      <c r="O26" s="163"/>
      <c r="P26" s="125"/>
    </row>
    <row r="27" spans="1:16" x14ac:dyDescent="0.35">
      <c r="A27" s="247" t="s">
        <v>308</v>
      </c>
      <c r="B27" s="162" t="s">
        <v>33</v>
      </c>
      <c r="C27" s="185">
        <v>1316</v>
      </c>
      <c r="D27" s="185">
        <v>2225</v>
      </c>
      <c r="E27" s="185">
        <v>941</v>
      </c>
      <c r="F27" s="185">
        <v>37</v>
      </c>
      <c r="G27" s="185">
        <v>1233</v>
      </c>
      <c r="H27" s="185">
        <v>64</v>
      </c>
      <c r="I27" s="180">
        <v>3472.6983364026828</v>
      </c>
      <c r="J27" s="180">
        <v>173.60345600000011</v>
      </c>
      <c r="K27" s="180">
        <v>2389.8687010606927</v>
      </c>
      <c r="L27" s="180">
        <v>139.13806400000007</v>
      </c>
      <c r="M27" s="180">
        <v>6175.3085574635124</v>
      </c>
      <c r="N27" s="195">
        <v>1.9828091888771087E-2</v>
      </c>
      <c r="O27" s="163"/>
      <c r="P27" s="125"/>
    </row>
    <row r="28" spans="1:16" x14ac:dyDescent="0.35">
      <c r="A28" s="247" t="s">
        <v>307</v>
      </c>
      <c r="B28" s="162" t="s">
        <v>34</v>
      </c>
      <c r="C28" s="185">
        <v>245</v>
      </c>
      <c r="D28" s="185">
        <v>339</v>
      </c>
      <c r="E28" s="185">
        <v>176</v>
      </c>
      <c r="F28" s="185">
        <v>10</v>
      </c>
      <c r="G28" s="185">
        <v>226</v>
      </c>
      <c r="H28" s="185">
        <v>9</v>
      </c>
      <c r="I28" s="180">
        <v>506.32271581340871</v>
      </c>
      <c r="J28" s="180">
        <v>43.437996000000012</v>
      </c>
      <c r="K28" s="180">
        <v>317.3266790351322</v>
      </c>
      <c r="L28" s="180">
        <v>16.892554000000004</v>
      </c>
      <c r="M28" s="180">
        <v>883.97994484853905</v>
      </c>
      <c r="N28" s="195">
        <v>2.838341665227988E-3</v>
      </c>
      <c r="O28" s="163"/>
      <c r="P28" s="125"/>
    </row>
    <row r="29" spans="1:16" x14ac:dyDescent="0.35">
      <c r="A29" s="247" t="s">
        <v>305</v>
      </c>
      <c r="B29" s="162" t="s">
        <v>35</v>
      </c>
      <c r="C29" s="185">
        <v>28</v>
      </c>
      <c r="D29" s="185">
        <v>23</v>
      </c>
      <c r="E29" s="185">
        <v>11</v>
      </c>
      <c r="F29" s="185">
        <v>1</v>
      </c>
      <c r="G29" s="185">
        <v>12</v>
      </c>
      <c r="H29" s="185"/>
      <c r="I29" s="180">
        <v>48.075510564659304</v>
      </c>
      <c r="J29" s="180">
        <v>5.3684200000000004</v>
      </c>
      <c r="K29" s="180">
        <v>18.696031886256396</v>
      </c>
      <c r="L29" s="180"/>
      <c r="M29" s="180">
        <v>72.139962450915718</v>
      </c>
      <c r="N29" s="195">
        <v>2.3163179475468737E-4</v>
      </c>
      <c r="O29" s="163"/>
      <c r="P29" s="125"/>
    </row>
    <row r="30" spans="1:16" x14ac:dyDescent="0.35">
      <c r="A30" s="247" t="s">
        <v>304</v>
      </c>
      <c r="B30" s="162" t="s">
        <v>36</v>
      </c>
      <c r="C30" s="185">
        <v>1094</v>
      </c>
      <c r="D30" s="185">
        <v>843</v>
      </c>
      <c r="E30" s="185">
        <v>840</v>
      </c>
      <c r="F30" s="185">
        <v>44</v>
      </c>
      <c r="G30" s="185">
        <v>475</v>
      </c>
      <c r="H30" s="185">
        <v>12</v>
      </c>
      <c r="I30" s="180">
        <v>2633.5959529547536</v>
      </c>
      <c r="J30" s="180">
        <v>163.7904059999999</v>
      </c>
      <c r="K30" s="180">
        <v>804.25060267362267</v>
      </c>
      <c r="L30" s="180">
        <v>24.924627000000008</v>
      </c>
      <c r="M30" s="180">
        <v>3626.5615886284058</v>
      </c>
      <c r="N30" s="195">
        <v>1.1644405417232719E-2</v>
      </c>
      <c r="O30" s="163"/>
      <c r="P30" s="125"/>
    </row>
    <row r="31" spans="1:16" x14ac:dyDescent="0.35">
      <c r="A31" s="247" t="s">
        <v>303</v>
      </c>
      <c r="B31" s="162" t="s">
        <v>37</v>
      </c>
      <c r="C31" s="185">
        <v>73</v>
      </c>
      <c r="D31" s="185">
        <v>33</v>
      </c>
      <c r="E31" s="185">
        <v>60</v>
      </c>
      <c r="F31" s="185">
        <v>1</v>
      </c>
      <c r="G31" s="185">
        <v>25</v>
      </c>
      <c r="H31" s="185">
        <v>1</v>
      </c>
      <c r="I31" s="180">
        <v>165.52583995484844</v>
      </c>
      <c r="J31" s="180">
        <v>4.0769200000000003</v>
      </c>
      <c r="K31" s="180">
        <v>35.469822847467526</v>
      </c>
      <c r="L31" s="180">
        <v>1.0192300000000001</v>
      </c>
      <c r="M31" s="180">
        <v>206.09181280231618</v>
      </c>
      <c r="N31" s="195">
        <v>6.6173331482017694E-4</v>
      </c>
      <c r="O31" s="163"/>
      <c r="P31" s="125"/>
    </row>
    <row r="32" spans="1:16" x14ac:dyDescent="0.35">
      <c r="A32" s="247" t="s">
        <v>300</v>
      </c>
      <c r="B32" s="162" t="s">
        <v>38</v>
      </c>
      <c r="C32" s="185">
        <v>26</v>
      </c>
      <c r="D32" s="185">
        <v>32</v>
      </c>
      <c r="E32" s="185">
        <v>7</v>
      </c>
      <c r="F32" s="185">
        <v>10</v>
      </c>
      <c r="G32" s="185">
        <v>10</v>
      </c>
      <c r="H32" s="185">
        <v>10</v>
      </c>
      <c r="I32" s="180">
        <v>31.912004919124175</v>
      </c>
      <c r="J32" s="180">
        <v>45.391283999999992</v>
      </c>
      <c r="K32" s="180">
        <v>25.263670560973306</v>
      </c>
      <c r="L32" s="180">
        <v>23.956510999999995</v>
      </c>
      <c r="M32" s="180">
        <v>126.52347048009747</v>
      </c>
      <c r="N32" s="195">
        <v>4.0624998336861036E-4</v>
      </c>
      <c r="O32" s="163"/>
      <c r="P32" s="125"/>
    </row>
    <row r="33" spans="1:16" x14ac:dyDescent="0.35">
      <c r="A33" s="247" t="s">
        <v>299</v>
      </c>
      <c r="B33" s="162" t="s">
        <v>39</v>
      </c>
      <c r="C33" s="185">
        <v>1019</v>
      </c>
      <c r="D33" s="185">
        <v>1848</v>
      </c>
      <c r="E33" s="185">
        <v>718</v>
      </c>
      <c r="F33" s="185">
        <v>38</v>
      </c>
      <c r="G33" s="185">
        <v>964</v>
      </c>
      <c r="H33" s="185">
        <v>13</v>
      </c>
      <c r="I33" s="180">
        <v>2996.0679813379843</v>
      </c>
      <c r="J33" s="180">
        <v>197.25177600000004</v>
      </c>
      <c r="K33" s="180">
        <v>2215.9283961696492</v>
      </c>
      <c r="L33" s="180">
        <v>35.614903999999996</v>
      </c>
      <c r="M33" s="180">
        <v>5444.8630575077214</v>
      </c>
      <c r="N33" s="195">
        <v>1.7482728842035857E-2</v>
      </c>
      <c r="O33" s="163"/>
      <c r="P33" s="125"/>
    </row>
    <row r="34" spans="1:16" x14ac:dyDescent="0.35">
      <c r="A34" s="247" t="s">
        <v>298</v>
      </c>
      <c r="B34" s="162" t="s">
        <v>40</v>
      </c>
      <c r="C34" s="185">
        <v>101</v>
      </c>
      <c r="D34" s="185">
        <v>31</v>
      </c>
      <c r="E34" s="185">
        <v>96</v>
      </c>
      <c r="F34" s="185">
        <v>1</v>
      </c>
      <c r="G34" s="185">
        <v>31</v>
      </c>
      <c r="H34" s="185"/>
      <c r="I34" s="180">
        <v>191.6121208883425</v>
      </c>
      <c r="J34" s="180">
        <v>2</v>
      </c>
      <c r="K34" s="180">
        <v>30.93737368509699</v>
      </c>
      <c r="L34" s="180"/>
      <c r="M34" s="180">
        <v>224.5494945734394</v>
      </c>
      <c r="N34" s="195">
        <v>7.2099846842439642E-4</v>
      </c>
      <c r="O34" s="163"/>
      <c r="P34" s="125"/>
    </row>
    <row r="35" spans="1:16" x14ac:dyDescent="0.35">
      <c r="A35" s="247" t="s">
        <v>297</v>
      </c>
      <c r="B35" s="162" t="s">
        <v>460</v>
      </c>
      <c r="C35" s="185">
        <v>2859</v>
      </c>
      <c r="D35" s="185">
        <v>4145</v>
      </c>
      <c r="E35" s="185">
        <v>1904</v>
      </c>
      <c r="F35" s="185">
        <v>106</v>
      </c>
      <c r="G35" s="185">
        <v>1857</v>
      </c>
      <c r="H35" s="185">
        <v>74</v>
      </c>
      <c r="I35" s="180">
        <v>7699.7424511572626</v>
      </c>
      <c r="J35" s="180">
        <v>501.04707199999979</v>
      </c>
      <c r="K35" s="180">
        <v>3922.6398329094691</v>
      </c>
      <c r="L35" s="180">
        <v>169.2366439999999</v>
      </c>
      <c r="M35" s="180">
        <v>12292.666000066682</v>
      </c>
      <c r="N35" s="195">
        <v>3.9470110479371698E-2</v>
      </c>
      <c r="O35" s="163"/>
      <c r="P35" s="125"/>
    </row>
    <row r="36" spans="1:16" x14ac:dyDescent="0.35">
      <c r="A36" s="247" t="s">
        <v>302</v>
      </c>
      <c r="B36" s="162" t="s">
        <v>41</v>
      </c>
      <c r="C36" s="185">
        <v>114</v>
      </c>
      <c r="D36" s="185">
        <v>139</v>
      </c>
      <c r="E36" s="185">
        <v>85</v>
      </c>
      <c r="F36" s="185">
        <v>4</v>
      </c>
      <c r="G36" s="185">
        <v>74</v>
      </c>
      <c r="H36" s="185">
        <v>3</v>
      </c>
      <c r="I36" s="180">
        <v>304.93955962136704</v>
      </c>
      <c r="J36" s="180">
        <v>14.320751999999999</v>
      </c>
      <c r="K36" s="180">
        <v>118.04111985343233</v>
      </c>
      <c r="L36" s="180">
        <v>5.9669799999999995</v>
      </c>
      <c r="M36" s="180">
        <v>443.26841147480002</v>
      </c>
      <c r="N36" s="195">
        <v>1.4232757298401376E-3</v>
      </c>
      <c r="O36" s="163"/>
      <c r="P36" s="125"/>
    </row>
    <row r="37" spans="1:16" x14ac:dyDescent="0.35">
      <c r="A37" s="247" t="s">
        <v>301</v>
      </c>
      <c r="B37" s="162" t="s">
        <v>42</v>
      </c>
      <c r="C37" s="185">
        <v>67</v>
      </c>
      <c r="D37" s="185">
        <v>86</v>
      </c>
      <c r="E37" s="185">
        <v>22</v>
      </c>
      <c r="F37" s="185"/>
      <c r="G37" s="185">
        <v>25</v>
      </c>
      <c r="H37" s="185"/>
      <c r="I37" s="180">
        <v>123.10997376541894</v>
      </c>
      <c r="J37" s="180"/>
      <c r="K37" s="180">
        <v>70.563033743593778</v>
      </c>
      <c r="L37" s="180"/>
      <c r="M37" s="180">
        <v>193.67300750901256</v>
      </c>
      <c r="N37" s="195">
        <v>6.2185818789930872E-4</v>
      </c>
      <c r="O37" s="163"/>
      <c r="P37" s="125"/>
    </row>
    <row r="38" spans="1:16" x14ac:dyDescent="0.35">
      <c r="A38" s="247" t="s">
        <v>296</v>
      </c>
      <c r="B38" s="162" t="s">
        <v>43</v>
      </c>
      <c r="C38" s="185">
        <v>291</v>
      </c>
      <c r="D38" s="185">
        <v>291</v>
      </c>
      <c r="E38" s="185">
        <v>221</v>
      </c>
      <c r="F38" s="185">
        <v>5</v>
      </c>
      <c r="G38" s="185">
        <v>119</v>
      </c>
      <c r="H38" s="185">
        <v>4</v>
      </c>
      <c r="I38" s="180">
        <v>849.86514280168865</v>
      </c>
      <c r="J38" s="180">
        <v>27.25994</v>
      </c>
      <c r="K38" s="180">
        <v>247.66008762625867</v>
      </c>
      <c r="L38" s="180">
        <v>10.903976</v>
      </c>
      <c r="M38" s="180">
        <v>1135.6891464279481</v>
      </c>
      <c r="N38" s="195">
        <v>3.6465463292902692E-3</v>
      </c>
      <c r="O38" s="163"/>
      <c r="P38" s="125"/>
    </row>
    <row r="39" spans="1:16" x14ac:dyDescent="0.35">
      <c r="A39" s="247" t="s">
        <v>295</v>
      </c>
      <c r="B39" s="162" t="s">
        <v>44</v>
      </c>
      <c r="C39" s="185">
        <v>1177</v>
      </c>
      <c r="D39" s="185">
        <v>1543</v>
      </c>
      <c r="E39" s="185">
        <v>839</v>
      </c>
      <c r="F39" s="185">
        <v>49</v>
      </c>
      <c r="G39" s="185">
        <v>828</v>
      </c>
      <c r="H39" s="185">
        <v>28</v>
      </c>
      <c r="I39" s="180">
        <v>3067.7057219590488</v>
      </c>
      <c r="J39" s="180">
        <v>227.625688</v>
      </c>
      <c r="K39" s="180">
        <v>1582.8056118618495</v>
      </c>
      <c r="L39" s="180">
        <v>67.776188000000005</v>
      </c>
      <c r="M39" s="180">
        <v>4945.9132098209348</v>
      </c>
      <c r="N39" s="195">
        <v>1.5880667449352098E-2</v>
      </c>
      <c r="O39" s="163"/>
      <c r="P39" s="125"/>
    </row>
    <row r="40" spans="1:16" ht="23" x14ac:dyDescent="0.35">
      <c r="A40" s="247" t="s">
        <v>294</v>
      </c>
      <c r="B40" s="162" t="s">
        <v>155</v>
      </c>
      <c r="C40" s="185">
        <v>42</v>
      </c>
      <c r="D40" s="185">
        <v>103</v>
      </c>
      <c r="E40" s="185">
        <v>31</v>
      </c>
      <c r="F40" s="185"/>
      <c r="G40" s="185">
        <v>66</v>
      </c>
      <c r="H40" s="185">
        <v>1</v>
      </c>
      <c r="I40" s="180">
        <v>142.6010656115069</v>
      </c>
      <c r="J40" s="180"/>
      <c r="K40" s="180">
        <v>109.4972468088357</v>
      </c>
      <c r="L40" s="180">
        <v>1.260869</v>
      </c>
      <c r="M40" s="180">
        <v>253.35918142034265</v>
      </c>
      <c r="N40" s="195">
        <v>8.1350252919666546E-4</v>
      </c>
      <c r="O40" s="163"/>
      <c r="P40" s="125"/>
    </row>
    <row r="41" spans="1:16" ht="23" x14ac:dyDescent="0.35">
      <c r="A41" s="247" t="s">
        <v>293</v>
      </c>
      <c r="B41" s="162" t="s">
        <v>519</v>
      </c>
      <c r="C41" s="185">
        <v>40</v>
      </c>
      <c r="D41" s="185">
        <v>83</v>
      </c>
      <c r="E41" s="185">
        <v>22</v>
      </c>
      <c r="F41" s="185">
        <v>2</v>
      </c>
      <c r="G41" s="185">
        <v>49</v>
      </c>
      <c r="H41" s="185"/>
      <c r="I41" s="180">
        <v>95.616907345501062</v>
      </c>
      <c r="J41" s="180">
        <v>10.357888000000001</v>
      </c>
      <c r="K41" s="180">
        <v>93.03266660643348</v>
      </c>
      <c r="L41" s="180"/>
      <c r="M41" s="180">
        <v>199.00746195193466</v>
      </c>
      <c r="N41" s="195">
        <v>6.3898640941026234E-4</v>
      </c>
      <c r="O41" s="163"/>
      <c r="P41" s="125"/>
    </row>
    <row r="42" spans="1:16" x14ac:dyDescent="0.35">
      <c r="A42" s="247" t="s">
        <v>292</v>
      </c>
      <c r="B42" s="162" t="s">
        <v>47</v>
      </c>
      <c r="C42" s="185">
        <v>23</v>
      </c>
      <c r="D42" s="185">
        <v>4</v>
      </c>
      <c r="E42" s="185">
        <v>9</v>
      </c>
      <c r="F42" s="185">
        <v>1</v>
      </c>
      <c r="G42" s="185">
        <v>3</v>
      </c>
      <c r="H42" s="185"/>
      <c r="I42" s="180">
        <v>24.545439999999999</v>
      </c>
      <c r="J42" s="180">
        <v>4.9090879999999997</v>
      </c>
      <c r="K42" s="180">
        <v>6.1363599999999998</v>
      </c>
      <c r="L42" s="180"/>
      <c r="M42" s="180">
        <v>35.590887999999993</v>
      </c>
      <c r="N42" s="195">
        <v>1.1427759294943213E-4</v>
      </c>
      <c r="O42" s="163"/>
      <c r="P42" s="125"/>
    </row>
    <row r="43" spans="1:16" ht="23" x14ac:dyDescent="0.35">
      <c r="A43" s="247" t="s">
        <v>291</v>
      </c>
      <c r="B43" s="162" t="s">
        <v>520</v>
      </c>
      <c r="C43" s="185">
        <v>17</v>
      </c>
      <c r="D43" s="185">
        <v>7</v>
      </c>
      <c r="E43" s="185">
        <v>10</v>
      </c>
      <c r="F43" s="185"/>
      <c r="G43" s="185">
        <v>5</v>
      </c>
      <c r="H43" s="185"/>
      <c r="I43" s="180">
        <v>33.719978536616352</v>
      </c>
      <c r="J43" s="180"/>
      <c r="K43" s="180">
        <v>6.7439957073232693</v>
      </c>
      <c r="L43" s="180"/>
      <c r="M43" s="180">
        <v>40.463974243939617</v>
      </c>
      <c r="N43" s="195">
        <v>1.2992442272767227E-4</v>
      </c>
      <c r="O43" s="163"/>
      <c r="P43" s="125"/>
    </row>
    <row r="44" spans="1:16" x14ac:dyDescent="0.35">
      <c r="A44" s="247" t="s">
        <v>289</v>
      </c>
      <c r="B44" s="162" t="s">
        <v>49</v>
      </c>
      <c r="C44" s="185">
        <v>27</v>
      </c>
      <c r="D44" s="185">
        <v>24</v>
      </c>
      <c r="E44" s="185">
        <v>22</v>
      </c>
      <c r="F44" s="185"/>
      <c r="G44" s="185">
        <v>17</v>
      </c>
      <c r="H44" s="185">
        <v>1</v>
      </c>
      <c r="I44" s="180">
        <v>74.483343874141013</v>
      </c>
      <c r="J44" s="180"/>
      <c r="K44" s="180">
        <v>27.31055942051837</v>
      </c>
      <c r="L44" s="180">
        <v>1.2439020000000001</v>
      </c>
      <c r="M44" s="180">
        <v>103.03780529465944</v>
      </c>
      <c r="N44" s="195">
        <v>3.308406458379441E-4</v>
      </c>
      <c r="O44" s="163"/>
      <c r="P44" s="125"/>
    </row>
    <row r="45" spans="1:16" ht="23" x14ac:dyDescent="0.35">
      <c r="A45" s="247" t="s">
        <v>288</v>
      </c>
      <c r="B45" s="162" t="s">
        <v>50</v>
      </c>
      <c r="C45" s="185">
        <v>951</v>
      </c>
      <c r="D45" s="185">
        <v>1458</v>
      </c>
      <c r="E45" s="185">
        <v>636</v>
      </c>
      <c r="F45" s="185">
        <v>30</v>
      </c>
      <c r="G45" s="185">
        <v>721</v>
      </c>
      <c r="H45" s="185">
        <v>19</v>
      </c>
      <c r="I45" s="180">
        <v>2576.4237751819751</v>
      </c>
      <c r="J45" s="180">
        <v>145.83921000000009</v>
      </c>
      <c r="K45" s="180">
        <v>1517.1370284983184</v>
      </c>
      <c r="L45" s="180">
        <v>42.425952000000009</v>
      </c>
      <c r="M45" s="180">
        <v>4281.8259656803302</v>
      </c>
      <c r="N45" s="195">
        <v>1.3748371908740405E-2</v>
      </c>
      <c r="O45" s="163"/>
      <c r="P45" s="125"/>
    </row>
    <row r="46" spans="1:16" ht="23" x14ac:dyDescent="0.35">
      <c r="A46" s="247" t="s">
        <v>277</v>
      </c>
      <c r="B46" s="162" t="s">
        <v>454</v>
      </c>
      <c r="C46" s="185">
        <v>19</v>
      </c>
      <c r="D46" s="185">
        <v>19</v>
      </c>
      <c r="E46" s="185">
        <v>6</v>
      </c>
      <c r="F46" s="185">
        <v>13</v>
      </c>
      <c r="G46" s="185">
        <v>4</v>
      </c>
      <c r="H46" s="185">
        <v>5</v>
      </c>
      <c r="I46" s="180">
        <v>22.427120124856955</v>
      </c>
      <c r="J46" s="180">
        <v>62.896512000000008</v>
      </c>
      <c r="K46" s="180">
        <v>9.9676089443808671</v>
      </c>
      <c r="L46" s="180">
        <v>13.103439999999999</v>
      </c>
      <c r="M46" s="180">
        <v>108.39468106923783</v>
      </c>
      <c r="N46" s="195">
        <v>3.4804085925346621E-4</v>
      </c>
      <c r="O46" s="163"/>
      <c r="P46" s="125"/>
    </row>
    <row r="47" spans="1:16" x14ac:dyDescent="0.35">
      <c r="A47" s="247" t="s">
        <v>276</v>
      </c>
      <c r="B47" s="162" t="s">
        <v>52</v>
      </c>
      <c r="C47" s="185">
        <v>1137</v>
      </c>
      <c r="D47" s="185">
        <v>1701</v>
      </c>
      <c r="E47" s="185">
        <v>849</v>
      </c>
      <c r="F47" s="185">
        <v>34</v>
      </c>
      <c r="G47" s="185">
        <v>889</v>
      </c>
      <c r="H47" s="185">
        <v>19</v>
      </c>
      <c r="I47" s="180">
        <v>3245.2796143649421</v>
      </c>
      <c r="J47" s="180">
        <v>158.6212799999999</v>
      </c>
      <c r="K47" s="180">
        <v>1811.1727049960818</v>
      </c>
      <c r="L47" s="180">
        <v>48.90822799999998</v>
      </c>
      <c r="M47" s="180">
        <v>5263.9818273610745</v>
      </c>
      <c r="N47" s="195">
        <v>1.6901943344610475E-2</v>
      </c>
      <c r="O47" s="163"/>
      <c r="P47" s="125"/>
    </row>
    <row r="48" spans="1:16" x14ac:dyDescent="0.35">
      <c r="A48" s="247" t="s">
        <v>270</v>
      </c>
      <c r="B48" s="162" t="s">
        <v>53</v>
      </c>
      <c r="C48" s="185">
        <v>2414</v>
      </c>
      <c r="D48" s="185">
        <v>3343</v>
      </c>
      <c r="E48" s="185">
        <v>1710</v>
      </c>
      <c r="F48" s="185">
        <v>83</v>
      </c>
      <c r="G48" s="185">
        <v>1673</v>
      </c>
      <c r="H48" s="185">
        <v>54</v>
      </c>
      <c r="I48" s="180">
        <v>6596.4373827202353</v>
      </c>
      <c r="J48" s="180">
        <v>406.71597000000042</v>
      </c>
      <c r="K48" s="180">
        <v>3427.8430067410877</v>
      </c>
      <c r="L48" s="180">
        <v>131.19870000000006</v>
      </c>
      <c r="M48" s="180">
        <v>10562.195059461519</v>
      </c>
      <c r="N48" s="195">
        <v>3.3913799162798262E-2</v>
      </c>
      <c r="O48" s="163"/>
      <c r="P48" s="125"/>
    </row>
    <row r="49" spans="1:16" x14ac:dyDescent="0.35">
      <c r="A49" s="247" t="s">
        <v>287</v>
      </c>
      <c r="B49" s="162" t="s">
        <v>54</v>
      </c>
      <c r="C49" s="185">
        <v>109</v>
      </c>
      <c r="D49" s="185">
        <v>15</v>
      </c>
      <c r="E49" s="185">
        <v>106</v>
      </c>
      <c r="F49" s="185"/>
      <c r="G49" s="185">
        <v>12</v>
      </c>
      <c r="H49" s="185"/>
      <c r="I49" s="180">
        <v>241.41284362439376</v>
      </c>
      <c r="J49" s="180"/>
      <c r="K49" s="180">
        <v>12.172076149129078</v>
      </c>
      <c r="L49" s="180"/>
      <c r="M49" s="180">
        <v>253.58491977352287</v>
      </c>
      <c r="N49" s="195">
        <v>8.1422734493146257E-4</v>
      </c>
      <c r="O49" s="163"/>
      <c r="P49" s="125"/>
    </row>
    <row r="50" spans="1:16" x14ac:dyDescent="0.35">
      <c r="A50" s="247" t="s">
        <v>286</v>
      </c>
      <c r="B50" s="162" t="s">
        <v>55</v>
      </c>
      <c r="C50" s="185">
        <v>187</v>
      </c>
      <c r="D50" s="185">
        <v>425</v>
      </c>
      <c r="E50" s="185">
        <v>72</v>
      </c>
      <c r="F50" s="185">
        <v>1</v>
      </c>
      <c r="G50" s="185">
        <v>78</v>
      </c>
      <c r="H50" s="185">
        <v>1</v>
      </c>
      <c r="I50" s="180">
        <v>457.98085874581972</v>
      </c>
      <c r="J50" s="180">
        <v>8.3835599999999992</v>
      </c>
      <c r="K50" s="180">
        <v>285.73142072194946</v>
      </c>
      <c r="L50" s="180">
        <v>4.1917799999999996</v>
      </c>
      <c r="M50" s="180">
        <v>756.28761946776922</v>
      </c>
      <c r="N50" s="195">
        <v>2.428338644718074E-3</v>
      </c>
      <c r="O50" s="163"/>
      <c r="P50" s="125"/>
    </row>
    <row r="51" spans="1:16" x14ac:dyDescent="0.35">
      <c r="A51" s="247" t="s">
        <v>285</v>
      </c>
      <c r="B51" s="162" t="s">
        <v>56</v>
      </c>
      <c r="C51" s="185">
        <v>719</v>
      </c>
      <c r="D51" s="185">
        <v>1038</v>
      </c>
      <c r="E51" s="185">
        <v>577</v>
      </c>
      <c r="F51" s="185">
        <v>21</v>
      </c>
      <c r="G51" s="185">
        <v>689</v>
      </c>
      <c r="H51" s="185">
        <v>8</v>
      </c>
      <c r="I51" s="180">
        <v>1867.4954297171103</v>
      </c>
      <c r="J51" s="180">
        <v>85.707288000000005</v>
      </c>
      <c r="K51" s="180">
        <v>1128.5754823354011</v>
      </c>
      <c r="L51" s="180">
        <v>16.665306000000001</v>
      </c>
      <c r="M51" s="180">
        <v>3098.4435060524879</v>
      </c>
      <c r="N51" s="195">
        <v>9.9486887138493883E-3</v>
      </c>
      <c r="O51" s="163"/>
      <c r="P51" s="125"/>
    </row>
    <row r="52" spans="1:16" x14ac:dyDescent="0.35">
      <c r="A52" s="247" t="s">
        <v>205</v>
      </c>
      <c r="B52" s="162" t="s">
        <v>457</v>
      </c>
      <c r="C52" s="185">
        <v>7</v>
      </c>
      <c r="D52" s="185">
        <v>1</v>
      </c>
      <c r="E52" s="185">
        <v>6</v>
      </c>
      <c r="F52" s="185"/>
      <c r="G52" s="185">
        <v>1</v>
      </c>
      <c r="H52" s="185"/>
      <c r="I52" s="180">
        <v>11.975757555521415</v>
      </c>
      <c r="J52" s="180"/>
      <c r="K52" s="180">
        <v>1.9959595925869027</v>
      </c>
      <c r="L52" s="180"/>
      <c r="M52" s="180">
        <v>13.971717148108318</v>
      </c>
      <c r="N52" s="195">
        <v>4.4861319702282317E-5</v>
      </c>
      <c r="O52" s="163"/>
      <c r="P52" s="125"/>
    </row>
    <row r="53" spans="1:16" ht="23" x14ac:dyDescent="0.35">
      <c r="A53" s="247" t="s">
        <v>283</v>
      </c>
      <c r="B53" s="162" t="s">
        <v>58</v>
      </c>
      <c r="C53" s="185">
        <v>7</v>
      </c>
      <c r="D53" s="185">
        <v>13</v>
      </c>
      <c r="E53" s="185">
        <v>4</v>
      </c>
      <c r="F53" s="185"/>
      <c r="G53" s="185">
        <v>9</v>
      </c>
      <c r="H53" s="185"/>
      <c r="I53" s="180">
        <v>15.818457805253846</v>
      </c>
      <c r="J53" s="180"/>
      <c r="K53" s="180">
        <v>13.182048171044872</v>
      </c>
      <c r="L53" s="180"/>
      <c r="M53" s="180">
        <v>29.000505976298715</v>
      </c>
      <c r="N53" s="195">
        <v>9.3116755538300673E-5</v>
      </c>
      <c r="O53" s="163"/>
      <c r="P53" s="125"/>
    </row>
    <row r="54" spans="1:16" x14ac:dyDescent="0.35">
      <c r="A54" s="247" t="s">
        <v>511</v>
      </c>
      <c r="B54" s="162" t="s">
        <v>515</v>
      </c>
      <c r="C54" s="185">
        <v>113</v>
      </c>
      <c r="D54" s="185">
        <v>196</v>
      </c>
      <c r="E54" s="185">
        <v>88</v>
      </c>
      <c r="F54" s="185">
        <v>6</v>
      </c>
      <c r="G54" s="185">
        <v>134</v>
      </c>
      <c r="H54" s="185">
        <v>4</v>
      </c>
      <c r="I54" s="180">
        <v>290.37701977599943</v>
      </c>
      <c r="J54" s="180">
        <v>26.451348000000003</v>
      </c>
      <c r="K54" s="180">
        <v>237.58119799854467</v>
      </c>
      <c r="L54" s="180">
        <v>6.0116700000000005</v>
      </c>
      <c r="M54" s="180">
        <v>560.42123577454345</v>
      </c>
      <c r="N54" s="195">
        <v>1.799437818524253E-3</v>
      </c>
      <c r="O54" s="163"/>
      <c r="P54" s="125"/>
    </row>
    <row r="55" spans="1:16" x14ac:dyDescent="0.35">
      <c r="A55" s="247" t="s">
        <v>282</v>
      </c>
      <c r="B55" s="162" t="s">
        <v>132</v>
      </c>
      <c r="C55" s="185">
        <v>20</v>
      </c>
      <c r="D55" s="185"/>
      <c r="E55" s="185">
        <v>20</v>
      </c>
      <c r="F55" s="185"/>
      <c r="G55" s="185"/>
      <c r="H55" s="185"/>
      <c r="I55" s="180">
        <v>53.890908999846374</v>
      </c>
      <c r="J55" s="180"/>
      <c r="K55" s="180"/>
      <c r="L55" s="180"/>
      <c r="M55" s="180">
        <v>53.890908999846374</v>
      </c>
      <c r="N55" s="195">
        <v>1.730365188516604E-4</v>
      </c>
      <c r="O55" s="163"/>
      <c r="P55" s="125"/>
    </row>
    <row r="56" spans="1:16" x14ac:dyDescent="0.35">
      <c r="A56" s="247" t="s">
        <v>281</v>
      </c>
      <c r="B56" s="162" t="s">
        <v>59</v>
      </c>
      <c r="C56" s="185">
        <v>49</v>
      </c>
      <c r="D56" s="185">
        <v>109</v>
      </c>
      <c r="E56" s="185">
        <v>36</v>
      </c>
      <c r="F56" s="185">
        <v>2</v>
      </c>
      <c r="G56" s="185">
        <v>73</v>
      </c>
      <c r="H56" s="185">
        <v>2</v>
      </c>
      <c r="I56" s="180">
        <v>107.4488905060873</v>
      </c>
      <c r="J56" s="180">
        <v>9.3629599999999993</v>
      </c>
      <c r="K56" s="180">
        <v>108.56814978219235</v>
      </c>
      <c r="L56" s="180">
        <v>4.6814799999999996</v>
      </c>
      <c r="M56" s="180">
        <v>230.0614802882792</v>
      </c>
      <c r="N56" s="195">
        <v>7.3869671916384268E-4</v>
      </c>
      <c r="O56" s="163"/>
      <c r="P56" s="125"/>
    </row>
    <row r="57" spans="1:16" ht="23" x14ac:dyDescent="0.35">
      <c r="A57" s="247" t="s">
        <v>280</v>
      </c>
      <c r="B57" s="162" t="s">
        <v>60</v>
      </c>
      <c r="C57" s="185">
        <v>744</v>
      </c>
      <c r="D57" s="185">
        <v>1616</v>
      </c>
      <c r="E57" s="185">
        <v>457</v>
      </c>
      <c r="F57" s="185">
        <v>25</v>
      </c>
      <c r="G57" s="185">
        <v>724</v>
      </c>
      <c r="H57" s="185">
        <v>24</v>
      </c>
      <c r="I57" s="180">
        <v>2027.2585869479285</v>
      </c>
      <c r="J57" s="180">
        <v>132.10492800000006</v>
      </c>
      <c r="K57" s="180">
        <v>1574.8951006041657</v>
      </c>
      <c r="L57" s="180">
        <v>56.419813000000026</v>
      </c>
      <c r="M57" s="180">
        <v>3790.6784285520826</v>
      </c>
      <c r="N57" s="195">
        <v>1.2171362694301642E-2</v>
      </c>
      <c r="O57" s="163"/>
      <c r="P57" s="125"/>
    </row>
    <row r="58" spans="1:16" x14ac:dyDescent="0.35">
      <c r="A58" s="247" t="s">
        <v>279</v>
      </c>
      <c r="B58" s="162" t="s">
        <v>61</v>
      </c>
      <c r="C58" s="185">
        <v>2434</v>
      </c>
      <c r="D58" s="185">
        <v>3173</v>
      </c>
      <c r="E58" s="185">
        <v>1732</v>
      </c>
      <c r="F58" s="185">
        <v>74</v>
      </c>
      <c r="G58" s="185">
        <v>1493</v>
      </c>
      <c r="H58" s="185">
        <v>46</v>
      </c>
      <c r="I58" s="180">
        <v>6828.4390707473831</v>
      </c>
      <c r="J58" s="180">
        <v>349.77989199999968</v>
      </c>
      <c r="K58" s="180">
        <v>3186.9634891042319</v>
      </c>
      <c r="L58" s="180">
        <v>102.56703600000007</v>
      </c>
      <c r="M58" s="180">
        <v>10467.749487851677</v>
      </c>
      <c r="N58" s="195">
        <v>3.3610547032974863E-2</v>
      </c>
      <c r="O58" s="163"/>
      <c r="P58" s="125"/>
    </row>
    <row r="59" spans="1:16" x14ac:dyDescent="0.35">
      <c r="A59" s="247" t="s">
        <v>239</v>
      </c>
      <c r="B59" s="162" t="s">
        <v>490</v>
      </c>
      <c r="C59" s="185">
        <v>359</v>
      </c>
      <c r="D59" s="185">
        <v>667</v>
      </c>
      <c r="E59" s="185">
        <v>205</v>
      </c>
      <c r="F59" s="185">
        <v>18</v>
      </c>
      <c r="G59" s="185">
        <v>270</v>
      </c>
      <c r="H59" s="185">
        <v>15</v>
      </c>
      <c r="I59" s="180">
        <v>964.69976747303224</v>
      </c>
      <c r="J59" s="180">
        <v>96.099163999999973</v>
      </c>
      <c r="K59" s="180">
        <v>595.08846602996266</v>
      </c>
      <c r="L59" s="180">
        <v>39.570243999999995</v>
      </c>
      <c r="M59" s="180">
        <v>1695.4576415029976</v>
      </c>
      <c r="N59" s="195">
        <v>5.4438882845149524E-3</v>
      </c>
      <c r="O59" s="163"/>
      <c r="P59" s="125"/>
    </row>
    <row r="60" spans="1:16" x14ac:dyDescent="0.35">
      <c r="A60" s="247" t="s">
        <v>253</v>
      </c>
      <c r="B60" s="162" t="s">
        <v>458</v>
      </c>
      <c r="C60" s="185">
        <v>2632</v>
      </c>
      <c r="D60" s="185">
        <v>3811</v>
      </c>
      <c r="E60" s="185">
        <v>1744</v>
      </c>
      <c r="F60" s="185">
        <v>135</v>
      </c>
      <c r="G60" s="185">
        <v>1891</v>
      </c>
      <c r="H60" s="185">
        <v>52</v>
      </c>
      <c r="I60" s="180">
        <v>7443.8585600867473</v>
      </c>
      <c r="J60" s="180">
        <v>665.16800999999862</v>
      </c>
      <c r="K60" s="180">
        <v>4276.3992824843845</v>
      </c>
      <c r="L60" s="180">
        <v>125.20809600000004</v>
      </c>
      <c r="M60" s="180">
        <v>12510.633948571111</v>
      </c>
      <c r="N60" s="195">
        <v>4.0169976481456614E-2</v>
      </c>
      <c r="O60" s="163"/>
      <c r="P60" s="125"/>
    </row>
    <row r="61" spans="1:16" x14ac:dyDescent="0.35">
      <c r="A61" s="247" t="s">
        <v>278</v>
      </c>
      <c r="B61" s="162" t="s">
        <v>62</v>
      </c>
      <c r="C61" s="185">
        <v>803</v>
      </c>
      <c r="D61" s="185">
        <v>1371</v>
      </c>
      <c r="E61" s="185">
        <v>517</v>
      </c>
      <c r="F61" s="185">
        <v>19</v>
      </c>
      <c r="G61" s="185">
        <v>641</v>
      </c>
      <c r="H61" s="185">
        <v>19</v>
      </c>
      <c r="I61" s="180">
        <v>2252.8972514453608</v>
      </c>
      <c r="J61" s="180">
        <v>94.764051999999964</v>
      </c>
      <c r="K61" s="180">
        <v>1456.5681392418869</v>
      </c>
      <c r="L61" s="180">
        <v>51.562792999999978</v>
      </c>
      <c r="M61" s="180">
        <v>3855.7922356872577</v>
      </c>
      <c r="N61" s="195">
        <v>1.2380434441743892E-2</v>
      </c>
      <c r="O61" s="163"/>
      <c r="P61" s="125"/>
    </row>
    <row r="62" spans="1:16" x14ac:dyDescent="0.35">
      <c r="A62" s="247" t="s">
        <v>493</v>
      </c>
      <c r="B62" s="162" t="s">
        <v>494</v>
      </c>
      <c r="C62" s="185">
        <v>1010</v>
      </c>
      <c r="D62" s="185">
        <v>1384</v>
      </c>
      <c r="E62" s="185">
        <v>669</v>
      </c>
      <c r="F62" s="185">
        <v>46</v>
      </c>
      <c r="G62" s="185">
        <v>654</v>
      </c>
      <c r="H62" s="185">
        <v>22</v>
      </c>
      <c r="I62" s="180">
        <v>2616.5945641311177</v>
      </c>
      <c r="J62" s="180">
        <v>223.47411600000012</v>
      </c>
      <c r="K62" s="180">
        <v>1312.2065368924473</v>
      </c>
      <c r="L62" s="180">
        <v>55.226362000000016</v>
      </c>
      <c r="M62" s="180">
        <v>4207.5015790235893</v>
      </c>
      <c r="N62" s="195">
        <v>1.3509726219299467E-2</v>
      </c>
      <c r="O62" s="163"/>
      <c r="P62" s="125"/>
    </row>
    <row r="63" spans="1:16" x14ac:dyDescent="0.35">
      <c r="A63" s="247" t="s">
        <v>274</v>
      </c>
      <c r="B63" s="162" t="s">
        <v>63</v>
      </c>
      <c r="C63" s="185">
        <v>56</v>
      </c>
      <c r="D63" s="185">
        <v>45</v>
      </c>
      <c r="E63" s="185">
        <v>45</v>
      </c>
      <c r="F63" s="185">
        <v>1</v>
      </c>
      <c r="G63" s="185">
        <v>34</v>
      </c>
      <c r="H63" s="185">
        <v>1</v>
      </c>
      <c r="I63" s="180">
        <v>127.2128532106982</v>
      </c>
      <c r="J63" s="180">
        <v>4.3440839999999996</v>
      </c>
      <c r="K63" s="180">
        <v>50.446476273207907</v>
      </c>
      <c r="L63" s="180">
        <v>2.1720419999999998</v>
      </c>
      <c r="M63" s="180">
        <v>184.17545548390609</v>
      </c>
      <c r="N63" s="195">
        <v>5.9136281547867201E-4</v>
      </c>
      <c r="O63" s="163"/>
      <c r="P63" s="125"/>
    </row>
    <row r="64" spans="1:16" ht="23" x14ac:dyDescent="0.35">
      <c r="A64" s="247" t="s">
        <v>273</v>
      </c>
      <c r="B64" s="162" t="s">
        <v>521</v>
      </c>
      <c r="C64" s="185">
        <v>22</v>
      </c>
      <c r="D64" s="185">
        <v>21</v>
      </c>
      <c r="E64" s="185">
        <v>7</v>
      </c>
      <c r="F64" s="185">
        <v>10</v>
      </c>
      <c r="G64" s="185">
        <v>6</v>
      </c>
      <c r="H64" s="185">
        <v>5</v>
      </c>
      <c r="I64" s="180">
        <v>30.637267096273568</v>
      </c>
      <c r="J64" s="180">
        <v>42.999969999999998</v>
      </c>
      <c r="K64" s="180">
        <v>11.488975161102589</v>
      </c>
      <c r="L64" s="180">
        <v>12.64705</v>
      </c>
      <c r="M64" s="180">
        <v>97.773262257376132</v>
      </c>
      <c r="N64" s="195">
        <v>3.1393690052314814E-4</v>
      </c>
      <c r="O64" s="163"/>
      <c r="P64" s="125"/>
    </row>
    <row r="65" spans="1:16" x14ac:dyDescent="0.35">
      <c r="A65" s="247" t="s">
        <v>272</v>
      </c>
      <c r="B65" s="162" t="s">
        <v>65</v>
      </c>
      <c r="C65" s="185">
        <v>40</v>
      </c>
      <c r="D65" s="185">
        <v>49</v>
      </c>
      <c r="E65" s="185">
        <v>25</v>
      </c>
      <c r="F65" s="185">
        <v>1</v>
      </c>
      <c r="G65" s="185">
        <v>14</v>
      </c>
      <c r="H65" s="185"/>
      <c r="I65" s="180">
        <v>139.3971367485621</v>
      </c>
      <c r="J65" s="180">
        <v>6.1379279999999996</v>
      </c>
      <c r="K65" s="180">
        <v>34.074855649648505</v>
      </c>
      <c r="L65" s="180"/>
      <c r="M65" s="180">
        <v>179.60992039821062</v>
      </c>
      <c r="N65" s="195">
        <v>5.7670349143709547E-4</v>
      </c>
      <c r="O65" s="163"/>
      <c r="P65" s="125"/>
    </row>
    <row r="66" spans="1:16" x14ac:dyDescent="0.35">
      <c r="A66" s="247" t="s">
        <v>271</v>
      </c>
      <c r="B66" s="162" t="s">
        <v>66</v>
      </c>
      <c r="C66" s="185">
        <v>78</v>
      </c>
      <c r="D66" s="185">
        <v>71</v>
      </c>
      <c r="E66" s="185">
        <v>63</v>
      </c>
      <c r="F66" s="185">
        <v>5</v>
      </c>
      <c r="G66" s="185">
        <v>49</v>
      </c>
      <c r="H66" s="185">
        <v>2</v>
      </c>
      <c r="I66" s="180">
        <v>170.10791232353318</v>
      </c>
      <c r="J66" s="180">
        <v>20.790684000000002</v>
      </c>
      <c r="K66" s="180">
        <v>89.47234349484539</v>
      </c>
      <c r="L66" s="180">
        <v>4.620152</v>
      </c>
      <c r="M66" s="180">
        <v>284.99109181837878</v>
      </c>
      <c r="N66" s="195">
        <v>9.1506837325988979E-4</v>
      </c>
      <c r="O66" s="163"/>
      <c r="P66" s="125"/>
    </row>
    <row r="67" spans="1:16" x14ac:dyDescent="0.35">
      <c r="A67" s="247" t="s">
        <v>269</v>
      </c>
      <c r="B67" s="162" t="s">
        <v>148</v>
      </c>
      <c r="C67" s="185">
        <v>13</v>
      </c>
      <c r="D67" s="185">
        <v>15</v>
      </c>
      <c r="E67" s="185">
        <v>6</v>
      </c>
      <c r="F67" s="185"/>
      <c r="G67" s="185">
        <v>10</v>
      </c>
      <c r="H67" s="185"/>
      <c r="I67" s="180">
        <v>16.226067424710486</v>
      </c>
      <c r="J67" s="180"/>
      <c r="K67" s="180">
        <v>20.862086688913479</v>
      </c>
      <c r="L67" s="180"/>
      <c r="M67" s="180">
        <v>37.088154113623965</v>
      </c>
      <c r="N67" s="195">
        <v>1.190851146799857E-4</v>
      </c>
      <c r="O67" s="163"/>
      <c r="P67" s="125"/>
    </row>
    <row r="68" spans="1:16" x14ac:dyDescent="0.35">
      <c r="A68" s="247" t="s">
        <v>309</v>
      </c>
      <c r="B68" s="162" t="s">
        <v>67</v>
      </c>
      <c r="C68" s="185">
        <v>33</v>
      </c>
      <c r="D68" s="185">
        <v>25</v>
      </c>
      <c r="E68" s="185">
        <v>22</v>
      </c>
      <c r="F68" s="185"/>
      <c r="G68" s="185">
        <v>15</v>
      </c>
      <c r="H68" s="185"/>
      <c r="I68" s="180">
        <v>86.824218326015199</v>
      </c>
      <c r="J68" s="180"/>
      <c r="K68" s="180">
        <v>26.529622266282416</v>
      </c>
      <c r="L68" s="180"/>
      <c r="M68" s="180">
        <v>113.35384059229756</v>
      </c>
      <c r="N68" s="195">
        <v>3.6396405884734875E-4</v>
      </c>
      <c r="O68" s="163"/>
      <c r="P68" s="125"/>
    </row>
    <row r="69" spans="1:16" x14ac:dyDescent="0.35">
      <c r="A69" s="247" t="s">
        <v>268</v>
      </c>
      <c r="B69" s="162" t="s">
        <v>68</v>
      </c>
      <c r="C69" s="185">
        <v>19</v>
      </c>
      <c r="D69" s="185">
        <v>17</v>
      </c>
      <c r="E69" s="185">
        <v>10</v>
      </c>
      <c r="F69" s="185"/>
      <c r="G69" s="185">
        <v>11</v>
      </c>
      <c r="H69" s="185"/>
      <c r="I69" s="180">
        <v>33.46765772578977</v>
      </c>
      <c r="J69" s="180"/>
      <c r="K69" s="180">
        <v>16.733828862894885</v>
      </c>
      <c r="L69" s="180"/>
      <c r="M69" s="180">
        <v>50.201486588684652</v>
      </c>
      <c r="N69" s="195">
        <v>1.6119027571995622E-4</v>
      </c>
      <c r="O69" s="163"/>
      <c r="P69" s="125"/>
    </row>
    <row r="70" spans="1:16" x14ac:dyDescent="0.35">
      <c r="A70" s="247" t="s">
        <v>267</v>
      </c>
      <c r="B70" s="162" t="s">
        <v>69</v>
      </c>
      <c r="C70" s="185">
        <v>16</v>
      </c>
      <c r="D70" s="185">
        <v>13</v>
      </c>
      <c r="E70" s="185">
        <v>10</v>
      </c>
      <c r="F70" s="185">
        <v>3</v>
      </c>
      <c r="G70" s="185">
        <v>5</v>
      </c>
      <c r="H70" s="185">
        <v>4</v>
      </c>
      <c r="I70" s="180">
        <v>37.959764281631692</v>
      </c>
      <c r="J70" s="180">
        <v>13.919999999999998</v>
      </c>
      <c r="K70" s="180">
        <v>7.1174558028059423</v>
      </c>
      <c r="L70" s="180">
        <v>8.1199999999999992</v>
      </c>
      <c r="M70" s="180">
        <v>67.117220084437619</v>
      </c>
      <c r="N70" s="195">
        <v>2.1550443913360111E-4</v>
      </c>
      <c r="O70" s="163"/>
      <c r="P70" s="125"/>
    </row>
    <row r="71" spans="1:16" x14ac:dyDescent="0.35">
      <c r="A71" s="247" t="s">
        <v>306</v>
      </c>
      <c r="B71" s="162" t="s">
        <v>489</v>
      </c>
      <c r="C71" s="185">
        <v>181</v>
      </c>
      <c r="D71" s="185">
        <v>388</v>
      </c>
      <c r="E71" s="185">
        <v>76</v>
      </c>
      <c r="F71" s="185">
        <v>3</v>
      </c>
      <c r="G71" s="185">
        <v>53</v>
      </c>
      <c r="H71" s="185">
        <v>2</v>
      </c>
      <c r="I71" s="180">
        <v>537.96348418187938</v>
      </c>
      <c r="J71" s="180">
        <v>22.460519999999999</v>
      </c>
      <c r="K71" s="180">
        <v>190.52873398108227</v>
      </c>
      <c r="L71" s="180">
        <v>7.4868399999999999</v>
      </c>
      <c r="M71" s="180">
        <v>758.43957816296131</v>
      </c>
      <c r="N71" s="195">
        <v>2.4352482969811238E-3</v>
      </c>
      <c r="O71" s="163"/>
      <c r="P71" s="125"/>
    </row>
    <row r="72" spans="1:16" x14ac:dyDescent="0.35">
      <c r="A72" s="247" t="s">
        <v>266</v>
      </c>
      <c r="B72" s="162" t="s">
        <v>70</v>
      </c>
      <c r="C72" s="185">
        <v>515</v>
      </c>
      <c r="D72" s="185">
        <v>692</v>
      </c>
      <c r="E72" s="185">
        <v>371</v>
      </c>
      <c r="F72" s="185">
        <v>19</v>
      </c>
      <c r="G72" s="185">
        <v>356</v>
      </c>
      <c r="H72" s="185">
        <v>3</v>
      </c>
      <c r="I72" s="180">
        <v>1427.613957470832</v>
      </c>
      <c r="J72" s="180">
        <v>91.143430000000009</v>
      </c>
      <c r="K72" s="180">
        <v>668.48590072046932</v>
      </c>
      <c r="L72" s="180">
        <v>6.5102449999999994</v>
      </c>
      <c r="M72" s="180">
        <v>2193.7535331913141</v>
      </c>
      <c r="N72" s="195">
        <v>7.0438499117362729E-3</v>
      </c>
      <c r="O72" s="163"/>
      <c r="P72" s="125"/>
    </row>
    <row r="73" spans="1:16" x14ac:dyDescent="0.35">
      <c r="A73" s="247" t="s">
        <v>264</v>
      </c>
      <c r="B73" s="162" t="s">
        <v>71</v>
      </c>
      <c r="C73" s="185">
        <v>736</v>
      </c>
      <c r="D73" s="185">
        <v>921</v>
      </c>
      <c r="E73" s="185">
        <v>589</v>
      </c>
      <c r="F73" s="185">
        <v>15</v>
      </c>
      <c r="G73" s="185">
        <v>492</v>
      </c>
      <c r="H73" s="185">
        <v>18</v>
      </c>
      <c r="I73" s="180">
        <v>2192.5914428514443</v>
      </c>
      <c r="J73" s="180">
        <v>74.965637999999998</v>
      </c>
      <c r="K73" s="180">
        <v>1019.1823060851076</v>
      </c>
      <c r="L73" s="180">
        <v>41.360352000000006</v>
      </c>
      <c r="M73" s="180">
        <v>3328.099738936553</v>
      </c>
      <c r="N73" s="195">
        <v>1.0686084237665067E-2</v>
      </c>
      <c r="O73" s="163"/>
      <c r="P73" s="125"/>
    </row>
    <row r="74" spans="1:16" ht="23" x14ac:dyDescent="0.35">
      <c r="A74" s="247" t="s">
        <v>263</v>
      </c>
      <c r="B74" s="162" t="s">
        <v>72</v>
      </c>
      <c r="C74" s="185">
        <v>1083</v>
      </c>
      <c r="D74" s="185">
        <v>1640</v>
      </c>
      <c r="E74" s="185">
        <v>813</v>
      </c>
      <c r="F74" s="185">
        <v>28</v>
      </c>
      <c r="G74" s="185">
        <v>790</v>
      </c>
      <c r="H74" s="185">
        <v>7</v>
      </c>
      <c r="I74" s="180">
        <v>3276.4346875706856</v>
      </c>
      <c r="J74" s="180">
        <v>138.68358399999997</v>
      </c>
      <c r="K74" s="180">
        <v>1755.3279256319011</v>
      </c>
      <c r="L74" s="180">
        <v>17.335448</v>
      </c>
      <c r="M74" s="180">
        <v>5187.7816452025336</v>
      </c>
      <c r="N74" s="195">
        <v>1.6657274726075689E-2</v>
      </c>
      <c r="O74" s="163"/>
      <c r="P74" s="125"/>
    </row>
    <row r="75" spans="1:16" x14ac:dyDescent="0.35">
      <c r="A75" s="247" t="s">
        <v>262</v>
      </c>
      <c r="B75" s="162" t="s">
        <v>73</v>
      </c>
      <c r="C75" s="185">
        <v>1746</v>
      </c>
      <c r="D75" s="185">
        <v>2567</v>
      </c>
      <c r="E75" s="185">
        <v>1218</v>
      </c>
      <c r="F75" s="185">
        <v>77</v>
      </c>
      <c r="G75" s="185">
        <v>1297</v>
      </c>
      <c r="H75" s="185">
        <v>51</v>
      </c>
      <c r="I75" s="180">
        <v>4767.7843601961295</v>
      </c>
      <c r="J75" s="180">
        <v>372.61883399999965</v>
      </c>
      <c r="K75" s="180">
        <v>2597.3939174783372</v>
      </c>
      <c r="L75" s="180">
        <v>117.86922300000013</v>
      </c>
      <c r="M75" s="180">
        <v>7855.6663346745208</v>
      </c>
      <c r="N75" s="195">
        <v>2.5223496523618417E-2</v>
      </c>
      <c r="O75" s="163"/>
      <c r="P75" s="125"/>
    </row>
    <row r="76" spans="1:16" x14ac:dyDescent="0.35">
      <c r="A76" s="247" t="s">
        <v>260</v>
      </c>
      <c r="B76" s="162" t="s">
        <v>522</v>
      </c>
      <c r="C76" s="185">
        <v>104</v>
      </c>
      <c r="D76" s="185">
        <v>120</v>
      </c>
      <c r="E76" s="185">
        <v>57</v>
      </c>
      <c r="F76" s="185"/>
      <c r="G76" s="185">
        <v>40</v>
      </c>
      <c r="H76" s="185">
        <v>2</v>
      </c>
      <c r="I76" s="180">
        <v>219.22070501946837</v>
      </c>
      <c r="J76" s="180"/>
      <c r="K76" s="180">
        <v>79.323281421518161</v>
      </c>
      <c r="L76" s="180">
        <v>4.335483</v>
      </c>
      <c r="M76" s="180">
        <v>302.87946944098644</v>
      </c>
      <c r="N76" s="195">
        <v>9.725055671979025E-4</v>
      </c>
      <c r="O76" s="163"/>
      <c r="P76" s="125"/>
    </row>
    <row r="77" spans="1:16" x14ac:dyDescent="0.35">
      <c r="A77" s="247" t="s">
        <v>256</v>
      </c>
      <c r="B77" s="162" t="s">
        <v>75</v>
      </c>
      <c r="C77" s="185">
        <v>82</v>
      </c>
      <c r="D77" s="185">
        <v>6</v>
      </c>
      <c r="E77" s="185">
        <v>77</v>
      </c>
      <c r="F77" s="185">
        <v>2</v>
      </c>
      <c r="G77" s="185">
        <v>4</v>
      </c>
      <c r="H77" s="185"/>
      <c r="I77" s="180">
        <v>161.34767500008829</v>
      </c>
      <c r="J77" s="180">
        <v>4.0930200000000001</v>
      </c>
      <c r="K77" s="180">
        <v>4.0847512658250222</v>
      </c>
      <c r="L77" s="180"/>
      <c r="M77" s="180">
        <v>169.52544626591336</v>
      </c>
      <c r="N77" s="195">
        <v>5.4432359043547545E-4</v>
      </c>
      <c r="O77" s="163"/>
      <c r="P77" s="125"/>
    </row>
    <row r="78" spans="1:16" x14ac:dyDescent="0.35">
      <c r="A78" s="247" t="s">
        <v>258</v>
      </c>
      <c r="B78" s="162" t="s">
        <v>76</v>
      </c>
      <c r="C78" s="185">
        <v>130</v>
      </c>
      <c r="D78" s="185">
        <v>126</v>
      </c>
      <c r="E78" s="185">
        <v>84</v>
      </c>
      <c r="F78" s="185">
        <v>3</v>
      </c>
      <c r="G78" s="185">
        <v>47</v>
      </c>
      <c r="H78" s="185">
        <v>1</v>
      </c>
      <c r="I78" s="180">
        <v>300.5318156947086</v>
      </c>
      <c r="J78" s="180">
        <v>12.61083</v>
      </c>
      <c r="K78" s="180">
        <v>101.8751917609182</v>
      </c>
      <c r="L78" s="180">
        <v>2.5221659999999999</v>
      </c>
      <c r="M78" s="180">
        <v>417.54000345562679</v>
      </c>
      <c r="N78" s="195">
        <v>1.3406652442896792E-3</v>
      </c>
      <c r="O78" s="163"/>
      <c r="P78" s="125"/>
    </row>
    <row r="79" spans="1:16" x14ac:dyDescent="0.35">
      <c r="A79" s="247" t="s">
        <v>290</v>
      </c>
      <c r="B79" s="162" t="s">
        <v>461</v>
      </c>
      <c r="C79" s="185">
        <v>400</v>
      </c>
      <c r="D79" s="185">
        <v>493</v>
      </c>
      <c r="E79" s="185">
        <v>301</v>
      </c>
      <c r="F79" s="185">
        <v>10</v>
      </c>
      <c r="G79" s="185">
        <v>278</v>
      </c>
      <c r="H79" s="185">
        <v>8</v>
      </c>
      <c r="I79" s="180">
        <v>1162.0984420363329</v>
      </c>
      <c r="J79" s="180">
        <v>50.738599999999991</v>
      </c>
      <c r="K79" s="180">
        <v>581.04922101816612</v>
      </c>
      <c r="L79" s="180">
        <v>19.026975</v>
      </c>
      <c r="M79" s="180">
        <v>1812.9132380544997</v>
      </c>
      <c r="N79" s="195">
        <v>5.8210225345045928E-3</v>
      </c>
      <c r="O79" s="163"/>
      <c r="P79" s="125"/>
    </row>
    <row r="80" spans="1:16" x14ac:dyDescent="0.35">
      <c r="A80" s="247" t="s">
        <v>257</v>
      </c>
      <c r="B80" s="162" t="s">
        <v>149</v>
      </c>
      <c r="C80" s="185">
        <v>9</v>
      </c>
      <c r="D80" s="185">
        <v>1</v>
      </c>
      <c r="E80" s="185">
        <v>2</v>
      </c>
      <c r="F80" s="185"/>
      <c r="G80" s="185"/>
      <c r="H80" s="185"/>
      <c r="I80" s="180">
        <v>3.9774472759155484</v>
      </c>
      <c r="J80" s="180"/>
      <c r="K80" s="180"/>
      <c r="L80" s="180"/>
      <c r="M80" s="180">
        <v>3.9774472759155484</v>
      </c>
      <c r="N80" s="195">
        <v>1.2771052545103814E-5</v>
      </c>
      <c r="O80" s="163"/>
      <c r="P80" s="125"/>
    </row>
    <row r="81" spans="1:16" x14ac:dyDescent="0.35">
      <c r="A81" s="247" t="s">
        <v>255</v>
      </c>
      <c r="B81" s="162" t="s">
        <v>77</v>
      </c>
      <c r="C81" s="185">
        <v>511</v>
      </c>
      <c r="D81" s="185">
        <v>704</v>
      </c>
      <c r="E81" s="185">
        <v>420</v>
      </c>
      <c r="F81" s="185">
        <v>28</v>
      </c>
      <c r="G81" s="185">
        <v>414</v>
      </c>
      <c r="H81" s="185">
        <v>18</v>
      </c>
      <c r="I81" s="180">
        <v>1562.6194599582359</v>
      </c>
      <c r="J81" s="180">
        <v>140.83244999999999</v>
      </c>
      <c r="K81" s="180">
        <v>869.06994925914387</v>
      </c>
      <c r="L81" s="180">
        <v>44.810324999999992</v>
      </c>
      <c r="M81" s="180">
        <v>2617.3321842173868</v>
      </c>
      <c r="N81" s="195">
        <v>8.4039044477182672E-3</v>
      </c>
      <c r="O81" s="163"/>
      <c r="P81" s="125"/>
    </row>
    <row r="82" spans="1:16" x14ac:dyDescent="0.35">
      <c r="A82" s="247" t="s">
        <v>254</v>
      </c>
      <c r="B82" s="162" t="s">
        <v>78</v>
      </c>
      <c r="C82" s="185">
        <v>19</v>
      </c>
      <c r="D82" s="185">
        <v>41</v>
      </c>
      <c r="E82" s="185">
        <v>3</v>
      </c>
      <c r="F82" s="185">
        <v>12</v>
      </c>
      <c r="G82" s="185">
        <v>19</v>
      </c>
      <c r="H82" s="185">
        <v>7</v>
      </c>
      <c r="I82" s="180">
        <v>13.463978486761009</v>
      </c>
      <c r="J82" s="180">
        <v>58.666651999999992</v>
      </c>
      <c r="K82" s="180">
        <v>39.045537611606932</v>
      </c>
      <c r="L82" s="180">
        <v>11.999997</v>
      </c>
      <c r="M82" s="180">
        <v>123.17616509836793</v>
      </c>
      <c r="N82" s="195">
        <v>3.9550223237429032E-4</v>
      </c>
      <c r="O82" s="163"/>
      <c r="P82" s="125"/>
    </row>
    <row r="83" spans="1:16" x14ac:dyDescent="0.35">
      <c r="A83" s="247" t="s">
        <v>250</v>
      </c>
      <c r="B83" s="162" t="s">
        <v>79</v>
      </c>
      <c r="C83" s="185">
        <v>17</v>
      </c>
      <c r="D83" s="185">
        <v>47</v>
      </c>
      <c r="E83" s="185">
        <v>5</v>
      </c>
      <c r="F83" s="185">
        <v>2</v>
      </c>
      <c r="G83" s="185">
        <v>7</v>
      </c>
      <c r="H83" s="185"/>
      <c r="I83" s="180">
        <v>45.621927842101798</v>
      </c>
      <c r="J83" s="180">
        <v>13.714283999999999</v>
      </c>
      <c r="K83" s="180">
        <v>27.373156705261078</v>
      </c>
      <c r="L83" s="180"/>
      <c r="M83" s="180">
        <v>86.709368547362885</v>
      </c>
      <c r="N83" s="195">
        <v>2.7841221392840295E-4</v>
      </c>
      <c r="O83" s="163"/>
      <c r="P83" s="125"/>
    </row>
    <row r="84" spans="1:16" x14ac:dyDescent="0.35">
      <c r="A84" s="247" t="s">
        <v>249</v>
      </c>
      <c r="B84" s="162" t="s">
        <v>80</v>
      </c>
      <c r="C84" s="185">
        <v>96</v>
      </c>
      <c r="D84" s="185">
        <v>53</v>
      </c>
      <c r="E84" s="185">
        <v>82</v>
      </c>
      <c r="F84" s="185">
        <v>2</v>
      </c>
      <c r="G84" s="185">
        <v>37</v>
      </c>
      <c r="H84" s="185">
        <v>3</v>
      </c>
      <c r="I84" s="180">
        <v>176.77501553967633</v>
      </c>
      <c r="J84" s="180">
        <v>8.3356639999999995</v>
      </c>
      <c r="K84" s="180">
        <v>42.633974336039628</v>
      </c>
      <c r="L84" s="180">
        <v>4.1678319999999998</v>
      </c>
      <c r="M84" s="180">
        <v>231.91248587571607</v>
      </c>
      <c r="N84" s="195">
        <v>7.4464005115005877E-4</v>
      </c>
      <c r="O84" s="163"/>
      <c r="P84" s="125"/>
    </row>
    <row r="85" spans="1:16" x14ac:dyDescent="0.35">
      <c r="A85" s="247" t="s">
        <v>248</v>
      </c>
      <c r="B85" s="162" t="s">
        <v>81</v>
      </c>
      <c r="C85" s="185">
        <v>63</v>
      </c>
      <c r="D85" s="185">
        <v>29</v>
      </c>
      <c r="E85" s="185">
        <v>52</v>
      </c>
      <c r="F85" s="185"/>
      <c r="G85" s="185">
        <v>24</v>
      </c>
      <c r="H85" s="185">
        <v>1</v>
      </c>
      <c r="I85" s="180">
        <v>116.08681624828561</v>
      </c>
      <c r="J85" s="180"/>
      <c r="K85" s="180">
        <v>28.494036715488274</v>
      </c>
      <c r="L85" s="180">
        <v>1.057471</v>
      </c>
      <c r="M85" s="180">
        <v>145.63832396377379</v>
      </c>
      <c r="N85" s="195">
        <v>4.6762522766416139E-4</v>
      </c>
      <c r="O85" s="163"/>
      <c r="P85" s="125"/>
    </row>
    <row r="86" spans="1:16" x14ac:dyDescent="0.35">
      <c r="A86" s="247" t="s">
        <v>247</v>
      </c>
      <c r="B86" s="162" t="s">
        <v>82</v>
      </c>
      <c r="C86" s="185">
        <v>369</v>
      </c>
      <c r="D86" s="185">
        <v>653</v>
      </c>
      <c r="E86" s="185">
        <v>272</v>
      </c>
      <c r="F86" s="185">
        <v>8</v>
      </c>
      <c r="G86" s="185">
        <v>396</v>
      </c>
      <c r="H86" s="185">
        <v>8</v>
      </c>
      <c r="I86" s="180">
        <v>1018.765510379426</v>
      </c>
      <c r="J86" s="180">
        <v>35.592031999999996</v>
      </c>
      <c r="K86" s="180">
        <v>693.9234059532323</v>
      </c>
      <c r="L86" s="180">
        <v>15.253727999999999</v>
      </c>
      <c r="M86" s="180">
        <v>1763.5346763326584</v>
      </c>
      <c r="N86" s="195">
        <v>5.6624745607401564E-3</v>
      </c>
      <c r="O86" s="163"/>
      <c r="P86" s="125"/>
    </row>
    <row r="87" spans="1:16" x14ac:dyDescent="0.35">
      <c r="A87" s="247" t="s">
        <v>246</v>
      </c>
      <c r="B87" s="162" t="s">
        <v>83</v>
      </c>
      <c r="C87" s="185">
        <v>646</v>
      </c>
      <c r="D87" s="185">
        <v>798</v>
      </c>
      <c r="E87" s="185">
        <v>384</v>
      </c>
      <c r="F87" s="185">
        <v>26</v>
      </c>
      <c r="G87" s="185">
        <v>364</v>
      </c>
      <c r="H87" s="185">
        <v>13</v>
      </c>
      <c r="I87" s="180">
        <v>1515.9768623595764</v>
      </c>
      <c r="J87" s="180">
        <v>111.275916</v>
      </c>
      <c r="K87" s="180">
        <v>790.27073233735973</v>
      </c>
      <c r="L87" s="180">
        <v>29.759837999999998</v>
      </c>
      <c r="M87" s="180">
        <v>2447.283348696928</v>
      </c>
      <c r="N87" s="195">
        <v>7.8579003242153084E-3</v>
      </c>
      <c r="O87" s="163"/>
      <c r="P87" s="125"/>
    </row>
    <row r="88" spans="1:16" ht="23" x14ac:dyDescent="0.35">
      <c r="A88" s="247" t="s">
        <v>245</v>
      </c>
      <c r="B88" s="162" t="s">
        <v>523</v>
      </c>
      <c r="C88" s="185">
        <v>28</v>
      </c>
      <c r="D88" s="185">
        <v>37</v>
      </c>
      <c r="E88" s="185">
        <v>16</v>
      </c>
      <c r="F88" s="185">
        <v>2</v>
      </c>
      <c r="G88" s="185">
        <v>13</v>
      </c>
      <c r="H88" s="185"/>
      <c r="I88" s="180">
        <v>85.385274768349248</v>
      </c>
      <c r="J88" s="180">
        <v>9.2857140000000005</v>
      </c>
      <c r="K88" s="180">
        <v>36.367802216148753</v>
      </c>
      <c r="L88" s="180"/>
      <c r="M88" s="180">
        <v>131.03879098449792</v>
      </c>
      <c r="N88" s="195">
        <v>4.2074807508911193E-4</v>
      </c>
      <c r="O88" s="163"/>
      <c r="P88" s="125"/>
    </row>
    <row r="89" spans="1:16" x14ac:dyDescent="0.35">
      <c r="A89" s="247" t="s">
        <v>252</v>
      </c>
      <c r="B89" s="162" t="s">
        <v>85</v>
      </c>
      <c r="C89" s="185">
        <v>1989</v>
      </c>
      <c r="D89" s="185">
        <v>3319</v>
      </c>
      <c r="E89" s="185">
        <v>1312</v>
      </c>
      <c r="F89" s="185">
        <v>79</v>
      </c>
      <c r="G89" s="185">
        <v>1466</v>
      </c>
      <c r="H89" s="185">
        <v>42</v>
      </c>
      <c r="I89" s="180">
        <v>5920.4525104658151</v>
      </c>
      <c r="J89" s="180">
        <v>385.39022399999965</v>
      </c>
      <c r="K89" s="180">
        <v>3346.4680451074878</v>
      </c>
      <c r="L89" s="180">
        <v>107.96392800000007</v>
      </c>
      <c r="M89" s="180">
        <v>9760.2747075735624</v>
      </c>
      <c r="N89" s="195">
        <v>3.1338939902447203E-2</v>
      </c>
      <c r="O89" s="163"/>
      <c r="P89" s="125"/>
    </row>
    <row r="90" spans="1:16" ht="23" x14ac:dyDescent="0.35">
      <c r="A90" s="247" t="s">
        <v>242</v>
      </c>
      <c r="B90" s="162" t="s">
        <v>86</v>
      </c>
      <c r="C90" s="185">
        <v>69</v>
      </c>
      <c r="D90" s="185">
        <v>88</v>
      </c>
      <c r="E90" s="185">
        <v>55</v>
      </c>
      <c r="F90" s="185">
        <v>3</v>
      </c>
      <c r="G90" s="185">
        <v>57</v>
      </c>
      <c r="H90" s="185">
        <v>1</v>
      </c>
      <c r="I90" s="180">
        <v>147.79951047063793</v>
      </c>
      <c r="J90" s="180">
        <v>6.5416619999999996</v>
      </c>
      <c r="K90" s="180">
        <v>82.593844086532982</v>
      </c>
      <c r="L90" s="180">
        <v>1.0902769999999999</v>
      </c>
      <c r="M90" s="180">
        <v>238.02529355717107</v>
      </c>
      <c r="N90" s="195">
        <v>7.642674610646267E-4</v>
      </c>
      <c r="O90" s="163"/>
      <c r="P90" s="125"/>
    </row>
    <row r="91" spans="1:16" x14ac:dyDescent="0.35">
      <c r="A91" s="247" t="s">
        <v>241</v>
      </c>
      <c r="B91" s="162" t="s">
        <v>87</v>
      </c>
      <c r="C91" s="185">
        <v>20</v>
      </c>
      <c r="D91" s="185">
        <v>29</v>
      </c>
      <c r="E91" s="185">
        <v>17</v>
      </c>
      <c r="F91" s="185">
        <v>2</v>
      </c>
      <c r="G91" s="185">
        <v>18</v>
      </c>
      <c r="H91" s="185">
        <v>1</v>
      </c>
      <c r="I91" s="180">
        <v>57.903212669145077</v>
      </c>
      <c r="J91" s="180">
        <v>7.1707260000000002</v>
      </c>
      <c r="K91" s="180">
        <v>30.157923265179722</v>
      </c>
      <c r="L91" s="180">
        <v>2.3902420000000002</v>
      </c>
      <c r="M91" s="180">
        <v>97.62210393432477</v>
      </c>
      <c r="N91" s="195">
        <v>3.1345155131487376E-4</v>
      </c>
      <c r="O91" s="163"/>
      <c r="P91" s="125"/>
    </row>
    <row r="92" spans="1:16" x14ac:dyDescent="0.35">
      <c r="A92" s="247" t="s">
        <v>240</v>
      </c>
      <c r="B92" s="162" t="s">
        <v>88</v>
      </c>
      <c r="C92" s="185">
        <v>156</v>
      </c>
      <c r="D92" s="185">
        <v>124</v>
      </c>
      <c r="E92" s="185">
        <v>116</v>
      </c>
      <c r="F92" s="185">
        <v>2</v>
      </c>
      <c r="G92" s="185">
        <v>82</v>
      </c>
      <c r="H92" s="185">
        <v>1</v>
      </c>
      <c r="I92" s="180">
        <v>390.6173457981601</v>
      </c>
      <c r="J92" s="180">
        <v>8.9959760000000006</v>
      </c>
      <c r="K92" s="180">
        <v>139.66841143364454</v>
      </c>
      <c r="L92" s="180">
        <v>2.2489940000000002</v>
      </c>
      <c r="M92" s="180">
        <v>541.53072723180446</v>
      </c>
      <c r="N92" s="195">
        <v>1.7387829159026917E-3</v>
      </c>
      <c r="O92" s="163"/>
      <c r="P92" s="125"/>
    </row>
    <row r="93" spans="1:16" x14ac:dyDescent="0.35">
      <c r="A93" s="247" t="s">
        <v>244</v>
      </c>
      <c r="B93" s="162" t="s">
        <v>89</v>
      </c>
      <c r="C93" s="185">
        <v>52</v>
      </c>
      <c r="D93" s="185">
        <v>105</v>
      </c>
      <c r="E93" s="185">
        <v>22</v>
      </c>
      <c r="F93" s="185">
        <v>20</v>
      </c>
      <c r="G93" s="185">
        <v>50</v>
      </c>
      <c r="H93" s="185">
        <v>10</v>
      </c>
      <c r="I93" s="180">
        <v>90.291766990862897</v>
      </c>
      <c r="J93" s="180">
        <v>93.135560000000027</v>
      </c>
      <c r="K93" s="180">
        <v>90.291766990862826</v>
      </c>
      <c r="L93" s="180">
        <v>21.288128</v>
      </c>
      <c r="M93" s="180">
        <v>295.0072219817261</v>
      </c>
      <c r="N93" s="195">
        <v>9.4722883089543779E-4</v>
      </c>
      <c r="O93" s="163"/>
      <c r="P93" s="125"/>
    </row>
    <row r="94" spans="1:16" x14ac:dyDescent="0.35">
      <c r="A94" s="247" t="s">
        <v>243</v>
      </c>
      <c r="B94" s="162" t="s">
        <v>90</v>
      </c>
      <c r="C94" s="185">
        <v>29</v>
      </c>
      <c r="D94" s="185">
        <v>74</v>
      </c>
      <c r="E94" s="185">
        <v>20</v>
      </c>
      <c r="F94" s="185"/>
      <c r="G94" s="185">
        <v>32</v>
      </c>
      <c r="H94" s="185">
        <v>1</v>
      </c>
      <c r="I94" s="180">
        <v>103.96484663354143</v>
      </c>
      <c r="J94" s="180"/>
      <c r="K94" s="180">
        <v>77.97363497515606</v>
      </c>
      <c r="L94" s="180">
        <v>3.0294099999999999</v>
      </c>
      <c r="M94" s="180">
        <v>184.9678916086975</v>
      </c>
      <c r="N94" s="195">
        <v>5.9390722215117025E-4</v>
      </c>
      <c r="O94" s="163"/>
      <c r="P94" s="125"/>
    </row>
    <row r="95" spans="1:16" x14ac:dyDescent="0.35">
      <c r="A95" s="247" t="s">
        <v>238</v>
      </c>
      <c r="B95" s="162" t="s">
        <v>91</v>
      </c>
      <c r="C95" s="185">
        <v>58</v>
      </c>
      <c r="D95" s="185">
        <v>88</v>
      </c>
      <c r="E95" s="185">
        <v>30</v>
      </c>
      <c r="F95" s="185">
        <v>8</v>
      </c>
      <c r="G95" s="185">
        <v>38</v>
      </c>
      <c r="H95" s="185"/>
      <c r="I95" s="180">
        <v>135.25737771519604</v>
      </c>
      <c r="J95" s="180">
        <v>42.862367999999996</v>
      </c>
      <c r="K95" s="180">
        <v>93.327590623485264</v>
      </c>
      <c r="L95" s="180"/>
      <c r="M95" s="180">
        <v>271.44733633868128</v>
      </c>
      <c r="N95" s="195">
        <v>8.715811813776442E-4</v>
      </c>
      <c r="O95" s="163"/>
      <c r="P95" s="125"/>
    </row>
    <row r="96" spans="1:16" x14ac:dyDescent="0.35">
      <c r="A96" s="247" t="s">
        <v>237</v>
      </c>
      <c r="B96" s="162" t="s">
        <v>92</v>
      </c>
      <c r="C96" s="185">
        <v>789</v>
      </c>
      <c r="D96" s="185">
        <v>1227</v>
      </c>
      <c r="E96" s="185">
        <v>512</v>
      </c>
      <c r="F96" s="185">
        <v>27</v>
      </c>
      <c r="G96" s="185">
        <v>573</v>
      </c>
      <c r="H96" s="185">
        <v>15</v>
      </c>
      <c r="I96" s="180">
        <v>2076.8959755464634</v>
      </c>
      <c r="J96" s="180">
        <v>134.57939999999999</v>
      </c>
      <c r="K96" s="180">
        <v>1251.2227687731597</v>
      </c>
      <c r="L96" s="180">
        <v>33.644849999999998</v>
      </c>
      <c r="M96" s="180">
        <v>3496.3429943196438</v>
      </c>
      <c r="N96" s="195">
        <v>1.1226290884241466E-2</v>
      </c>
      <c r="O96" s="163"/>
      <c r="P96" s="125"/>
    </row>
    <row r="97" spans="1:16" x14ac:dyDescent="0.35">
      <c r="A97" s="247" t="s">
        <v>236</v>
      </c>
      <c r="B97" s="162" t="s">
        <v>93</v>
      </c>
      <c r="C97" s="185">
        <v>34</v>
      </c>
      <c r="D97" s="185">
        <v>21</v>
      </c>
      <c r="E97" s="185">
        <v>33</v>
      </c>
      <c r="F97" s="185"/>
      <c r="G97" s="185">
        <v>21</v>
      </c>
      <c r="H97" s="185"/>
      <c r="I97" s="180">
        <v>69.858585740541585</v>
      </c>
      <c r="J97" s="180"/>
      <c r="K97" s="180">
        <v>20.957575722162478</v>
      </c>
      <c r="L97" s="180"/>
      <c r="M97" s="180">
        <v>90.816161462704045</v>
      </c>
      <c r="N97" s="195">
        <v>2.91598578064835E-4</v>
      </c>
      <c r="O97" s="163"/>
      <c r="P97" s="125"/>
    </row>
    <row r="98" spans="1:16" x14ac:dyDescent="0.35">
      <c r="A98" s="247" t="s">
        <v>259</v>
      </c>
      <c r="B98" s="162" t="s">
        <v>456</v>
      </c>
      <c r="C98" s="185">
        <v>1397</v>
      </c>
      <c r="D98" s="185">
        <v>256</v>
      </c>
      <c r="E98" s="185">
        <v>1279</v>
      </c>
      <c r="F98" s="185">
        <v>11</v>
      </c>
      <c r="G98" s="185">
        <v>240</v>
      </c>
      <c r="H98" s="185">
        <v>1</v>
      </c>
      <c r="I98" s="180">
        <v>2749.4341391924904</v>
      </c>
      <c r="J98" s="180">
        <v>26.727609999999999</v>
      </c>
      <c r="K98" s="180">
        <v>252.37343217960938</v>
      </c>
      <c r="L98" s="180">
        <v>1.0279849999999999</v>
      </c>
      <c r="M98" s="180">
        <v>3029.5631663720997</v>
      </c>
      <c r="N98" s="195">
        <v>9.7275231329227753E-3</v>
      </c>
      <c r="O98" s="163"/>
      <c r="P98" s="125"/>
    </row>
    <row r="99" spans="1:16" x14ac:dyDescent="0.35">
      <c r="A99" s="247" t="s">
        <v>235</v>
      </c>
      <c r="B99" s="162" t="s">
        <v>94</v>
      </c>
      <c r="C99" s="185">
        <v>37</v>
      </c>
      <c r="D99" s="185">
        <v>10</v>
      </c>
      <c r="E99" s="185">
        <v>32</v>
      </c>
      <c r="F99" s="185"/>
      <c r="G99" s="185">
        <v>9</v>
      </c>
      <c r="H99" s="185"/>
      <c r="I99" s="180">
        <v>86.66705473179735</v>
      </c>
      <c r="J99" s="180"/>
      <c r="K99" s="180">
        <v>9.2857558641211444</v>
      </c>
      <c r="L99" s="180"/>
      <c r="M99" s="180">
        <v>95.952810595918464</v>
      </c>
      <c r="N99" s="195">
        <v>3.080916731168475E-4</v>
      </c>
      <c r="O99" s="163"/>
      <c r="P99" s="125"/>
    </row>
    <row r="100" spans="1:16" x14ac:dyDescent="0.35">
      <c r="A100" s="247" t="s">
        <v>234</v>
      </c>
      <c r="B100" s="162" t="s">
        <v>95</v>
      </c>
      <c r="C100" s="185">
        <v>22</v>
      </c>
      <c r="D100" s="185">
        <v>56</v>
      </c>
      <c r="E100" s="185">
        <v>13</v>
      </c>
      <c r="F100" s="185">
        <v>3</v>
      </c>
      <c r="G100" s="185">
        <v>35</v>
      </c>
      <c r="H100" s="185"/>
      <c r="I100" s="180">
        <v>47.031871204730592</v>
      </c>
      <c r="J100" s="180">
        <v>12.78688</v>
      </c>
      <c r="K100" s="180">
        <v>52.257634671922908</v>
      </c>
      <c r="L100" s="180"/>
      <c r="M100" s="180">
        <v>112.07638587665342</v>
      </c>
      <c r="N100" s="195">
        <v>3.5986232218919868E-4</v>
      </c>
      <c r="O100" s="163"/>
      <c r="P100" s="125"/>
    </row>
    <row r="101" spans="1:16" x14ac:dyDescent="0.35">
      <c r="A101" s="247" t="s">
        <v>233</v>
      </c>
      <c r="B101" s="162" t="s">
        <v>96</v>
      </c>
      <c r="C101" s="185">
        <v>1066</v>
      </c>
      <c r="D101" s="185">
        <v>1790</v>
      </c>
      <c r="E101" s="185">
        <v>733</v>
      </c>
      <c r="F101" s="185">
        <v>52</v>
      </c>
      <c r="G101" s="185">
        <v>899</v>
      </c>
      <c r="H101" s="185">
        <v>18</v>
      </c>
      <c r="I101" s="180">
        <v>2965.6475771491414</v>
      </c>
      <c r="J101" s="180">
        <v>246.20675000000006</v>
      </c>
      <c r="K101" s="180">
        <v>1885.304531187669</v>
      </c>
      <c r="L101" s="180">
        <v>44.058050000000009</v>
      </c>
      <c r="M101" s="180">
        <v>5141.2169083368226</v>
      </c>
      <c r="N101" s="195">
        <v>1.6507761568513083E-2</v>
      </c>
      <c r="O101" s="163"/>
      <c r="P101" s="125"/>
    </row>
    <row r="102" spans="1:16" x14ac:dyDescent="0.35">
      <c r="A102" s="247" t="s">
        <v>231</v>
      </c>
      <c r="B102" s="162" t="s">
        <v>97</v>
      </c>
      <c r="C102" s="185">
        <v>884</v>
      </c>
      <c r="D102" s="185">
        <v>1174</v>
      </c>
      <c r="E102" s="185">
        <v>630</v>
      </c>
      <c r="F102" s="185">
        <v>20</v>
      </c>
      <c r="G102" s="185">
        <v>600</v>
      </c>
      <c r="H102" s="185">
        <v>10</v>
      </c>
      <c r="I102" s="180">
        <v>2509.3754638223863</v>
      </c>
      <c r="J102" s="180">
        <v>90.849743999999973</v>
      </c>
      <c r="K102" s="180">
        <v>1165.6049029454985</v>
      </c>
      <c r="L102" s="180">
        <v>25.236039999999999</v>
      </c>
      <c r="M102" s="180">
        <v>3791.0661507678833</v>
      </c>
      <c r="N102" s="195">
        <v>1.2172607618607962E-2</v>
      </c>
      <c r="O102" s="163"/>
      <c r="P102" s="125"/>
    </row>
    <row r="103" spans="1:16" x14ac:dyDescent="0.35">
      <c r="A103" s="247" t="s">
        <v>230</v>
      </c>
      <c r="B103" s="162" t="s">
        <v>98</v>
      </c>
      <c r="C103" s="185">
        <v>1613</v>
      </c>
      <c r="D103" s="185">
        <v>1862</v>
      </c>
      <c r="E103" s="185">
        <v>1124</v>
      </c>
      <c r="F103" s="185">
        <v>42</v>
      </c>
      <c r="G103" s="185">
        <v>865</v>
      </c>
      <c r="H103" s="185">
        <v>33</v>
      </c>
      <c r="I103" s="180">
        <v>4059.9165006043281</v>
      </c>
      <c r="J103" s="180">
        <v>199.1023499999998</v>
      </c>
      <c r="K103" s="180">
        <v>1724.2016048735566</v>
      </c>
      <c r="L103" s="180">
        <v>79.640939999999929</v>
      </c>
      <c r="M103" s="180">
        <v>6062.8613954779512</v>
      </c>
      <c r="N103" s="195">
        <v>1.9467039053963908E-2</v>
      </c>
      <c r="O103" s="163"/>
      <c r="P103" s="125"/>
    </row>
    <row r="104" spans="1:16" x14ac:dyDescent="0.35">
      <c r="A104" s="247" t="s">
        <v>229</v>
      </c>
      <c r="B104" s="162" t="s">
        <v>99</v>
      </c>
      <c r="C104" s="185">
        <v>771</v>
      </c>
      <c r="D104" s="185">
        <v>1527</v>
      </c>
      <c r="E104" s="185">
        <v>517</v>
      </c>
      <c r="F104" s="185">
        <v>18</v>
      </c>
      <c r="G104" s="185">
        <v>940</v>
      </c>
      <c r="H104" s="185">
        <v>12</v>
      </c>
      <c r="I104" s="180">
        <v>1982.7475098364387</v>
      </c>
      <c r="J104" s="180">
        <v>88.239130000000031</v>
      </c>
      <c r="K104" s="180">
        <v>1666.1110253758661</v>
      </c>
      <c r="L104" s="180">
        <v>25.211180000000002</v>
      </c>
      <c r="M104" s="180">
        <v>3762.3088452123093</v>
      </c>
      <c r="N104" s="195">
        <v>1.2080271747173613E-2</v>
      </c>
      <c r="O104" s="163"/>
      <c r="P104" s="125"/>
    </row>
    <row r="105" spans="1:16" x14ac:dyDescent="0.35">
      <c r="A105" s="247" t="s">
        <v>228</v>
      </c>
      <c r="B105" s="162" t="s">
        <v>100</v>
      </c>
      <c r="C105" s="185">
        <v>2369</v>
      </c>
      <c r="D105" s="185">
        <v>3365</v>
      </c>
      <c r="E105" s="185">
        <v>1706</v>
      </c>
      <c r="F105" s="185">
        <v>87</v>
      </c>
      <c r="G105" s="185">
        <v>1795</v>
      </c>
      <c r="H105" s="185">
        <v>40</v>
      </c>
      <c r="I105" s="180">
        <v>6638.3138142738753</v>
      </c>
      <c r="J105" s="180">
        <v>404.60124600000006</v>
      </c>
      <c r="K105" s="180">
        <v>3613.0947837094122</v>
      </c>
      <c r="L105" s="180">
        <v>91.486269000000007</v>
      </c>
      <c r="M105" s="180">
        <v>10747.496112983452</v>
      </c>
      <c r="N105" s="195">
        <v>3.4508776123403473E-2</v>
      </c>
      <c r="O105" s="163"/>
      <c r="P105" s="125"/>
    </row>
    <row r="106" spans="1:16" x14ac:dyDescent="0.35">
      <c r="A106" s="247" t="s">
        <v>227</v>
      </c>
      <c r="B106" s="162" t="s">
        <v>101</v>
      </c>
      <c r="C106" s="185">
        <v>1971</v>
      </c>
      <c r="D106" s="185">
        <v>2530</v>
      </c>
      <c r="E106" s="185">
        <v>1369</v>
      </c>
      <c r="F106" s="185">
        <v>78</v>
      </c>
      <c r="G106" s="185">
        <v>1334</v>
      </c>
      <c r="H106" s="185">
        <v>34</v>
      </c>
      <c r="I106" s="180">
        <v>5191.5154222302608</v>
      </c>
      <c r="J106" s="180">
        <v>384.98768999999999</v>
      </c>
      <c r="K106" s="180">
        <v>2709.422494276766</v>
      </c>
      <c r="L106" s="180">
        <v>76.222395000000006</v>
      </c>
      <c r="M106" s="180">
        <v>8362.1480015070374</v>
      </c>
      <c r="N106" s="195">
        <v>2.6849741582708718E-2</v>
      </c>
      <c r="O106" s="163"/>
      <c r="P106" s="125"/>
    </row>
    <row r="107" spans="1:16" x14ac:dyDescent="0.35">
      <c r="A107" s="247" t="s">
        <v>226</v>
      </c>
      <c r="B107" s="162" t="s">
        <v>102</v>
      </c>
      <c r="C107" s="185">
        <v>803</v>
      </c>
      <c r="D107" s="185">
        <v>1494</v>
      </c>
      <c r="E107" s="185">
        <v>647</v>
      </c>
      <c r="F107" s="185">
        <v>12</v>
      </c>
      <c r="G107" s="185">
        <v>835</v>
      </c>
      <c r="H107" s="185">
        <v>11</v>
      </c>
      <c r="I107" s="180">
        <v>2449.2646901643602</v>
      </c>
      <c r="J107" s="180">
        <v>48.573157999999985</v>
      </c>
      <c r="K107" s="180">
        <v>1603.5029768419697</v>
      </c>
      <c r="L107" s="180">
        <v>21.730096999999994</v>
      </c>
      <c r="M107" s="180">
        <v>4123.0709220063682</v>
      </c>
      <c r="N107" s="195">
        <v>1.3238630644076193E-2</v>
      </c>
      <c r="O107" s="163"/>
      <c r="P107" s="125"/>
    </row>
    <row r="108" spans="1:16" x14ac:dyDescent="0.35">
      <c r="A108" s="247" t="s">
        <v>223</v>
      </c>
      <c r="B108" s="162" t="s">
        <v>103</v>
      </c>
      <c r="C108" s="185">
        <v>11</v>
      </c>
      <c r="D108" s="185">
        <v>23</v>
      </c>
      <c r="E108" s="185">
        <v>6</v>
      </c>
      <c r="F108" s="185"/>
      <c r="G108" s="185">
        <v>6</v>
      </c>
      <c r="H108" s="185"/>
      <c r="I108" s="180">
        <v>58.167955004740392</v>
      </c>
      <c r="J108" s="180"/>
      <c r="K108" s="180">
        <v>29.0839775023702</v>
      </c>
      <c r="L108" s="180"/>
      <c r="M108" s="180">
        <v>87.251932507110595</v>
      </c>
      <c r="N108" s="195">
        <v>2.8015431441606378E-4</v>
      </c>
      <c r="O108" s="163"/>
      <c r="P108" s="125"/>
    </row>
    <row r="109" spans="1:16" x14ac:dyDescent="0.35">
      <c r="A109" s="247" t="s">
        <v>222</v>
      </c>
      <c r="B109" s="162" t="s">
        <v>133</v>
      </c>
      <c r="C109" s="185">
        <v>18</v>
      </c>
      <c r="D109" s="185">
        <v>18</v>
      </c>
      <c r="E109" s="185">
        <v>15</v>
      </c>
      <c r="F109" s="185">
        <v>1</v>
      </c>
      <c r="G109" s="185">
        <v>15</v>
      </c>
      <c r="H109" s="185">
        <v>1</v>
      </c>
      <c r="I109" s="180">
        <v>30.794792311600531</v>
      </c>
      <c r="J109" s="180">
        <v>2.0571419999999998</v>
      </c>
      <c r="K109" s="180">
        <v>16.423889232853618</v>
      </c>
      <c r="L109" s="180">
        <v>1.0285709999999999</v>
      </c>
      <c r="M109" s="180">
        <v>50.304394544454169</v>
      </c>
      <c r="N109" s="195">
        <v>1.6152069943629305E-4</v>
      </c>
      <c r="O109" s="163"/>
      <c r="P109" s="125"/>
    </row>
    <row r="110" spans="1:16" ht="23" x14ac:dyDescent="0.35">
      <c r="A110" s="247" t="s">
        <v>221</v>
      </c>
      <c r="B110" s="162" t="s">
        <v>488</v>
      </c>
      <c r="C110" s="185">
        <v>34</v>
      </c>
      <c r="D110" s="185">
        <v>80</v>
      </c>
      <c r="E110" s="185">
        <v>21</v>
      </c>
      <c r="F110" s="185">
        <v>4</v>
      </c>
      <c r="G110" s="185">
        <v>20</v>
      </c>
      <c r="H110" s="185"/>
      <c r="I110" s="180">
        <v>133.88820408207204</v>
      </c>
      <c r="J110" s="180">
        <v>29.901631999999999</v>
      </c>
      <c r="K110" s="180">
        <v>59.50586848092091</v>
      </c>
      <c r="L110" s="180"/>
      <c r="M110" s="180">
        <v>223.295704562993</v>
      </c>
      <c r="N110" s="195">
        <v>7.1697271597736959E-4</v>
      </c>
      <c r="O110" s="163"/>
      <c r="P110" s="125"/>
    </row>
    <row r="111" spans="1:16" x14ac:dyDescent="0.35">
      <c r="A111" s="247" t="s">
        <v>220</v>
      </c>
      <c r="B111" s="162" t="s">
        <v>105</v>
      </c>
      <c r="C111" s="185">
        <v>163</v>
      </c>
      <c r="D111" s="185">
        <v>65</v>
      </c>
      <c r="E111" s="185">
        <v>136</v>
      </c>
      <c r="F111" s="185">
        <v>7</v>
      </c>
      <c r="G111" s="185">
        <v>45</v>
      </c>
      <c r="H111" s="185">
        <v>2</v>
      </c>
      <c r="I111" s="180">
        <v>373.12122125234362</v>
      </c>
      <c r="J111" s="180">
        <v>28.094767999999995</v>
      </c>
      <c r="K111" s="180">
        <v>66.859872016315762</v>
      </c>
      <c r="L111" s="180">
        <v>4.3222719999999999</v>
      </c>
      <c r="M111" s="180">
        <v>472.39813326865959</v>
      </c>
      <c r="N111" s="195">
        <v>1.516807380129079E-3</v>
      </c>
      <c r="O111" s="163"/>
      <c r="P111" s="125"/>
    </row>
    <row r="112" spans="1:16" x14ac:dyDescent="0.35">
      <c r="A112" s="247" t="s">
        <v>219</v>
      </c>
      <c r="B112" s="162" t="s">
        <v>106</v>
      </c>
      <c r="C112" s="185">
        <v>169</v>
      </c>
      <c r="D112" s="185">
        <v>45</v>
      </c>
      <c r="E112" s="185">
        <v>153</v>
      </c>
      <c r="F112" s="185"/>
      <c r="G112" s="185">
        <v>36</v>
      </c>
      <c r="H112" s="185">
        <v>1</v>
      </c>
      <c r="I112" s="180">
        <v>346.26960479670572</v>
      </c>
      <c r="J112" s="180"/>
      <c r="K112" s="180">
        <v>48.726561154027458</v>
      </c>
      <c r="L112" s="180">
        <v>1.038834</v>
      </c>
      <c r="M112" s="180">
        <v>396.03499995073287</v>
      </c>
      <c r="N112" s="195">
        <v>1.2716155471619093E-3</v>
      </c>
      <c r="O112" s="163"/>
      <c r="P112" s="125"/>
    </row>
    <row r="113" spans="1:16" x14ac:dyDescent="0.35">
      <c r="A113" s="247" t="s">
        <v>218</v>
      </c>
      <c r="B113" s="162" t="s">
        <v>453</v>
      </c>
      <c r="C113" s="185">
        <v>519</v>
      </c>
      <c r="D113" s="185">
        <v>425</v>
      </c>
      <c r="E113" s="185">
        <v>448</v>
      </c>
      <c r="F113" s="185">
        <v>4</v>
      </c>
      <c r="G113" s="185">
        <v>319</v>
      </c>
      <c r="H113" s="185">
        <v>7</v>
      </c>
      <c r="I113" s="180">
        <v>1008.0303405104308</v>
      </c>
      <c r="J113" s="180">
        <v>14.816130000000001</v>
      </c>
      <c r="K113" s="180">
        <v>383.57781029463217</v>
      </c>
      <c r="L113" s="180">
        <v>10.58295</v>
      </c>
      <c r="M113" s="180">
        <v>1417.0072308050587</v>
      </c>
      <c r="N113" s="195">
        <v>4.5498211656967522E-3</v>
      </c>
      <c r="O113" s="163"/>
      <c r="P113" s="125"/>
    </row>
    <row r="114" spans="1:16" x14ac:dyDescent="0.35">
      <c r="A114" s="247" t="s">
        <v>217</v>
      </c>
      <c r="B114" s="162" t="s">
        <v>107</v>
      </c>
      <c r="C114" s="185">
        <v>207</v>
      </c>
      <c r="D114" s="185">
        <v>265</v>
      </c>
      <c r="E114" s="185">
        <v>141</v>
      </c>
      <c r="F114" s="185">
        <v>14</v>
      </c>
      <c r="G114" s="185">
        <v>100</v>
      </c>
      <c r="H114" s="185">
        <v>5</v>
      </c>
      <c r="I114" s="180">
        <v>589.00546930474241</v>
      </c>
      <c r="J114" s="180">
        <v>80.585344000000006</v>
      </c>
      <c r="K114" s="180">
        <v>253.21730456091748</v>
      </c>
      <c r="L114" s="180">
        <v>14.39024</v>
      </c>
      <c r="M114" s="180">
        <v>937.19835786565977</v>
      </c>
      <c r="N114" s="195">
        <v>3.0092188892013065E-3</v>
      </c>
      <c r="O114" s="163"/>
      <c r="P114" s="125"/>
    </row>
    <row r="115" spans="1:16" ht="23" x14ac:dyDescent="0.35">
      <c r="A115" s="247" t="s">
        <v>216</v>
      </c>
      <c r="B115" s="162" t="s">
        <v>108</v>
      </c>
      <c r="C115" s="185">
        <v>280</v>
      </c>
      <c r="D115" s="185">
        <v>582</v>
      </c>
      <c r="E115" s="185">
        <v>163</v>
      </c>
      <c r="F115" s="185">
        <v>30</v>
      </c>
      <c r="G115" s="185">
        <v>268</v>
      </c>
      <c r="H115" s="185">
        <v>24</v>
      </c>
      <c r="I115" s="180">
        <v>872.50378652567679</v>
      </c>
      <c r="J115" s="180">
        <v>168.71877000000009</v>
      </c>
      <c r="K115" s="180">
        <v>737.80144755329138</v>
      </c>
      <c r="L115" s="180">
        <v>73.622736000000003</v>
      </c>
      <c r="M115" s="180">
        <v>1852.6467400789741</v>
      </c>
      <c r="N115" s="195">
        <v>5.9486015083927493E-3</v>
      </c>
      <c r="O115" s="163"/>
      <c r="P115" s="125"/>
    </row>
    <row r="116" spans="1:16" ht="23" x14ac:dyDescent="0.35">
      <c r="A116" s="247" t="s">
        <v>215</v>
      </c>
      <c r="B116" s="162" t="s">
        <v>109</v>
      </c>
      <c r="C116" s="185">
        <v>644</v>
      </c>
      <c r="D116" s="185">
        <v>885</v>
      </c>
      <c r="E116" s="185">
        <v>509</v>
      </c>
      <c r="F116" s="185">
        <v>42</v>
      </c>
      <c r="G116" s="185">
        <v>564</v>
      </c>
      <c r="H116" s="185">
        <v>26</v>
      </c>
      <c r="I116" s="180">
        <v>1783.9874690798329</v>
      </c>
      <c r="J116" s="180">
        <v>202.7128560000001</v>
      </c>
      <c r="K116" s="180">
        <v>1007.3174627522013</v>
      </c>
      <c r="L116" s="180">
        <v>61.802699999999987</v>
      </c>
      <c r="M116" s="180">
        <v>3055.8204878320357</v>
      </c>
      <c r="N116" s="195">
        <v>9.8118318889656407E-3</v>
      </c>
      <c r="O116" s="163"/>
      <c r="P116" s="125"/>
    </row>
    <row r="117" spans="1:16" x14ac:dyDescent="0.35">
      <c r="A117" s="247" t="s">
        <v>214</v>
      </c>
      <c r="B117" s="162" t="s">
        <v>110</v>
      </c>
      <c r="C117" s="185">
        <v>1043</v>
      </c>
      <c r="D117" s="185">
        <v>1523</v>
      </c>
      <c r="E117" s="185">
        <v>871</v>
      </c>
      <c r="F117" s="185">
        <v>12</v>
      </c>
      <c r="G117" s="185">
        <v>1055</v>
      </c>
      <c r="H117" s="185">
        <v>17</v>
      </c>
      <c r="I117" s="180">
        <v>2374.0648725546575</v>
      </c>
      <c r="J117" s="180">
        <v>36.734314000000005</v>
      </c>
      <c r="K117" s="180">
        <v>1538.7056740076232</v>
      </c>
      <c r="L117" s="180">
        <v>28.090945999999995</v>
      </c>
      <c r="M117" s="180">
        <v>3977.5958065623477</v>
      </c>
      <c r="N117" s="195">
        <v>1.2771529457194218E-2</v>
      </c>
      <c r="O117" s="163"/>
      <c r="P117" s="125"/>
    </row>
    <row r="118" spans="1:16" x14ac:dyDescent="0.35">
      <c r="A118" s="247" t="s">
        <v>213</v>
      </c>
      <c r="B118" s="162" t="s">
        <v>111</v>
      </c>
      <c r="C118" s="185">
        <v>3227</v>
      </c>
      <c r="D118" s="185">
        <v>5568</v>
      </c>
      <c r="E118" s="185">
        <v>2220</v>
      </c>
      <c r="F118" s="185">
        <v>145</v>
      </c>
      <c r="G118" s="185">
        <v>2515</v>
      </c>
      <c r="H118" s="185">
        <v>91</v>
      </c>
      <c r="I118" s="180">
        <v>9926.5422933575446</v>
      </c>
      <c r="J118" s="180">
        <v>747.07642800000076</v>
      </c>
      <c r="K118" s="180">
        <v>5762.1201155973358</v>
      </c>
      <c r="L118" s="180">
        <v>224.68464000000031</v>
      </c>
      <c r="M118" s="180">
        <v>16660.423476954875</v>
      </c>
      <c r="N118" s="195">
        <v>5.3494397005902528E-2</v>
      </c>
      <c r="O118" s="163"/>
      <c r="P118" s="125"/>
    </row>
    <row r="119" spans="1:16" x14ac:dyDescent="0.35">
      <c r="A119" s="247" t="s">
        <v>212</v>
      </c>
      <c r="B119" s="162" t="s">
        <v>112</v>
      </c>
      <c r="C119" s="185">
        <v>29</v>
      </c>
      <c r="D119" s="185">
        <v>28</v>
      </c>
      <c r="E119" s="185">
        <v>15</v>
      </c>
      <c r="F119" s="185">
        <v>7</v>
      </c>
      <c r="G119" s="185">
        <v>9</v>
      </c>
      <c r="H119" s="185">
        <v>5</v>
      </c>
      <c r="I119" s="180">
        <v>60.89284882170449</v>
      </c>
      <c r="J119" s="180">
        <v>32.933315999999998</v>
      </c>
      <c r="K119" s="180">
        <v>19.029015256782653</v>
      </c>
      <c r="L119" s="180">
        <v>10.133328000000001</v>
      </c>
      <c r="M119" s="180">
        <v>122.98850807848711</v>
      </c>
      <c r="N119" s="195">
        <v>3.9489969072003199E-4</v>
      </c>
      <c r="O119" s="163"/>
      <c r="P119" s="125"/>
    </row>
    <row r="120" spans="1:16" x14ac:dyDescent="0.35">
      <c r="A120" s="247" t="s">
        <v>211</v>
      </c>
      <c r="B120" s="162" t="s">
        <v>113</v>
      </c>
      <c r="C120" s="185">
        <v>39</v>
      </c>
      <c r="D120" s="185">
        <v>50</v>
      </c>
      <c r="E120" s="185">
        <v>24</v>
      </c>
      <c r="F120" s="185">
        <v>5</v>
      </c>
      <c r="G120" s="185">
        <v>32</v>
      </c>
      <c r="H120" s="185">
        <v>3</v>
      </c>
      <c r="I120" s="180">
        <v>86.286660747173471</v>
      </c>
      <c r="J120" s="180">
        <v>20.538449999999997</v>
      </c>
      <c r="K120" s="180">
        <v>64.714995560380089</v>
      </c>
      <c r="L120" s="180">
        <v>6.8461499999999997</v>
      </c>
      <c r="M120" s="180">
        <v>178.38625630755362</v>
      </c>
      <c r="N120" s="195">
        <v>5.7277446929921176E-4</v>
      </c>
      <c r="O120" s="163"/>
      <c r="P120" s="125"/>
    </row>
    <row r="121" spans="1:16" x14ac:dyDescent="0.35">
      <c r="A121" s="247" t="s">
        <v>206</v>
      </c>
      <c r="B121" s="162" t="s">
        <v>114</v>
      </c>
      <c r="C121" s="185">
        <v>74</v>
      </c>
      <c r="D121" s="185">
        <v>162</v>
      </c>
      <c r="E121" s="185">
        <v>32</v>
      </c>
      <c r="F121" s="185">
        <v>6</v>
      </c>
      <c r="G121" s="185">
        <v>33</v>
      </c>
      <c r="H121" s="185">
        <v>3</v>
      </c>
      <c r="I121" s="180">
        <v>227.85376023669923</v>
      </c>
      <c r="J121" s="180">
        <v>45.147805999999996</v>
      </c>
      <c r="K121" s="180">
        <v>113.92688011834962</v>
      </c>
      <c r="L121" s="180">
        <v>12.313037999999999</v>
      </c>
      <c r="M121" s="180">
        <v>399.24148435504884</v>
      </c>
      <c r="N121" s="195">
        <v>1.2819111407856233E-3</v>
      </c>
      <c r="O121" s="163"/>
      <c r="P121" s="125"/>
    </row>
    <row r="122" spans="1:16" x14ac:dyDescent="0.35">
      <c r="A122" s="247" t="s">
        <v>207</v>
      </c>
      <c r="B122" s="162" t="s">
        <v>115</v>
      </c>
      <c r="C122" s="185">
        <v>12</v>
      </c>
      <c r="D122" s="185">
        <v>36</v>
      </c>
      <c r="E122" s="185">
        <v>7</v>
      </c>
      <c r="F122" s="185"/>
      <c r="G122" s="185">
        <v>25</v>
      </c>
      <c r="H122" s="185"/>
      <c r="I122" s="180">
        <v>18.555180214564199</v>
      </c>
      <c r="J122" s="180"/>
      <c r="K122" s="180">
        <v>44.32626384590337</v>
      </c>
      <c r="L122" s="180"/>
      <c r="M122" s="180">
        <v>62.881444060467544</v>
      </c>
      <c r="N122" s="195">
        <v>2.019039274438614E-4</v>
      </c>
      <c r="O122" s="163"/>
      <c r="P122" s="125"/>
    </row>
    <row r="123" spans="1:16" x14ac:dyDescent="0.35">
      <c r="A123" s="247" t="s">
        <v>204</v>
      </c>
      <c r="B123" s="162" t="s">
        <v>116</v>
      </c>
      <c r="C123" s="185">
        <v>545</v>
      </c>
      <c r="D123" s="185">
        <v>811</v>
      </c>
      <c r="E123" s="185">
        <v>372</v>
      </c>
      <c r="F123" s="185">
        <v>8</v>
      </c>
      <c r="G123" s="185">
        <v>443</v>
      </c>
      <c r="H123" s="185">
        <v>10</v>
      </c>
      <c r="I123" s="180">
        <v>1094.8362578038916</v>
      </c>
      <c r="J123" s="180">
        <v>27.074856</v>
      </c>
      <c r="K123" s="180">
        <v>685.39441958829661</v>
      </c>
      <c r="L123" s="180">
        <v>21.434260999999999</v>
      </c>
      <c r="M123" s="180">
        <v>1828.7397943921787</v>
      </c>
      <c r="N123" s="195">
        <v>5.8718394953780765E-3</v>
      </c>
      <c r="O123" s="163"/>
      <c r="P123" s="125"/>
    </row>
    <row r="124" spans="1:16" x14ac:dyDescent="0.35">
      <c r="A124" s="247" t="s">
        <v>203</v>
      </c>
      <c r="B124" s="162" t="s">
        <v>117</v>
      </c>
      <c r="C124" s="185">
        <v>83</v>
      </c>
      <c r="D124" s="185">
        <v>211</v>
      </c>
      <c r="E124" s="185">
        <v>44</v>
      </c>
      <c r="F124" s="185">
        <v>4</v>
      </c>
      <c r="G124" s="185">
        <v>80</v>
      </c>
      <c r="H124" s="185"/>
      <c r="I124" s="180">
        <v>211.22119009395624</v>
      </c>
      <c r="J124" s="180">
        <v>18.471204</v>
      </c>
      <c r="K124" s="180">
        <v>179.0788350796584</v>
      </c>
      <c r="L124" s="180"/>
      <c r="M124" s="180">
        <v>408.77122917361407</v>
      </c>
      <c r="N124" s="195">
        <v>1.3125098799710003E-3</v>
      </c>
      <c r="O124" s="163"/>
      <c r="P124" s="125"/>
    </row>
    <row r="125" spans="1:16" x14ac:dyDescent="0.35">
      <c r="A125" s="247" t="s">
        <v>202</v>
      </c>
      <c r="B125" s="162" t="s">
        <v>118</v>
      </c>
      <c r="C125" s="185">
        <v>1893</v>
      </c>
      <c r="D125" s="185">
        <v>2855</v>
      </c>
      <c r="E125" s="185">
        <v>1268</v>
      </c>
      <c r="F125" s="185">
        <v>66</v>
      </c>
      <c r="G125" s="185">
        <v>1401</v>
      </c>
      <c r="H125" s="185">
        <v>40</v>
      </c>
      <c r="I125" s="180">
        <v>5179.3293438809487</v>
      </c>
      <c r="J125" s="180">
        <v>327.72616000000028</v>
      </c>
      <c r="K125" s="180">
        <v>3137.2471966932289</v>
      </c>
      <c r="L125" s="180">
        <v>94.019799999999918</v>
      </c>
      <c r="M125" s="180">
        <v>8738.322500574197</v>
      </c>
      <c r="N125" s="195">
        <v>2.8057587711255817E-2</v>
      </c>
      <c r="O125" s="163"/>
      <c r="P125" s="125"/>
    </row>
    <row r="126" spans="1:16" x14ac:dyDescent="0.35">
      <c r="A126" s="247" t="s">
        <v>201</v>
      </c>
      <c r="B126" s="162" t="s">
        <v>119</v>
      </c>
      <c r="C126" s="185">
        <v>115</v>
      </c>
      <c r="D126" s="185">
        <v>142</v>
      </c>
      <c r="E126" s="185">
        <v>103</v>
      </c>
      <c r="F126" s="185">
        <v>1</v>
      </c>
      <c r="G126" s="185">
        <v>74</v>
      </c>
      <c r="H126" s="185">
        <v>5</v>
      </c>
      <c r="I126" s="180">
        <v>378.41175644477062</v>
      </c>
      <c r="J126" s="180">
        <v>4.942304</v>
      </c>
      <c r="K126" s="180">
        <v>142.51871346621232</v>
      </c>
      <c r="L126" s="180">
        <v>8.6490320000000001</v>
      </c>
      <c r="M126" s="180">
        <v>534.52180591098193</v>
      </c>
      <c r="N126" s="195">
        <v>1.7162782046486326E-3</v>
      </c>
      <c r="O126" s="163"/>
      <c r="P126" s="125"/>
    </row>
    <row r="127" spans="1:16" x14ac:dyDescent="0.35">
      <c r="A127" s="247" t="s">
        <v>394</v>
      </c>
      <c r="B127" s="162" t="s">
        <v>395</v>
      </c>
      <c r="C127" s="185">
        <v>51</v>
      </c>
      <c r="D127" s="185">
        <v>52</v>
      </c>
      <c r="E127" s="185">
        <v>25</v>
      </c>
      <c r="F127" s="185">
        <v>12</v>
      </c>
      <c r="G127" s="185">
        <v>20</v>
      </c>
      <c r="H127" s="185">
        <v>7</v>
      </c>
      <c r="I127" s="180">
        <v>94.114942127463266</v>
      </c>
      <c r="J127" s="180">
        <v>61.243203999999984</v>
      </c>
      <c r="K127" s="180">
        <v>33.217038397928214</v>
      </c>
      <c r="L127" s="180">
        <v>15.310801000000001</v>
      </c>
      <c r="M127" s="180">
        <v>203.88598552539156</v>
      </c>
      <c r="N127" s="195">
        <v>6.5465069772815195E-4</v>
      </c>
      <c r="O127" s="163"/>
      <c r="P127" s="125"/>
    </row>
    <row r="128" spans="1:16" x14ac:dyDescent="0.35">
      <c r="A128" s="247" t="s">
        <v>261</v>
      </c>
      <c r="B128" s="162" t="s">
        <v>134</v>
      </c>
      <c r="C128" s="185">
        <v>50</v>
      </c>
      <c r="D128" s="185">
        <v>10</v>
      </c>
      <c r="E128" s="185">
        <v>39</v>
      </c>
      <c r="F128" s="185">
        <v>3</v>
      </c>
      <c r="G128" s="185">
        <v>8</v>
      </c>
      <c r="H128" s="185"/>
      <c r="I128" s="180">
        <v>114.90402092493476</v>
      </c>
      <c r="J128" s="180">
        <v>6.6666659999999993</v>
      </c>
      <c r="K128" s="180">
        <v>8.8387708403796008</v>
      </c>
      <c r="L128" s="180"/>
      <c r="M128" s="180">
        <v>130.40945776531439</v>
      </c>
      <c r="N128" s="195">
        <v>4.1872737008587029E-4</v>
      </c>
      <c r="O128" s="163"/>
      <c r="P128" s="125"/>
    </row>
    <row r="129" spans="1:16" x14ac:dyDescent="0.35">
      <c r="A129" s="247" t="s">
        <v>200</v>
      </c>
      <c r="B129" s="162" t="s">
        <v>120</v>
      </c>
      <c r="C129" s="185">
        <v>610</v>
      </c>
      <c r="D129" s="185">
        <v>1068</v>
      </c>
      <c r="E129" s="185">
        <v>533</v>
      </c>
      <c r="F129" s="185">
        <v>4</v>
      </c>
      <c r="G129" s="185">
        <v>644</v>
      </c>
      <c r="H129" s="185">
        <v>4</v>
      </c>
      <c r="I129" s="180">
        <v>1463.3368212363953</v>
      </c>
      <c r="J129" s="180">
        <v>13.370508000000001</v>
      </c>
      <c r="K129" s="180">
        <v>1041.9047123848839</v>
      </c>
      <c r="L129" s="180">
        <v>5.5710449999999998</v>
      </c>
      <c r="M129" s="180">
        <v>2524.1830866212681</v>
      </c>
      <c r="N129" s="195">
        <v>8.1048151229816609E-3</v>
      </c>
      <c r="O129" s="163"/>
      <c r="P129" s="125"/>
    </row>
    <row r="130" spans="1:16" x14ac:dyDescent="0.35">
      <c r="A130" s="247" t="s">
        <v>199</v>
      </c>
      <c r="B130" s="162" t="s">
        <v>121</v>
      </c>
      <c r="C130" s="185">
        <v>1029</v>
      </c>
      <c r="D130" s="185">
        <v>1568</v>
      </c>
      <c r="E130" s="185">
        <v>692</v>
      </c>
      <c r="F130" s="185">
        <v>52</v>
      </c>
      <c r="G130" s="185">
        <v>781</v>
      </c>
      <c r="H130" s="185">
        <v>26</v>
      </c>
      <c r="I130" s="180">
        <v>2612.7266972209391</v>
      </c>
      <c r="J130" s="180">
        <v>257.85799199999985</v>
      </c>
      <c r="K130" s="180">
        <v>1501.7542233786669</v>
      </c>
      <c r="L130" s="180">
        <v>64.464497999999963</v>
      </c>
      <c r="M130" s="180">
        <v>4436.8034105996421</v>
      </c>
      <c r="N130" s="195">
        <v>1.4245983807798169E-2</v>
      </c>
      <c r="O130" s="163"/>
      <c r="P130" s="125"/>
    </row>
    <row r="131" spans="1:16" x14ac:dyDescent="0.35">
      <c r="A131" s="247" t="s">
        <v>198</v>
      </c>
      <c r="B131" s="162" t="s">
        <v>122</v>
      </c>
      <c r="C131" s="185">
        <v>353</v>
      </c>
      <c r="D131" s="185">
        <v>630</v>
      </c>
      <c r="E131" s="185">
        <v>225</v>
      </c>
      <c r="F131" s="185">
        <v>15</v>
      </c>
      <c r="G131" s="185">
        <v>290</v>
      </c>
      <c r="H131" s="185">
        <v>8</v>
      </c>
      <c r="I131" s="180">
        <v>1013.1763418372966</v>
      </c>
      <c r="J131" s="180">
        <v>81.803039999999996</v>
      </c>
      <c r="K131" s="180">
        <v>643.13484771612764</v>
      </c>
      <c r="L131" s="180">
        <v>20.450759999999999</v>
      </c>
      <c r="M131" s="180">
        <v>1758.5649895534243</v>
      </c>
      <c r="N131" s="195">
        <v>5.6465175595312098E-3</v>
      </c>
      <c r="O131" s="163"/>
      <c r="P131" s="125"/>
    </row>
    <row r="132" spans="1:16" ht="23" x14ac:dyDescent="0.35">
      <c r="A132" s="247" t="s">
        <v>197</v>
      </c>
      <c r="B132" s="162" t="s">
        <v>524</v>
      </c>
      <c r="C132" s="185">
        <v>23</v>
      </c>
      <c r="D132" s="185">
        <v>12</v>
      </c>
      <c r="E132" s="185">
        <v>18</v>
      </c>
      <c r="F132" s="185"/>
      <c r="G132" s="185">
        <v>7</v>
      </c>
      <c r="H132" s="185"/>
      <c r="I132" s="180">
        <v>52.222006640571912</v>
      </c>
      <c r="J132" s="180"/>
      <c r="K132" s="180">
        <v>10.444401328114383</v>
      </c>
      <c r="L132" s="180"/>
      <c r="M132" s="180">
        <v>62.666407968686293</v>
      </c>
      <c r="N132" s="195">
        <v>2.01213475242556E-4</v>
      </c>
      <c r="O132" s="163"/>
      <c r="P132" s="125"/>
    </row>
    <row r="133" spans="1:16" x14ac:dyDescent="0.35">
      <c r="A133" s="247" t="s">
        <v>191</v>
      </c>
      <c r="B133" s="162" t="s">
        <v>125</v>
      </c>
      <c r="C133" s="185">
        <v>1189</v>
      </c>
      <c r="D133" s="185">
        <v>2315</v>
      </c>
      <c r="E133" s="185">
        <v>827</v>
      </c>
      <c r="F133" s="185">
        <v>35</v>
      </c>
      <c r="G133" s="185">
        <v>1058</v>
      </c>
      <c r="H133" s="185">
        <v>19</v>
      </c>
      <c r="I133" s="180">
        <v>3534.0194325253233</v>
      </c>
      <c r="J133" s="180">
        <v>165.21804000000006</v>
      </c>
      <c r="K133" s="180">
        <v>2397.692033342395</v>
      </c>
      <c r="L133" s="180">
        <v>44.058143999999977</v>
      </c>
      <c r="M133" s="180">
        <v>6140.9876498677741</v>
      </c>
      <c r="N133" s="195">
        <v>1.9717892033463157E-2</v>
      </c>
      <c r="O133" s="163"/>
      <c r="P133" s="125"/>
    </row>
    <row r="134" spans="1:16" x14ac:dyDescent="0.35">
      <c r="A134" s="247" t="s">
        <v>190</v>
      </c>
      <c r="B134" s="162" t="s">
        <v>126</v>
      </c>
      <c r="C134" s="185">
        <v>134</v>
      </c>
      <c r="D134" s="185">
        <v>105</v>
      </c>
      <c r="E134" s="185">
        <v>106</v>
      </c>
      <c r="F134" s="185">
        <v>9</v>
      </c>
      <c r="G134" s="185">
        <v>65</v>
      </c>
      <c r="H134" s="185"/>
      <c r="I134" s="180">
        <v>297.22101790146837</v>
      </c>
      <c r="J134" s="180">
        <v>31.715627999999999</v>
      </c>
      <c r="K134" s="180">
        <v>98.695528845144096</v>
      </c>
      <c r="L134" s="180"/>
      <c r="M134" s="180">
        <v>427.63217474661167</v>
      </c>
      <c r="N134" s="195">
        <v>1.3730698598409157E-3</v>
      </c>
      <c r="O134" s="163"/>
      <c r="P134" s="125"/>
    </row>
    <row r="135" spans="1:16" x14ac:dyDescent="0.35">
      <c r="A135" s="247" t="s">
        <v>185</v>
      </c>
      <c r="B135" s="162" t="s">
        <v>127</v>
      </c>
      <c r="C135" s="185">
        <v>668</v>
      </c>
      <c r="D135" s="185">
        <v>858</v>
      </c>
      <c r="E135" s="185">
        <v>468</v>
      </c>
      <c r="F135" s="185">
        <v>12</v>
      </c>
      <c r="G135" s="185">
        <v>467</v>
      </c>
      <c r="H135" s="185">
        <v>13</v>
      </c>
      <c r="I135" s="180">
        <v>1670.3536450421345</v>
      </c>
      <c r="J135" s="180">
        <v>53.056289999999983</v>
      </c>
      <c r="K135" s="180">
        <v>855.57808841471115</v>
      </c>
      <c r="L135" s="180">
        <v>31.581124999999993</v>
      </c>
      <c r="M135" s="180">
        <v>2610.5691484568483</v>
      </c>
      <c r="N135" s="195">
        <v>8.3821892421930416E-3</v>
      </c>
      <c r="O135" s="163"/>
      <c r="P135" s="125"/>
    </row>
    <row r="136" spans="1:16" ht="23" x14ac:dyDescent="0.35">
      <c r="A136" s="247" t="s">
        <v>183</v>
      </c>
      <c r="B136" s="162" t="s">
        <v>128</v>
      </c>
      <c r="C136" s="185">
        <v>616</v>
      </c>
      <c r="D136" s="185">
        <v>858</v>
      </c>
      <c r="E136" s="185">
        <v>410</v>
      </c>
      <c r="F136" s="185">
        <v>22</v>
      </c>
      <c r="G136" s="185">
        <v>447</v>
      </c>
      <c r="H136" s="185">
        <v>7</v>
      </c>
      <c r="I136" s="180">
        <v>1644.72739837361</v>
      </c>
      <c r="J136" s="180">
        <v>100.87247999999997</v>
      </c>
      <c r="K136" s="180">
        <v>866.5348931399667</v>
      </c>
      <c r="L136" s="180">
        <v>16.391778000000002</v>
      </c>
      <c r="M136" s="180">
        <v>2628.5265495135636</v>
      </c>
      <c r="N136" s="195">
        <v>8.4398480611690956E-3</v>
      </c>
      <c r="O136" s="163"/>
      <c r="P136" s="125"/>
    </row>
    <row r="137" spans="1:16" x14ac:dyDescent="0.35">
      <c r="A137" s="40" t="s">
        <v>13</v>
      </c>
      <c r="B137" s="40"/>
      <c r="C137" s="186">
        <v>71425</v>
      </c>
      <c r="D137" s="186">
        <v>103113</v>
      </c>
      <c r="E137" s="186">
        <v>50672</v>
      </c>
      <c r="F137" s="186">
        <v>2488</v>
      </c>
      <c r="G137" s="186">
        <v>51123</v>
      </c>
      <c r="H137" s="186">
        <v>1498</v>
      </c>
      <c r="I137" s="182">
        <v>191833.7130196958</v>
      </c>
      <c r="J137" s="182">
        <v>11965.828259999998</v>
      </c>
      <c r="K137" s="182">
        <v>104141.57058547027</v>
      </c>
      <c r="L137" s="182">
        <v>3501.2897589999998</v>
      </c>
      <c r="M137" s="182">
        <v>311442.40162416594</v>
      </c>
      <c r="N137" s="196">
        <v>1</v>
      </c>
      <c r="O137" s="163"/>
      <c r="P137" s="125"/>
    </row>
    <row r="139" spans="1:16" x14ac:dyDescent="0.35">
      <c r="A139" t="s">
        <v>448</v>
      </c>
    </row>
    <row r="140" spans="1:16" x14ac:dyDescent="0.35">
      <c r="A140" s="146" t="s">
        <v>506</v>
      </c>
    </row>
    <row r="151" spans="10:10" x14ac:dyDescent="0.35">
      <c r="J151" s="5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7">
    <tabColor theme="9" tint="0.59999389629810485"/>
  </sheetPr>
  <dimension ref="A1:J140"/>
  <sheetViews>
    <sheetView zoomScale="90" zoomScaleNormal="90" workbookViewId="0">
      <pane xSplit="1" ySplit="5" topLeftCell="B105" activePane="bottomRight" state="frozen"/>
      <selection pane="topRight" activeCell="B1" sqref="B1"/>
      <selection pane="bottomLeft" activeCell="A7" sqref="A7"/>
      <selection pane="bottomRight"/>
    </sheetView>
  </sheetViews>
  <sheetFormatPr defaultRowHeight="14.5" x14ac:dyDescent="0.35"/>
  <cols>
    <col min="1" max="1" width="12" customWidth="1"/>
    <col min="2" max="2" width="38" customWidth="1"/>
    <col min="3" max="10" width="17.453125" customWidth="1"/>
  </cols>
  <sheetData>
    <row r="1" spans="1:10" ht="19.5" x14ac:dyDescent="0.45">
      <c r="A1" s="3" t="s">
        <v>595</v>
      </c>
      <c r="B1" s="3"/>
    </row>
    <row r="2" spans="1:10" ht="15" customHeight="1" x14ac:dyDescent="0.35">
      <c r="A2" s="9" t="s">
        <v>593</v>
      </c>
      <c r="B2" s="1"/>
      <c r="C2" s="146"/>
      <c r="D2" s="2"/>
      <c r="E2" s="2"/>
      <c r="F2" s="2"/>
      <c r="G2" s="2"/>
      <c r="H2" s="2"/>
      <c r="I2" s="2"/>
      <c r="J2" s="2"/>
    </row>
    <row r="3" spans="1:10" x14ac:dyDescent="0.35">
      <c r="A3" s="147"/>
      <c r="B3" s="111"/>
      <c r="C3" s="149" t="s">
        <v>12</v>
      </c>
      <c r="D3" s="149"/>
      <c r="E3" s="149"/>
      <c r="F3" s="149"/>
      <c r="G3" s="149"/>
      <c r="H3" s="149"/>
      <c r="I3" s="149"/>
      <c r="J3" s="149"/>
    </row>
    <row r="4" spans="1:10" ht="15" customHeight="1" x14ac:dyDescent="0.35">
      <c r="A4" s="148"/>
      <c r="B4" s="112"/>
      <c r="C4" s="309" t="s">
        <v>14</v>
      </c>
      <c r="D4" s="309"/>
      <c r="E4" s="309"/>
      <c r="F4" s="309"/>
      <c r="G4" s="309"/>
      <c r="H4" s="309"/>
      <c r="I4" s="309"/>
      <c r="J4" s="309"/>
    </row>
    <row r="5" spans="1:10" ht="23" x14ac:dyDescent="0.35">
      <c r="A5" s="126" t="s">
        <v>12</v>
      </c>
      <c r="B5" s="113"/>
      <c r="C5" s="126" t="s">
        <v>418</v>
      </c>
      <c r="D5" s="126" t="s">
        <v>419</v>
      </c>
      <c r="E5" s="126" t="s">
        <v>420</v>
      </c>
      <c r="F5" s="126" t="s">
        <v>421</v>
      </c>
      <c r="G5" s="126" t="s">
        <v>422</v>
      </c>
      <c r="H5" s="126" t="s">
        <v>423</v>
      </c>
      <c r="I5" s="126" t="s">
        <v>424</v>
      </c>
      <c r="J5" s="126" t="s">
        <v>425</v>
      </c>
    </row>
    <row r="6" spans="1:10" x14ac:dyDescent="0.35">
      <c r="A6" s="162" t="s">
        <v>289</v>
      </c>
      <c r="B6" s="110" t="s">
        <v>49</v>
      </c>
      <c r="C6" s="185">
        <v>31</v>
      </c>
      <c r="D6" s="185">
        <v>28</v>
      </c>
      <c r="E6" s="197">
        <v>0.90322580645161288</v>
      </c>
      <c r="F6" s="198">
        <v>1.1071428571428572</v>
      </c>
      <c r="G6" s="198">
        <v>4.7068960000000004</v>
      </c>
      <c r="H6" s="185">
        <v>546</v>
      </c>
      <c r="I6" s="185">
        <v>604.5</v>
      </c>
      <c r="J6" s="195">
        <v>3.854093672715288E-4</v>
      </c>
    </row>
    <row r="7" spans="1:10" x14ac:dyDescent="0.35">
      <c r="A7" s="162" t="s">
        <v>223</v>
      </c>
      <c r="B7" s="110" t="s">
        <v>103</v>
      </c>
      <c r="C7" s="185">
        <v>9</v>
      </c>
      <c r="D7" s="185">
        <v>7</v>
      </c>
      <c r="E7" s="197">
        <v>0.77777777777777779</v>
      </c>
      <c r="F7" s="198">
        <v>1.2857142857142858</v>
      </c>
      <c r="G7" s="198">
        <v>4.4285709999999998</v>
      </c>
      <c r="H7" s="185">
        <v>124</v>
      </c>
      <c r="I7" s="185">
        <v>159.42857142857144</v>
      </c>
      <c r="J7" s="195">
        <v>1.0164642653315047E-4</v>
      </c>
    </row>
    <row r="8" spans="1:10" x14ac:dyDescent="0.35">
      <c r="A8" s="162" t="s">
        <v>191</v>
      </c>
      <c r="B8" s="110" t="s">
        <v>125</v>
      </c>
      <c r="C8" s="185">
        <v>2609</v>
      </c>
      <c r="D8" s="185">
        <v>886</v>
      </c>
      <c r="E8" s="197">
        <v>0.3395937140666922</v>
      </c>
      <c r="F8" s="198">
        <v>2.1638002518753763</v>
      </c>
      <c r="G8" s="198">
        <v>4.2094132499999999</v>
      </c>
      <c r="H8" s="185">
        <v>14935</v>
      </c>
      <c r="I8" s="185">
        <v>32316.356761758743</v>
      </c>
      <c r="J8" s="195">
        <v>2.0603848820629329E-2</v>
      </c>
    </row>
    <row r="9" spans="1:10" x14ac:dyDescent="0.35">
      <c r="A9" s="162" t="s">
        <v>231</v>
      </c>
      <c r="B9" s="110" t="s">
        <v>97</v>
      </c>
      <c r="C9" s="185">
        <v>1404</v>
      </c>
      <c r="D9" s="185">
        <v>399</v>
      </c>
      <c r="E9" s="197">
        <v>0.28418803418803418</v>
      </c>
      <c r="F9" s="198">
        <v>2.2768278388278391</v>
      </c>
      <c r="G9" s="198">
        <v>4.3784285000000001</v>
      </c>
      <c r="H9" s="185">
        <v>7023</v>
      </c>
      <c r="I9" s="185">
        <v>15990.161912087915</v>
      </c>
      <c r="J9" s="195">
        <v>1.019480262217883E-2</v>
      </c>
    </row>
    <row r="10" spans="1:10" x14ac:dyDescent="0.35">
      <c r="A10" s="162" t="s">
        <v>204</v>
      </c>
      <c r="B10" s="110" t="s">
        <v>116</v>
      </c>
      <c r="C10" s="185">
        <v>1193</v>
      </c>
      <c r="D10" s="185">
        <v>337</v>
      </c>
      <c r="E10" s="197">
        <v>0.28248113998323554</v>
      </c>
      <c r="F10" s="198">
        <v>2.280309903005628</v>
      </c>
      <c r="G10" s="198">
        <v>4.2741224999999998</v>
      </c>
      <c r="H10" s="185">
        <v>5847</v>
      </c>
      <c r="I10" s="185">
        <v>13332.972002873907</v>
      </c>
      <c r="J10" s="195">
        <v>8.5006655144361301E-3</v>
      </c>
    </row>
    <row r="11" spans="1:10" x14ac:dyDescent="0.35">
      <c r="A11" s="162" t="s">
        <v>286</v>
      </c>
      <c r="B11" s="110" t="s">
        <v>55</v>
      </c>
      <c r="C11" s="185">
        <v>250</v>
      </c>
      <c r="D11" s="185">
        <v>161</v>
      </c>
      <c r="E11" s="197">
        <v>0.64400000000000002</v>
      </c>
      <c r="F11" s="198">
        <v>1.5428114285714285</v>
      </c>
      <c r="G11" s="198">
        <v>4.2406827500000004</v>
      </c>
      <c r="H11" s="185">
        <v>2731</v>
      </c>
      <c r="I11" s="185">
        <v>4213.4180114285709</v>
      </c>
      <c r="J11" s="195">
        <v>2.6863370882301884E-3</v>
      </c>
    </row>
    <row r="12" spans="1:10" x14ac:dyDescent="0.35">
      <c r="A12" s="162" t="s">
        <v>267</v>
      </c>
      <c r="B12" s="110" t="s">
        <v>69</v>
      </c>
      <c r="C12" s="185">
        <v>24</v>
      </c>
      <c r="D12" s="185">
        <v>13</v>
      </c>
      <c r="E12" s="197">
        <v>0.54166666666666663</v>
      </c>
      <c r="F12" s="198">
        <v>1.7515714285714286</v>
      </c>
      <c r="G12" s="198">
        <v>4.6346147499999999</v>
      </c>
      <c r="H12" s="185">
        <v>241</v>
      </c>
      <c r="I12" s="185">
        <v>422.1287142857143</v>
      </c>
      <c r="J12" s="195">
        <v>2.6913541882547744E-4</v>
      </c>
    </row>
    <row r="13" spans="1:10" x14ac:dyDescent="0.35">
      <c r="A13" s="162" t="s">
        <v>268</v>
      </c>
      <c r="B13" s="110" t="s">
        <v>68</v>
      </c>
      <c r="C13" s="185">
        <v>21</v>
      </c>
      <c r="D13" s="185">
        <v>19</v>
      </c>
      <c r="E13" s="197">
        <v>0.90476190476190477</v>
      </c>
      <c r="F13" s="198">
        <v>1.1052631578947369</v>
      </c>
      <c r="G13" s="198">
        <v>4.3289470000000003</v>
      </c>
      <c r="H13" s="185">
        <v>329</v>
      </c>
      <c r="I13" s="185">
        <v>363.63157894736844</v>
      </c>
      <c r="J13" s="195">
        <v>2.3183956453606659E-4</v>
      </c>
    </row>
    <row r="14" spans="1:10" x14ac:dyDescent="0.35">
      <c r="A14" s="162" t="s">
        <v>331</v>
      </c>
      <c r="B14" s="110" t="s">
        <v>16</v>
      </c>
      <c r="C14" s="185">
        <v>15</v>
      </c>
      <c r="D14" s="185">
        <v>15</v>
      </c>
      <c r="E14" s="197">
        <v>1</v>
      </c>
      <c r="F14" s="198">
        <v>1</v>
      </c>
      <c r="G14" s="198">
        <v>4.399999750000001</v>
      </c>
      <c r="H14" s="185">
        <v>264</v>
      </c>
      <c r="I14" s="185">
        <v>264</v>
      </c>
      <c r="J14" s="195">
        <v>1.6831773856027066E-4</v>
      </c>
    </row>
    <row r="15" spans="1:10" x14ac:dyDescent="0.35">
      <c r="A15" s="162" t="s">
        <v>248</v>
      </c>
      <c r="B15" s="110" t="s">
        <v>81</v>
      </c>
      <c r="C15" s="185">
        <v>93</v>
      </c>
      <c r="D15" s="185">
        <v>52</v>
      </c>
      <c r="E15" s="197">
        <v>0.55913978494623651</v>
      </c>
      <c r="F15" s="198">
        <v>1.715926267281106</v>
      </c>
      <c r="G15" s="198">
        <v>4.1923074999999992</v>
      </c>
      <c r="H15" s="185">
        <v>872</v>
      </c>
      <c r="I15" s="185">
        <v>1496.2877050691245</v>
      </c>
      <c r="J15" s="195">
        <v>9.5398394982110701E-4</v>
      </c>
    </row>
    <row r="16" spans="1:10" x14ac:dyDescent="0.35">
      <c r="A16" s="162" t="s">
        <v>332</v>
      </c>
      <c r="B16" s="110" t="s">
        <v>15</v>
      </c>
      <c r="C16" s="185">
        <v>291</v>
      </c>
      <c r="D16" s="185">
        <v>166</v>
      </c>
      <c r="E16" s="197">
        <v>0.57044673539518898</v>
      </c>
      <c r="F16" s="198">
        <v>1.6928600883652429</v>
      </c>
      <c r="G16" s="198">
        <v>4.5568857500000002</v>
      </c>
      <c r="H16" s="185">
        <v>3044</v>
      </c>
      <c r="I16" s="185">
        <v>5153.0661089837995</v>
      </c>
      <c r="J16" s="195">
        <v>3.2854258868019936E-3</v>
      </c>
    </row>
    <row r="17" spans="1:10" x14ac:dyDescent="0.35">
      <c r="A17" s="162" t="s">
        <v>214</v>
      </c>
      <c r="B17" s="110" t="s">
        <v>110</v>
      </c>
      <c r="C17" s="185">
        <v>2913</v>
      </c>
      <c r="D17" s="185">
        <v>738</v>
      </c>
      <c r="E17" s="197">
        <v>0.25334706488156539</v>
      </c>
      <c r="F17" s="198">
        <v>2.3397434162130355</v>
      </c>
      <c r="G17" s="198">
        <v>4.2699052500000008</v>
      </c>
      <c r="H17" s="185">
        <v>12656</v>
      </c>
      <c r="I17" s="185">
        <v>29611.792675592176</v>
      </c>
      <c r="J17" s="195">
        <v>1.8879507491936596E-2</v>
      </c>
    </row>
    <row r="18" spans="1:10" x14ac:dyDescent="0.35">
      <c r="A18" s="162" t="s">
        <v>190</v>
      </c>
      <c r="B18" s="110" t="s">
        <v>126</v>
      </c>
      <c r="C18" s="185">
        <v>126</v>
      </c>
      <c r="D18" s="185">
        <v>78</v>
      </c>
      <c r="E18" s="197">
        <v>0.61904761904761907</v>
      </c>
      <c r="F18" s="198">
        <v>1.5937142857142856</v>
      </c>
      <c r="G18" s="198">
        <v>4.5443035000000007</v>
      </c>
      <c r="H18" s="185">
        <v>1436</v>
      </c>
      <c r="I18" s="185">
        <v>2288.5737142857142</v>
      </c>
      <c r="J18" s="195">
        <v>1.4591195155948878E-3</v>
      </c>
    </row>
    <row r="19" spans="1:10" ht="23" x14ac:dyDescent="0.35">
      <c r="A19" s="162" t="s">
        <v>197</v>
      </c>
      <c r="B19" s="110" t="s">
        <v>123</v>
      </c>
      <c r="C19" s="185">
        <v>13</v>
      </c>
      <c r="D19" s="185">
        <v>12</v>
      </c>
      <c r="E19" s="197">
        <v>0.92307692307692313</v>
      </c>
      <c r="F19" s="198">
        <v>1.0833333333333335</v>
      </c>
      <c r="G19" s="198">
        <v>4.4166662499999996</v>
      </c>
      <c r="H19" s="185">
        <v>212</v>
      </c>
      <c r="I19" s="185">
        <v>229.66666666666669</v>
      </c>
      <c r="J19" s="195">
        <v>1.464279316515486E-4</v>
      </c>
    </row>
    <row r="20" spans="1:10" x14ac:dyDescent="0.35">
      <c r="A20" s="162" t="s">
        <v>211</v>
      </c>
      <c r="B20" s="110" t="s">
        <v>113</v>
      </c>
      <c r="C20" s="185">
        <v>71</v>
      </c>
      <c r="D20" s="185">
        <v>40</v>
      </c>
      <c r="E20" s="197">
        <v>0.56338028169014087</v>
      </c>
      <c r="F20" s="198">
        <v>1.7072756539235412</v>
      </c>
      <c r="G20" s="198">
        <v>4.34375</v>
      </c>
      <c r="H20" s="185">
        <v>695</v>
      </c>
      <c r="I20" s="185">
        <v>1186.5565794768611</v>
      </c>
      <c r="J20" s="195">
        <v>7.5650954595210345E-4</v>
      </c>
    </row>
    <row r="21" spans="1:10" x14ac:dyDescent="0.35">
      <c r="A21" s="162" t="s">
        <v>303</v>
      </c>
      <c r="B21" s="110" t="s">
        <v>37</v>
      </c>
      <c r="C21" s="185">
        <v>91</v>
      </c>
      <c r="D21" s="185">
        <v>55</v>
      </c>
      <c r="E21" s="197">
        <v>0.60439560439560436</v>
      </c>
      <c r="F21" s="198">
        <v>1.6236043956043957</v>
      </c>
      <c r="G21" s="198">
        <v>4.4727267499999996</v>
      </c>
      <c r="H21" s="185">
        <v>984</v>
      </c>
      <c r="I21" s="185">
        <v>1597.6267252747255</v>
      </c>
      <c r="J21" s="195">
        <v>1.018594384324593E-3</v>
      </c>
    </row>
    <row r="22" spans="1:10" x14ac:dyDescent="0.35">
      <c r="A22" s="162" t="s">
        <v>206</v>
      </c>
      <c r="B22" s="110" t="s">
        <v>114</v>
      </c>
      <c r="C22" s="185">
        <v>101</v>
      </c>
      <c r="D22" s="185">
        <v>58</v>
      </c>
      <c r="E22" s="197">
        <v>0.57425742574257421</v>
      </c>
      <c r="F22" s="198">
        <v>1.6850862800565771</v>
      </c>
      <c r="G22" s="198">
        <v>4.5974572500000006</v>
      </c>
      <c r="H22" s="185">
        <v>1085</v>
      </c>
      <c r="I22" s="185">
        <v>1828.3186138613862</v>
      </c>
      <c r="J22" s="195">
        <v>1.1656759638363531E-3</v>
      </c>
    </row>
    <row r="23" spans="1:10" x14ac:dyDescent="0.35">
      <c r="A23" s="162" t="s">
        <v>271</v>
      </c>
      <c r="B23" s="110" t="s">
        <v>66</v>
      </c>
      <c r="C23" s="185">
        <v>103</v>
      </c>
      <c r="D23" s="185">
        <v>59</v>
      </c>
      <c r="E23" s="197">
        <v>0.57281553398058249</v>
      </c>
      <c r="F23" s="198">
        <v>1.6880277392510401</v>
      </c>
      <c r="G23" s="198">
        <v>4.5211860000000001</v>
      </c>
      <c r="H23" s="185">
        <v>1067</v>
      </c>
      <c r="I23" s="185">
        <v>1801.1255977808598</v>
      </c>
      <c r="J23" s="195">
        <v>1.1483385889450378E-3</v>
      </c>
    </row>
    <row r="24" spans="1:10" x14ac:dyDescent="0.35">
      <c r="A24" s="162" t="s">
        <v>254</v>
      </c>
      <c r="B24" s="110" t="s">
        <v>78</v>
      </c>
      <c r="C24" s="185">
        <v>20</v>
      </c>
      <c r="D24" s="185">
        <v>15</v>
      </c>
      <c r="E24" s="197">
        <v>0.75</v>
      </c>
      <c r="F24" s="198">
        <v>1.3333333333333333</v>
      </c>
      <c r="G24" s="198">
        <v>4.9333330000000011</v>
      </c>
      <c r="H24" s="185">
        <v>296</v>
      </c>
      <c r="I24" s="185">
        <v>394.66666666666663</v>
      </c>
      <c r="J24" s="195">
        <v>2.5162651825171771E-4</v>
      </c>
    </row>
    <row r="25" spans="1:10" x14ac:dyDescent="0.35">
      <c r="A25" s="162" t="s">
        <v>258</v>
      </c>
      <c r="B25" s="110" t="s">
        <v>76</v>
      </c>
      <c r="C25" s="185">
        <v>186</v>
      </c>
      <c r="D25" s="185">
        <v>53</v>
      </c>
      <c r="E25" s="197">
        <v>0.28494623655913981</v>
      </c>
      <c r="F25" s="198">
        <v>2.2752811059907834</v>
      </c>
      <c r="G25" s="198">
        <v>4.3867922500000001</v>
      </c>
      <c r="H25" s="185">
        <v>930</v>
      </c>
      <c r="I25" s="185">
        <v>2116.0114285714285</v>
      </c>
      <c r="J25" s="195">
        <v>1.3490994637304187E-3</v>
      </c>
    </row>
    <row r="26" spans="1:10" x14ac:dyDescent="0.35">
      <c r="A26" s="162" t="s">
        <v>238</v>
      </c>
      <c r="B26" s="110" t="s">
        <v>91</v>
      </c>
      <c r="C26" s="185">
        <v>157</v>
      </c>
      <c r="D26" s="185">
        <v>72</v>
      </c>
      <c r="E26" s="197">
        <v>0.45859872611464969</v>
      </c>
      <c r="F26" s="198">
        <v>1.9210300272975434</v>
      </c>
      <c r="G26" s="198">
        <v>4.5208329999999997</v>
      </c>
      <c r="H26" s="185">
        <v>1302</v>
      </c>
      <c r="I26" s="185">
        <v>2501.1810955414016</v>
      </c>
      <c r="J26" s="195">
        <v>1.5946710065576856E-3</v>
      </c>
    </row>
    <row r="27" spans="1:10" x14ac:dyDescent="0.35">
      <c r="A27" s="162" t="s">
        <v>245</v>
      </c>
      <c r="B27" s="110" t="s">
        <v>84</v>
      </c>
      <c r="C27" s="185">
        <v>49</v>
      </c>
      <c r="D27" s="185">
        <v>17</v>
      </c>
      <c r="E27" s="197">
        <v>0.34693877551020408</v>
      </c>
      <c r="F27" s="198">
        <v>2.1488163265306124</v>
      </c>
      <c r="G27" s="198">
        <v>4.4999994999999995</v>
      </c>
      <c r="H27" s="185">
        <v>306</v>
      </c>
      <c r="I27" s="185">
        <v>657.53779591836735</v>
      </c>
      <c r="J27" s="195">
        <v>4.1922452585941043E-4</v>
      </c>
    </row>
    <row r="28" spans="1:10" x14ac:dyDescent="0.35">
      <c r="A28" s="162" t="s">
        <v>235</v>
      </c>
      <c r="B28" s="110" t="s">
        <v>94</v>
      </c>
      <c r="C28" s="185">
        <v>30</v>
      </c>
      <c r="D28" s="185">
        <v>9</v>
      </c>
      <c r="E28" s="197">
        <v>0.3</v>
      </c>
      <c r="F28" s="198">
        <v>2.2445714285714287</v>
      </c>
      <c r="G28" s="198">
        <v>4.555555</v>
      </c>
      <c r="H28" s="185">
        <v>164</v>
      </c>
      <c r="I28" s="185">
        <v>368.10971428571429</v>
      </c>
      <c r="J28" s="195">
        <v>2.3469467670696509E-4</v>
      </c>
    </row>
    <row r="29" spans="1:10" x14ac:dyDescent="0.35">
      <c r="A29" s="162" t="s">
        <v>309</v>
      </c>
      <c r="B29" s="110" t="s">
        <v>67</v>
      </c>
      <c r="C29" s="185">
        <v>46</v>
      </c>
      <c r="D29" s="185">
        <v>29</v>
      </c>
      <c r="E29" s="197">
        <v>0.63043478260869568</v>
      </c>
      <c r="F29" s="198">
        <v>1.5704844720496896</v>
      </c>
      <c r="G29" s="198">
        <v>4.4396547499999999</v>
      </c>
      <c r="H29" s="185">
        <v>515</v>
      </c>
      <c r="I29" s="185">
        <v>808.79950310559013</v>
      </c>
      <c r="J29" s="195">
        <v>5.1566402769471034E-4</v>
      </c>
    </row>
    <row r="30" spans="1:10" x14ac:dyDescent="0.35">
      <c r="A30" s="162" t="s">
        <v>310</v>
      </c>
      <c r="B30" s="110" t="s">
        <v>29</v>
      </c>
      <c r="C30" s="185">
        <v>38</v>
      </c>
      <c r="D30" s="185">
        <v>29</v>
      </c>
      <c r="E30" s="197">
        <v>0.76315789473684215</v>
      </c>
      <c r="F30" s="198">
        <v>1.3103448275862069</v>
      </c>
      <c r="G30" s="198">
        <v>4.5775854999999996</v>
      </c>
      <c r="H30" s="185">
        <v>531</v>
      </c>
      <c r="I30" s="185">
        <v>695.79310344827582</v>
      </c>
      <c r="J30" s="195">
        <v>4.4361485484184184E-4</v>
      </c>
    </row>
    <row r="31" spans="1:10" x14ac:dyDescent="0.35">
      <c r="A31" s="162" t="s">
        <v>314</v>
      </c>
      <c r="B31" s="110" t="s">
        <v>28</v>
      </c>
      <c r="C31" s="185">
        <v>5035</v>
      </c>
      <c r="D31" s="185">
        <v>1486</v>
      </c>
      <c r="E31" s="197">
        <v>0.29513406156901689</v>
      </c>
      <c r="F31" s="198">
        <v>2.2544979429706342</v>
      </c>
      <c r="G31" s="198">
        <v>4.1882524999999999</v>
      </c>
      <c r="H31" s="185">
        <v>25029</v>
      </c>
      <c r="I31" s="185">
        <v>56427.829014612005</v>
      </c>
      <c r="J31" s="195">
        <v>3.5976532468201206E-2</v>
      </c>
    </row>
    <row r="32" spans="1:10" x14ac:dyDescent="0.35">
      <c r="A32" s="162" t="s">
        <v>306</v>
      </c>
      <c r="B32" s="110" t="s">
        <v>489</v>
      </c>
      <c r="C32" s="185">
        <v>367</v>
      </c>
      <c r="D32" s="185">
        <v>182</v>
      </c>
      <c r="E32" s="197">
        <v>0.49591280653950953</v>
      </c>
      <c r="F32" s="198">
        <v>1.844909303230829</v>
      </c>
      <c r="G32" s="198">
        <v>4.4508192500000003</v>
      </c>
      <c r="H32" s="185">
        <v>3258</v>
      </c>
      <c r="I32" s="185">
        <v>6010.7145099260406</v>
      </c>
      <c r="J32" s="195">
        <v>3.832234369099078E-3</v>
      </c>
    </row>
    <row r="33" spans="1:10" x14ac:dyDescent="0.35">
      <c r="A33" s="162" t="s">
        <v>259</v>
      </c>
      <c r="B33" s="110" t="s">
        <v>456</v>
      </c>
      <c r="C33" s="185">
        <v>1680</v>
      </c>
      <c r="D33" s="185">
        <v>726</v>
      </c>
      <c r="E33" s="197">
        <v>0.43214285714285716</v>
      </c>
      <c r="F33" s="198">
        <v>1.9750000000000001</v>
      </c>
      <c r="G33" s="198">
        <v>4.3947542500000001</v>
      </c>
      <c r="H33" s="185">
        <v>12903</v>
      </c>
      <c r="I33" s="185">
        <v>25483.425000000003</v>
      </c>
      <c r="J33" s="195">
        <v>1.6247395707463128E-2</v>
      </c>
    </row>
    <row r="34" spans="1:10" x14ac:dyDescent="0.35">
      <c r="A34" s="162" t="s">
        <v>200</v>
      </c>
      <c r="B34" s="110" t="s">
        <v>120</v>
      </c>
      <c r="C34" s="185">
        <v>1404</v>
      </c>
      <c r="D34" s="185">
        <v>473</v>
      </c>
      <c r="E34" s="197">
        <v>0.3368945868945869</v>
      </c>
      <c r="F34" s="198">
        <v>2.1693064713064714</v>
      </c>
      <c r="G34" s="198">
        <v>4.2558012500000002</v>
      </c>
      <c r="H34" s="185">
        <v>8069</v>
      </c>
      <c r="I34" s="185">
        <v>17504.133916971918</v>
      </c>
      <c r="J34" s="195">
        <v>1.1160061501366839E-2</v>
      </c>
    </row>
    <row r="35" spans="1:10" x14ac:dyDescent="0.35">
      <c r="A35" s="162" t="s">
        <v>220</v>
      </c>
      <c r="B35" s="110" t="s">
        <v>105</v>
      </c>
      <c r="C35" s="185">
        <v>220</v>
      </c>
      <c r="D35" s="185">
        <v>82</v>
      </c>
      <c r="E35" s="197">
        <v>0.37272727272727274</v>
      </c>
      <c r="F35" s="198">
        <v>2.0962077922077924</v>
      </c>
      <c r="G35" s="198">
        <v>4.4156622499999996</v>
      </c>
      <c r="H35" s="185">
        <v>1466</v>
      </c>
      <c r="I35" s="185">
        <v>3073.0406233766234</v>
      </c>
      <c r="J35" s="195">
        <v>1.9592698796613546E-3</v>
      </c>
    </row>
    <row r="36" spans="1:10" x14ac:dyDescent="0.35">
      <c r="A36" s="162" t="s">
        <v>263</v>
      </c>
      <c r="B36" s="110" t="s">
        <v>72</v>
      </c>
      <c r="C36" s="185">
        <v>1599</v>
      </c>
      <c r="D36" s="185">
        <v>501</v>
      </c>
      <c r="E36" s="197">
        <v>0.31332082551594748</v>
      </c>
      <c r="F36" s="198">
        <v>2.2173969445188959</v>
      </c>
      <c r="G36" s="198">
        <v>4.2939117500000004</v>
      </c>
      <c r="H36" s="185">
        <v>8605</v>
      </c>
      <c r="I36" s="185">
        <v>19080.7007075851</v>
      </c>
      <c r="J36" s="195">
        <v>1.2165228762295758E-2</v>
      </c>
    </row>
    <row r="37" spans="1:10" x14ac:dyDescent="0.35">
      <c r="A37" s="162" t="s">
        <v>321</v>
      </c>
      <c r="B37" s="110" t="s">
        <v>24</v>
      </c>
      <c r="C37" s="185">
        <v>16</v>
      </c>
      <c r="D37" s="185">
        <v>14</v>
      </c>
      <c r="E37" s="197">
        <v>0.875</v>
      </c>
      <c r="F37" s="198">
        <v>1.1428571428571428</v>
      </c>
      <c r="G37" s="198">
        <v>4.3035709999999998</v>
      </c>
      <c r="H37" s="185">
        <v>241</v>
      </c>
      <c r="I37" s="185">
        <v>275.42857142857139</v>
      </c>
      <c r="J37" s="195">
        <v>1.7560422074902694E-4</v>
      </c>
    </row>
    <row r="38" spans="1:10" x14ac:dyDescent="0.35">
      <c r="A38" s="162" t="s">
        <v>229</v>
      </c>
      <c r="B38" s="110" t="s">
        <v>99</v>
      </c>
      <c r="C38" s="185">
        <v>1765</v>
      </c>
      <c r="D38" s="185">
        <v>801</v>
      </c>
      <c r="E38" s="197">
        <v>0.45382436260623227</v>
      </c>
      <c r="F38" s="198">
        <v>1.9307697288547148</v>
      </c>
      <c r="G38" s="198">
        <v>4.1874217500000004</v>
      </c>
      <c r="H38" s="185">
        <v>13450</v>
      </c>
      <c r="I38" s="185">
        <v>25968.852853095912</v>
      </c>
      <c r="J38" s="195">
        <v>1.6556888580445215E-2</v>
      </c>
    </row>
    <row r="39" spans="1:10" x14ac:dyDescent="0.35">
      <c r="A39" s="162" t="s">
        <v>264</v>
      </c>
      <c r="B39" s="110" t="s">
        <v>71</v>
      </c>
      <c r="C39" s="185">
        <v>1164</v>
      </c>
      <c r="D39" s="185">
        <v>397</v>
      </c>
      <c r="E39" s="197">
        <v>0.34106529209621994</v>
      </c>
      <c r="F39" s="198">
        <v>2.1607982326951398</v>
      </c>
      <c r="G39" s="198">
        <v>4.302896249999999</v>
      </c>
      <c r="H39" s="185">
        <v>6833</v>
      </c>
      <c r="I39" s="185">
        <v>14764.734324005891</v>
      </c>
      <c r="J39" s="195">
        <v>9.413510196438931E-3</v>
      </c>
    </row>
    <row r="40" spans="1:10" x14ac:dyDescent="0.35">
      <c r="A40" s="162" t="s">
        <v>237</v>
      </c>
      <c r="B40" s="110" t="s">
        <v>92</v>
      </c>
      <c r="C40" s="185">
        <v>1162</v>
      </c>
      <c r="D40" s="185">
        <v>430</v>
      </c>
      <c r="E40" s="197">
        <v>0.37005163511187605</v>
      </c>
      <c r="F40" s="198">
        <v>2.1016660929432014</v>
      </c>
      <c r="G40" s="198">
        <v>4.2546292499999998</v>
      </c>
      <c r="H40" s="185">
        <v>7352</v>
      </c>
      <c r="I40" s="185">
        <v>15451.449115318417</v>
      </c>
      <c r="J40" s="195">
        <v>9.851337017308677E-3</v>
      </c>
    </row>
    <row r="41" spans="1:10" x14ac:dyDescent="0.35">
      <c r="A41" s="162" t="s">
        <v>202</v>
      </c>
      <c r="B41" s="110" t="s">
        <v>118</v>
      </c>
      <c r="C41" s="185">
        <v>2732</v>
      </c>
      <c r="D41" s="185">
        <v>593</v>
      </c>
      <c r="E41" s="197">
        <v>0.2170571010248902</v>
      </c>
      <c r="F41" s="198">
        <v>2.4137749424806527</v>
      </c>
      <c r="G41" s="198">
        <v>4.2036722499999994</v>
      </c>
      <c r="H41" s="185">
        <v>10072</v>
      </c>
      <c r="I41" s="185">
        <v>24311.541220665134</v>
      </c>
      <c r="J41" s="195">
        <v>1.5500241057489232E-2</v>
      </c>
    </row>
    <row r="42" spans="1:10" x14ac:dyDescent="0.35">
      <c r="A42" s="162" t="s">
        <v>230</v>
      </c>
      <c r="B42" s="110" t="s">
        <v>98</v>
      </c>
      <c r="C42" s="185">
        <v>2653</v>
      </c>
      <c r="D42" s="185">
        <v>597</v>
      </c>
      <c r="E42" s="197">
        <v>0.22502826988315114</v>
      </c>
      <c r="F42" s="198">
        <v>2.3975137580098003</v>
      </c>
      <c r="G42" s="198">
        <v>4.2745009999999999</v>
      </c>
      <c r="H42" s="185">
        <v>10293</v>
      </c>
      <c r="I42" s="185">
        <v>24677.609111194874</v>
      </c>
      <c r="J42" s="195">
        <v>1.5733633934358528E-2</v>
      </c>
    </row>
    <row r="43" spans="1:10" x14ac:dyDescent="0.35">
      <c r="A43" s="162" t="s">
        <v>278</v>
      </c>
      <c r="B43" s="110" t="s">
        <v>62</v>
      </c>
      <c r="C43" s="185">
        <v>1345</v>
      </c>
      <c r="D43" s="185">
        <v>532</v>
      </c>
      <c r="E43" s="197">
        <v>0.39553903345724906</v>
      </c>
      <c r="F43" s="198">
        <v>2.0496718003186407</v>
      </c>
      <c r="G43" s="198">
        <v>4.2766847499999994</v>
      </c>
      <c r="H43" s="185">
        <v>9135</v>
      </c>
      <c r="I43" s="185">
        <v>18723.751895910784</v>
      </c>
      <c r="J43" s="195">
        <v>1.1937649910921527E-2</v>
      </c>
    </row>
    <row r="44" spans="1:10" ht="24" customHeight="1" x14ac:dyDescent="0.35">
      <c r="A44" s="162" t="s">
        <v>212</v>
      </c>
      <c r="B44" s="110" t="s">
        <v>112</v>
      </c>
      <c r="C44" s="185">
        <v>37</v>
      </c>
      <c r="D44" s="185">
        <v>11</v>
      </c>
      <c r="E44" s="197">
        <v>0.29729729729729731</v>
      </c>
      <c r="F44" s="198">
        <v>2.2500849420849423</v>
      </c>
      <c r="G44" s="198">
        <v>4.6818175000000002</v>
      </c>
      <c r="H44" s="185">
        <v>206</v>
      </c>
      <c r="I44" s="185">
        <v>463.51749806949812</v>
      </c>
      <c r="J44" s="195">
        <v>2.9552354946277477E-4</v>
      </c>
    </row>
    <row r="45" spans="1:10" x14ac:dyDescent="0.35">
      <c r="A45" s="162" t="s">
        <v>198</v>
      </c>
      <c r="B45" s="110" t="s">
        <v>122</v>
      </c>
      <c r="C45" s="185">
        <v>611</v>
      </c>
      <c r="D45" s="185">
        <v>465</v>
      </c>
      <c r="E45" s="197">
        <v>0.76104746317512273</v>
      </c>
      <c r="F45" s="198">
        <v>1.3139784946236559</v>
      </c>
      <c r="G45" s="198">
        <v>4.4216095000000006</v>
      </c>
      <c r="H45" s="185">
        <v>8348</v>
      </c>
      <c r="I45" s="185">
        <v>10969.092473118279</v>
      </c>
      <c r="J45" s="195">
        <v>6.9935334815672536E-3</v>
      </c>
    </row>
    <row r="46" spans="1:10" ht="24" customHeight="1" x14ac:dyDescent="0.35">
      <c r="A46" s="162" t="s">
        <v>221</v>
      </c>
      <c r="B46" s="110" t="s">
        <v>104</v>
      </c>
      <c r="C46" s="185">
        <v>56</v>
      </c>
      <c r="D46" s="185">
        <v>24</v>
      </c>
      <c r="E46" s="197">
        <v>0.42857142857142855</v>
      </c>
      <c r="F46" s="198">
        <v>1.9822857142857144</v>
      </c>
      <c r="G46" s="198">
        <v>4.0729165000000007</v>
      </c>
      <c r="H46" s="185">
        <v>391</v>
      </c>
      <c r="I46" s="185">
        <v>775.07371428571435</v>
      </c>
      <c r="J46" s="195">
        <v>4.9416157123515446E-4</v>
      </c>
    </row>
    <row r="47" spans="1:10" x14ac:dyDescent="0.35">
      <c r="A47" s="162" t="s">
        <v>305</v>
      </c>
      <c r="B47" s="110" t="s">
        <v>35</v>
      </c>
      <c r="C47" s="185">
        <v>24</v>
      </c>
      <c r="D47" s="185">
        <v>5</v>
      </c>
      <c r="E47" s="197">
        <v>0.20833333333333334</v>
      </c>
      <c r="F47" s="198">
        <v>2.4315714285714285</v>
      </c>
      <c r="G47" s="198">
        <v>4.8214282499999994</v>
      </c>
      <c r="H47" s="185">
        <v>135</v>
      </c>
      <c r="I47" s="185">
        <v>328.26214285714286</v>
      </c>
      <c r="J47" s="195">
        <v>2.0928917250251058E-4</v>
      </c>
    </row>
    <row r="48" spans="1:10" x14ac:dyDescent="0.35">
      <c r="A48" s="162" t="s">
        <v>304</v>
      </c>
      <c r="B48" s="110" t="s">
        <v>36</v>
      </c>
      <c r="C48" s="185">
        <v>1270</v>
      </c>
      <c r="D48" s="185">
        <v>827</v>
      </c>
      <c r="E48" s="197">
        <v>0.65118110236220472</v>
      </c>
      <c r="F48" s="198">
        <v>1.528161979752531</v>
      </c>
      <c r="G48" s="198">
        <v>4.4226830000000001</v>
      </c>
      <c r="H48" s="185">
        <v>14701</v>
      </c>
      <c r="I48" s="185">
        <v>22465.509264341959</v>
      </c>
      <c r="J48" s="195">
        <v>1.4323271647647153E-2</v>
      </c>
    </row>
    <row r="49" spans="1:10" ht="24" customHeight="1" x14ac:dyDescent="0.35">
      <c r="A49" s="162" t="s">
        <v>283</v>
      </c>
      <c r="B49" s="110" t="s">
        <v>58</v>
      </c>
      <c r="C49" s="185">
        <v>24</v>
      </c>
      <c r="D49" s="185">
        <v>20</v>
      </c>
      <c r="E49" s="197">
        <v>0.83333333333333337</v>
      </c>
      <c r="F49" s="198">
        <v>1.2</v>
      </c>
      <c r="G49" s="198">
        <v>4.5374999999999996</v>
      </c>
      <c r="H49" s="185">
        <v>363</v>
      </c>
      <c r="I49" s="185">
        <v>435.59999999999997</v>
      </c>
      <c r="J49" s="195">
        <v>2.7772426862444655E-4</v>
      </c>
    </row>
    <row r="50" spans="1:10" ht="24" customHeight="1" x14ac:dyDescent="0.35">
      <c r="A50" s="162" t="s">
        <v>273</v>
      </c>
      <c r="B50" s="110" t="s">
        <v>64</v>
      </c>
      <c r="C50" s="185">
        <v>22</v>
      </c>
      <c r="D50" s="185">
        <v>13</v>
      </c>
      <c r="E50" s="197">
        <v>0.59090909090909094</v>
      </c>
      <c r="F50" s="198">
        <v>1.651116883116883</v>
      </c>
      <c r="G50" s="198">
        <v>4.7307684999999999</v>
      </c>
      <c r="H50" s="185">
        <v>246</v>
      </c>
      <c r="I50" s="185">
        <v>406.1747532467532</v>
      </c>
      <c r="J50" s="195">
        <v>2.5896369669230852E-4</v>
      </c>
    </row>
    <row r="51" spans="1:10" x14ac:dyDescent="0.35">
      <c r="A51" s="162" t="s">
        <v>272</v>
      </c>
      <c r="B51" s="110" t="s">
        <v>65</v>
      </c>
      <c r="C51" s="185">
        <v>63</v>
      </c>
      <c r="D51" s="185">
        <v>45</v>
      </c>
      <c r="E51" s="197">
        <v>0.7142857142857143</v>
      </c>
      <c r="F51" s="198">
        <v>1.4000000000000001</v>
      </c>
      <c r="G51" s="198">
        <v>4.4055552499999999</v>
      </c>
      <c r="H51" s="185">
        <v>793</v>
      </c>
      <c r="I51" s="185">
        <v>1110.2</v>
      </c>
      <c r="J51" s="195">
        <v>7.0782709602125948E-4</v>
      </c>
    </row>
    <row r="52" spans="1:10" x14ac:dyDescent="0.35">
      <c r="A52" s="162" t="s">
        <v>243</v>
      </c>
      <c r="B52" s="110" t="s">
        <v>90</v>
      </c>
      <c r="C52" s="185">
        <v>24</v>
      </c>
      <c r="D52" s="185">
        <v>15</v>
      </c>
      <c r="E52" s="197">
        <v>0.625</v>
      </c>
      <c r="F52" s="198">
        <v>1.5815714285714284</v>
      </c>
      <c r="G52" s="198">
        <v>4.40625</v>
      </c>
      <c r="H52" s="185">
        <v>282</v>
      </c>
      <c r="I52" s="185">
        <v>446.00314285714279</v>
      </c>
      <c r="J52" s="195">
        <v>2.8435697119881667E-4</v>
      </c>
    </row>
    <row r="53" spans="1:10" x14ac:dyDescent="0.35">
      <c r="A53" s="162" t="s">
        <v>297</v>
      </c>
      <c r="B53" s="110" t="s">
        <v>460</v>
      </c>
      <c r="C53" s="185">
        <v>3897</v>
      </c>
      <c r="D53" s="185">
        <v>1152</v>
      </c>
      <c r="E53" s="197">
        <v>0.29561200923787528</v>
      </c>
      <c r="F53" s="198">
        <v>2.253522929726163</v>
      </c>
      <c r="G53" s="198">
        <v>4.2796275000000001</v>
      </c>
      <c r="H53" s="185">
        <v>19789</v>
      </c>
      <c r="I53" s="185">
        <v>44594.965256351039</v>
      </c>
      <c r="J53" s="195">
        <v>2.843228675425321E-2</v>
      </c>
    </row>
    <row r="54" spans="1:10" ht="23" x14ac:dyDescent="0.35">
      <c r="A54" s="162" t="s">
        <v>291</v>
      </c>
      <c r="B54" s="110" t="s">
        <v>48</v>
      </c>
      <c r="C54" s="185">
        <v>13</v>
      </c>
      <c r="D54" s="185">
        <v>9</v>
      </c>
      <c r="E54" s="197">
        <v>0.69230769230769229</v>
      </c>
      <c r="F54" s="198">
        <v>1.4442637362637363</v>
      </c>
      <c r="G54" s="198">
        <v>4.6111104999999997</v>
      </c>
      <c r="H54" s="185">
        <v>166</v>
      </c>
      <c r="I54" s="185">
        <v>239.74778021978022</v>
      </c>
      <c r="J54" s="195">
        <v>1.5285531890696288E-4</v>
      </c>
    </row>
    <row r="55" spans="1:10" ht="23" x14ac:dyDescent="0.35">
      <c r="A55" s="162" t="s">
        <v>183</v>
      </c>
      <c r="B55" s="110" t="s">
        <v>128</v>
      </c>
      <c r="C55" s="185">
        <v>1043</v>
      </c>
      <c r="D55" s="185">
        <v>598</v>
      </c>
      <c r="E55" s="197">
        <v>0.57334611697027804</v>
      </c>
      <c r="F55" s="198">
        <v>1.6869453499520615</v>
      </c>
      <c r="G55" s="198">
        <v>4.2103502500000003</v>
      </c>
      <c r="H55" s="185">
        <v>10088</v>
      </c>
      <c r="I55" s="185">
        <v>17017.904690316394</v>
      </c>
      <c r="J55" s="195">
        <v>1.0850057698894995E-2</v>
      </c>
    </row>
    <row r="56" spans="1:10" ht="24" customHeight="1" x14ac:dyDescent="0.35">
      <c r="A56" s="162" t="s">
        <v>218</v>
      </c>
      <c r="B56" s="110" t="s">
        <v>453</v>
      </c>
      <c r="C56" s="185">
        <v>1107</v>
      </c>
      <c r="D56" s="185">
        <v>439</v>
      </c>
      <c r="E56" s="197">
        <v>0.39656729900632337</v>
      </c>
      <c r="F56" s="198">
        <v>2.0475741385985291</v>
      </c>
      <c r="G56" s="198">
        <v>4.3899542499999997</v>
      </c>
      <c r="H56" s="185">
        <v>7779</v>
      </c>
      <c r="I56" s="185">
        <v>15928.079224157958</v>
      </c>
      <c r="J56" s="195">
        <v>1.0155220737193552E-2</v>
      </c>
    </row>
    <row r="57" spans="1:10" x14ac:dyDescent="0.35">
      <c r="A57" s="162" t="s">
        <v>276</v>
      </c>
      <c r="B57" s="110" t="s">
        <v>52</v>
      </c>
      <c r="C57" s="185">
        <v>1925</v>
      </c>
      <c r="D57" s="185">
        <v>630</v>
      </c>
      <c r="E57" s="197">
        <v>0.32727272727272727</v>
      </c>
      <c r="F57" s="198">
        <v>2.1889350649350652</v>
      </c>
      <c r="G57" s="198">
        <v>4.2347172500000001</v>
      </c>
      <c r="H57" s="185">
        <v>10807</v>
      </c>
      <c r="I57" s="185">
        <v>23655.82124675325</v>
      </c>
      <c r="J57" s="195">
        <v>1.5082175515301171E-2</v>
      </c>
    </row>
    <row r="58" spans="1:10" x14ac:dyDescent="0.35">
      <c r="A58" s="162" t="s">
        <v>269</v>
      </c>
      <c r="B58" s="110" t="s">
        <v>148</v>
      </c>
      <c r="C58" s="185">
        <v>18</v>
      </c>
      <c r="D58" s="185">
        <v>18</v>
      </c>
      <c r="E58" s="197">
        <v>1</v>
      </c>
      <c r="F58" s="198">
        <v>1</v>
      </c>
      <c r="G58" s="198">
        <v>4.4027772500000006</v>
      </c>
      <c r="H58" s="185">
        <v>317</v>
      </c>
      <c r="I58" s="185">
        <v>317</v>
      </c>
      <c r="J58" s="195">
        <v>2.0210879971062801E-4</v>
      </c>
    </row>
    <row r="59" spans="1:10" x14ac:dyDescent="0.35">
      <c r="A59" s="162" t="s">
        <v>319</v>
      </c>
      <c r="B59" s="110" t="s">
        <v>396</v>
      </c>
      <c r="C59" s="185">
        <v>7</v>
      </c>
      <c r="D59" s="185">
        <v>7</v>
      </c>
      <c r="E59" s="197">
        <v>1</v>
      </c>
      <c r="F59" s="198">
        <v>1</v>
      </c>
      <c r="G59" s="198">
        <v>3.4642852500000001</v>
      </c>
      <c r="H59" s="185">
        <v>97</v>
      </c>
      <c r="I59" s="185">
        <v>97</v>
      </c>
      <c r="J59" s="195">
        <v>6.184401757706914E-5</v>
      </c>
    </row>
    <row r="60" spans="1:10" x14ac:dyDescent="0.35">
      <c r="A60" s="162" t="s">
        <v>199</v>
      </c>
      <c r="B60" s="110" t="s">
        <v>121</v>
      </c>
      <c r="C60" s="185">
        <v>1492</v>
      </c>
      <c r="D60" s="185">
        <v>345</v>
      </c>
      <c r="E60" s="197">
        <v>0.23123324396782841</v>
      </c>
      <c r="F60" s="198">
        <v>2.3848556108770587</v>
      </c>
      <c r="G60" s="198">
        <v>4.0630429999999995</v>
      </c>
      <c r="H60" s="185">
        <v>5607</v>
      </c>
      <c r="I60" s="185">
        <v>13371.885410187668</v>
      </c>
      <c r="J60" s="195">
        <v>8.5254754262494899E-3</v>
      </c>
    </row>
    <row r="61" spans="1:10" x14ac:dyDescent="0.35">
      <c r="A61" s="162" t="s">
        <v>317</v>
      </c>
      <c r="B61" s="110" t="s">
        <v>26</v>
      </c>
      <c r="C61" s="185">
        <v>116</v>
      </c>
      <c r="D61" s="185">
        <v>54</v>
      </c>
      <c r="E61" s="197">
        <v>0.46551724137931033</v>
      </c>
      <c r="F61" s="198">
        <v>1.9069162561576354</v>
      </c>
      <c r="G61" s="198">
        <v>4.3148145000000007</v>
      </c>
      <c r="H61" s="185">
        <v>932</v>
      </c>
      <c r="I61" s="185">
        <v>1777.2459507389162</v>
      </c>
      <c r="J61" s="195">
        <v>1.1331137094461082E-3</v>
      </c>
    </row>
    <row r="62" spans="1:10" x14ac:dyDescent="0.35">
      <c r="A62" s="162" t="s">
        <v>294</v>
      </c>
      <c r="B62" s="110" t="s">
        <v>155</v>
      </c>
      <c r="C62" s="185">
        <v>73</v>
      </c>
      <c r="D62" s="185">
        <v>62</v>
      </c>
      <c r="E62" s="197">
        <v>0.84931506849315064</v>
      </c>
      <c r="F62" s="198">
        <v>1.1774193548387097</v>
      </c>
      <c r="G62" s="198">
        <v>4.2822574999999992</v>
      </c>
      <c r="H62" s="185">
        <v>1062</v>
      </c>
      <c r="I62" s="185">
        <v>1250.4193548387098</v>
      </c>
      <c r="J62" s="195">
        <v>7.9722635628198585E-4</v>
      </c>
    </row>
    <row r="63" spans="1:10" x14ac:dyDescent="0.35">
      <c r="A63" s="162" t="s">
        <v>299</v>
      </c>
      <c r="B63" s="110" t="s">
        <v>39</v>
      </c>
      <c r="C63" s="185">
        <v>1678</v>
      </c>
      <c r="D63" s="185">
        <v>849</v>
      </c>
      <c r="E63" s="197">
        <v>0.50595947556615017</v>
      </c>
      <c r="F63" s="198">
        <v>1.8244140984164823</v>
      </c>
      <c r="G63" s="198">
        <v>4.1792722500000004</v>
      </c>
      <c r="H63" s="185">
        <v>14477</v>
      </c>
      <c r="I63" s="185">
        <v>26412.042902775414</v>
      </c>
      <c r="J63" s="195">
        <v>1.6839452015727289E-2</v>
      </c>
    </row>
    <row r="64" spans="1:10" x14ac:dyDescent="0.35">
      <c r="A64" s="162" t="s">
        <v>239</v>
      </c>
      <c r="B64" s="110" t="s">
        <v>490</v>
      </c>
      <c r="C64" s="185">
        <v>583</v>
      </c>
      <c r="D64" s="185">
        <v>389</v>
      </c>
      <c r="E64" s="197">
        <v>0.66723842195540306</v>
      </c>
      <c r="F64" s="198">
        <v>1.4954050477824063</v>
      </c>
      <c r="G64" s="198">
        <v>4.3303339999999997</v>
      </c>
      <c r="H64" s="185">
        <v>6738</v>
      </c>
      <c r="I64" s="185">
        <v>10076.039211957854</v>
      </c>
      <c r="J64" s="195">
        <v>6.4241520219748393E-3</v>
      </c>
    </row>
    <row r="65" spans="1:10" x14ac:dyDescent="0.35">
      <c r="A65" s="162" t="s">
        <v>234</v>
      </c>
      <c r="B65" s="110" t="s">
        <v>95</v>
      </c>
      <c r="C65" s="185">
        <v>45</v>
      </c>
      <c r="D65" s="185">
        <v>17</v>
      </c>
      <c r="E65" s="197">
        <v>0.37777777777777777</v>
      </c>
      <c r="F65" s="198">
        <v>2.0859047619047622</v>
      </c>
      <c r="G65" s="198">
        <v>4.6470580000000004</v>
      </c>
      <c r="H65" s="185">
        <v>316</v>
      </c>
      <c r="I65" s="185">
        <v>659.14590476190483</v>
      </c>
      <c r="J65" s="195">
        <v>4.2024980329843697E-4</v>
      </c>
    </row>
    <row r="66" spans="1:10" x14ac:dyDescent="0.35">
      <c r="A66" s="162" t="s">
        <v>328</v>
      </c>
      <c r="B66" s="110" t="s">
        <v>153</v>
      </c>
      <c r="C66" s="185">
        <v>191</v>
      </c>
      <c r="D66" s="185">
        <v>72</v>
      </c>
      <c r="E66" s="197">
        <v>0.37696335078534032</v>
      </c>
      <c r="F66" s="198">
        <v>2.0875661929693341</v>
      </c>
      <c r="G66" s="198">
        <v>4.5069439999999998</v>
      </c>
      <c r="H66" s="185">
        <v>1298</v>
      </c>
      <c r="I66" s="185">
        <v>2709.6609184741956</v>
      </c>
      <c r="J66" s="195">
        <v>1.7275909017527367E-3</v>
      </c>
    </row>
    <row r="67" spans="1:10" x14ac:dyDescent="0.35">
      <c r="A67" s="162" t="s">
        <v>213</v>
      </c>
      <c r="B67" s="110" t="s">
        <v>111</v>
      </c>
      <c r="C67" s="185">
        <v>5361</v>
      </c>
      <c r="D67" s="185">
        <v>1439</v>
      </c>
      <c r="E67" s="197">
        <v>0.26842007088229808</v>
      </c>
      <c r="F67" s="198">
        <v>2.3089944839715404</v>
      </c>
      <c r="G67" s="198">
        <v>4.2467170000000003</v>
      </c>
      <c r="H67" s="185">
        <v>24580</v>
      </c>
      <c r="I67" s="185">
        <v>56755.084416020465</v>
      </c>
      <c r="J67" s="195">
        <v>3.6185179775385698E-2</v>
      </c>
    </row>
    <row r="68" spans="1:10" x14ac:dyDescent="0.35">
      <c r="A68" s="162" t="s">
        <v>252</v>
      </c>
      <c r="B68" s="110" t="s">
        <v>85</v>
      </c>
      <c r="C68" s="185">
        <v>3251</v>
      </c>
      <c r="D68" s="185">
        <v>1424</v>
      </c>
      <c r="E68" s="197">
        <v>0.43801907105505999</v>
      </c>
      <c r="F68" s="198">
        <v>1.9630125236191063</v>
      </c>
      <c r="G68" s="198">
        <v>4.3268012499999999</v>
      </c>
      <c r="H68" s="185">
        <v>24732</v>
      </c>
      <c r="I68" s="185">
        <v>48549.225734147738</v>
      </c>
      <c r="J68" s="195">
        <v>3.0953393501605465E-2</v>
      </c>
    </row>
    <row r="69" spans="1:10" x14ac:dyDescent="0.35">
      <c r="A69" s="162" t="s">
        <v>292</v>
      </c>
      <c r="B69" s="110" t="s">
        <v>47</v>
      </c>
      <c r="C69" s="185">
        <v>20</v>
      </c>
      <c r="D69" s="185">
        <v>12</v>
      </c>
      <c r="E69" s="197">
        <v>0.6</v>
      </c>
      <c r="F69" s="198">
        <v>1.6325714285714286</v>
      </c>
      <c r="G69" s="198">
        <v>4.1666662499999996</v>
      </c>
      <c r="H69" s="185">
        <v>200</v>
      </c>
      <c r="I69" s="185">
        <v>326.51428571428573</v>
      </c>
      <c r="J69" s="195">
        <v>2.0817479613276766E-4</v>
      </c>
    </row>
    <row r="70" spans="1:10" x14ac:dyDescent="0.35">
      <c r="A70" s="162" t="s">
        <v>270</v>
      </c>
      <c r="B70" s="110" t="s">
        <v>53</v>
      </c>
      <c r="C70" s="185">
        <v>4371</v>
      </c>
      <c r="D70" s="185">
        <v>1805</v>
      </c>
      <c r="E70" s="197">
        <v>0.41294898192633267</v>
      </c>
      <c r="F70" s="198">
        <v>2.01415550544171</v>
      </c>
      <c r="G70" s="198">
        <v>4.320082750000001</v>
      </c>
      <c r="H70" s="185">
        <v>31191</v>
      </c>
      <c r="I70" s="185">
        <v>62823.524370232379</v>
      </c>
      <c r="J70" s="195">
        <v>4.0054217993877143E-2</v>
      </c>
    </row>
    <row r="71" spans="1:10" x14ac:dyDescent="0.35">
      <c r="A71" s="162" t="s">
        <v>293</v>
      </c>
      <c r="B71" s="110" t="s">
        <v>46</v>
      </c>
      <c r="C71" s="185">
        <v>71</v>
      </c>
      <c r="D71" s="185">
        <v>25</v>
      </c>
      <c r="E71" s="197">
        <v>0.352112676056338</v>
      </c>
      <c r="F71" s="198">
        <v>2.1382615694164988</v>
      </c>
      <c r="G71" s="198">
        <v>4.41</v>
      </c>
      <c r="H71" s="185">
        <v>441</v>
      </c>
      <c r="I71" s="185">
        <v>942.97335211267603</v>
      </c>
      <c r="J71" s="195">
        <v>6.0120887178107365E-4</v>
      </c>
    </row>
    <row r="72" spans="1:10" x14ac:dyDescent="0.35">
      <c r="A72" s="162" t="s">
        <v>185</v>
      </c>
      <c r="B72" s="110" t="s">
        <v>127</v>
      </c>
      <c r="C72" s="185">
        <v>1151</v>
      </c>
      <c r="D72" s="185">
        <v>872</v>
      </c>
      <c r="E72" s="197">
        <v>0.75760208514335359</v>
      </c>
      <c r="F72" s="198">
        <v>1.3199541284403671</v>
      </c>
      <c r="G72" s="198">
        <v>4.3916279999999999</v>
      </c>
      <c r="H72" s="185">
        <v>15318</v>
      </c>
      <c r="I72" s="185">
        <v>20219.057339449544</v>
      </c>
      <c r="J72" s="195">
        <v>1.2891007603017385E-2</v>
      </c>
    </row>
    <row r="73" spans="1:10" x14ac:dyDescent="0.35">
      <c r="A73" s="162" t="s">
        <v>241</v>
      </c>
      <c r="B73" s="110" t="s">
        <v>87</v>
      </c>
      <c r="C73" s="185">
        <v>36</v>
      </c>
      <c r="D73" s="185">
        <v>30</v>
      </c>
      <c r="E73" s="197">
        <v>0.83333333333333337</v>
      </c>
      <c r="F73" s="198">
        <v>1.2</v>
      </c>
      <c r="G73" s="198">
        <v>4.6333329999999995</v>
      </c>
      <c r="H73" s="185">
        <v>556</v>
      </c>
      <c r="I73" s="185">
        <v>667.19999999999993</v>
      </c>
      <c r="J73" s="195">
        <v>4.2538483017959304E-4</v>
      </c>
    </row>
    <row r="74" spans="1:10" x14ac:dyDescent="0.35">
      <c r="A74" s="162" t="s">
        <v>295</v>
      </c>
      <c r="B74" s="110" t="s">
        <v>44</v>
      </c>
      <c r="C74" s="185">
        <v>1777</v>
      </c>
      <c r="D74" s="185">
        <v>784</v>
      </c>
      <c r="E74" s="197">
        <v>0.44119302194710186</v>
      </c>
      <c r="F74" s="198">
        <v>1.9565376637993408</v>
      </c>
      <c r="G74" s="198">
        <v>4.3463004999999999</v>
      </c>
      <c r="H74" s="185">
        <v>13630</v>
      </c>
      <c r="I74" s="185">
        <v>26667.608357585013</v>
      </c>
      <c r="J74" s="195">
        <v>1.7002392164998801E-2</v>
      </c>
    </row>
    <row r="75" spans="1:10" x14ac:dyDescent="0.35">
      <c r="A75" s="162" t="s">
        <v>285</v>
      </c>
      <c r="B75" s="110" t="s">
        <v>56</v>
      </c>
      <c r="C75" s="185">
        <v>1325</v>
      </c>
      <c r="D75" s="185">
        <v>259</v>
      </c>
      <c r="E75" s="197">
        <v>0.19547169811320755</v>
      </c>
      <c r="F75" s="198">
        <v>2.4485709999999998</v>
      </c>
      <c r="G75" s="198">
        <v>4.3523162500000003</v>
      </c>
      <c r="H75" s="185">
        <v>4509</v>
      </c>
      <c r="I75" s="185">
        <v>11040.606639</v>
      </c>
      <c r="J75" s="195">
        <v>7.0391285674620847E-3</v>
      </c>
    </row>
    <row r="76" spans="1:10" x14ac:dyDescent="0.35">
      <c r="A76" s="162" t="s">
        <v>236</v>
      </c>
      <c r="B76" s="110" t="s">
        <v>93</v>
      </c>
      <c r="C76" s="185">
        <v>56</v>
      </c>
      <c r="D76" s="185">
        <v>17</v>
      </c>
      <c r="E76" s="197">
        <v>0.30357142857142855</v>
      </c>
      <c r="F76" s="198">
        <v>2.2372857142857145</v>
      </c>
      <c r="G76" s="198">
        <v>4.0147054999999998</v>
      </c>
      <c r="H76" s="185">
        <v>273</v>
      </c>
      <c r="I76" s="185">
        <v>610.77900000000011</v>
      </c>
      <c r="J76" s="195">
        <v>3.8941265166705897E-4</v>
      </c>
    </row>
    <row r="77" spans="1:10" x14ac:dyDescent="0.35">
      <c r="A77" s="162" t="s">
        <v>260</v>
      </c>
      <c r="B77" s="110" t="s">
        <v>74</v>
      </c>
      <c r="C77" s="185">
        <v>144</v>
      </c>
      <c r="D77" s="185">
        <v>50</v>
      </c>
      <c r="E77" s="197">
        <v>0.34722222222222221</v>
      </c>
      <c r="F77" s="198">
        <v>2.1482380952380953</v>
      </c>
      <c r="G77" s="198">
        <v>4.38</v>
      </c>
      <c r="H77" s="185">
        <v>876</v>
      </c>
      <c r="I77" s="185">
        <v>1881.8565714285714</v>
      </c>
      <c r="J77" s="195">
        <v>1.1998100090819758E-3</v>
      </c>
    </row>
    <row r="78" spans="1:10" x14ac:dyDescent="0.35">
      <c r="A78" s="162" t="s">
        <v>222</v>
      </c>
      <c r="B78" s="110" t="s">
        <v>133</v>
      </c>
      <c r="C78" s="185">
        <v>34</v>
      </c>
      <c r="D78" s="185">
        <v>28</v>
      </c>
      <c r="E78" s="197">
        <v>0.82352941176470584</v>
      </c>
      <c r="F78" s="198">
        <v>1.2142857142857144</v>
      </c>
      <c r="G78" s="198">
        <v>4.4821425000000001</v>
      </c>
      <c r="H78" s="185">
        <v>502</v>
      </c>
      <c r="I78" s="185">
        <v>609.57142857142867</v>
      </c>
      <c r="J78" s="195">
        <v>3.8864274374278949E-4</v>
      </c>
    </row>
    <row r="79" spans="1:10" x14ac:dyDescent="0.35">
      <c r="A79" s="162" t="s">
        <v>300</v>
      </c>
      <c r="B79" s="110" t="s">
        <v>38</v>
      </c>
      <c r="C79" s="185">
        <v>18</v>
      </c>
      <c r="D79" s="185">
        <v>8</v>
      </c>
      <c r="E79" s="197">
        <v>0.44444444444444442</v>
      </c>
      <c r="F79" s="198">
        <v>1.949904761904762</v>
      </c>
      <c r="G79" s="198">
        <v>4.125</v>
      </c>
      <c r="H79" s="185">
        <v>132</v>
      </c>
      <c r="I79" s="185">
        <v>257.38742857142859</v>
      </c>
      <c r="J79" s="195">
        <v>1.6410177996585627E-4</v>
      </c>
    </row>
    <row r="80" spans="1:10" x14ac:dyDescent="0.35">
      <c r="A80" s="162" t="s">
        <v>203</v>
      </c>
      <c r="B80" s="110" t="s">
        <v>117</v>
      </c>
      <c r="C80" s="185">
        <v>215</v>
      </c>
      <c r="D80" s="185">
        <v>72</v>
      </c>
      <c r="E80" s="197">
        <v>0.33488372093023255</v>
      </c>
      <c r="F80" s="198">
        <v>2.173408637873754</v>
      </c>
      <c r="G80" s="198">
        <v>4.2048610000000002</v>
      </c>
      <c r="H80" s="185">
        <v>1211</v>
      </c>
      <c r="I80" s="185">
        <v>2631.997860465116</v>
      </c>
      <c r="J80" s="195">
        <v>1.67807548397333E-3</v>
      </c>
    </row>
    <row r="81" spans="1:10" ht="23" x14ac:dyDescent="0.35">
      <c r="A81" s="162" t="s">
        <v>242</v>
      </c>
      <c r="B81" s="110" t="s">
        <v>86</v>
      </c>
      <c r="C81" s="185">
        <v>93</v>
      </c>
      <c r="D81" s="185">
        <v>56</v>
      </c>
      <c r="E81" s="197">
        <v>0.60215053763440862</v>
      </c>
      <c r="F81" s="198">
        <v>1.6281843317972349</v>
      </c>
      <c r="G81" s="198">
        <v>4.4649117500000006</v>
      </c>
      <c r="H81" s="185">
        <v>1018</v>
      </c>
      <c r="I81" s="185">
        <v>1657.4916497695851</v>
      </c>
      <c r="J81" s="195">
        <v>1.0567622961051089E-3</v>
      </c>
    </row>
    <row r="82" spans="1:10" x14ac:dyDescent="0.35">
      <c r="A82" s="162" t="s">
        <v>325</v>
      </c>
      <c r="B82" s="110" t="s">
        <v>21</v>
      </c>
      <c r="C82" s="185">
        <v>4513</v>
      </c>
      <c r="D82" s="185">
        <v>1348</v>
      </c>
      <c r="E82" s="197">
        <v>0.29869266563261687</v>
      </c>
      <c r="F82" s="198">
        <v>2.2472383906808902</v>
      </c>
      <c r="G82" s="198">
        <v>4.1749254999999996</v>
      </c>
      <c r="H82" s="185">
        <v>22578</v>
      </c>
      <c r="I82" s="185">
        <v>50738.148384793138</v>
      </c>
      <c r="J82" s="195">
        <v>3.2348978768423596E-2</v>
      </c>
    </row>
    <row r="83" spans="1:10" x14ac:dyDescent="0.35">
      <c r="A83" s="162" t="s">
        <v>290</v>
      </c>
      <c r="B83" s="110" t="s">
        <v>461</v>
      </c>
      <c r="C83" s="185">
        <v>440</v>
      </c>
      <c r="D83" s="185">
        <v>244</v>
      </c>
      <c r="E83" s="197">
        <v>0.55454545454545456</v>
      </c>
      <c r="F83" s="198">
        <v>1.7252987012987013</v>
      </c>
      <c r="G83" s="198">
        <v>4.2489790000000003</v>
      </c>
      <c r="H83" s="185">
        <v>4164</v>
      </c>
      <c r="I83" s="185">
        <v>7184.1437922077921</v>
      </c>
      <c r="J83" s="195">
        <v>4.5803743810462977E-3</v>
      </c>
    </row>
    <row r="84" spans="1:10" x14ac:dyDescent="0.35">
      <c r="A84" s="162" t="s">
        <v>281</v>
      </c>
      <c r="B84" s="110" t="s">
        <v>59</v>
      </c>
      <c r="C84" s="185">
        <v>64</v>
      </c>
      <c r="D84" s="185">
        <v>41</v>
      </c>
      <c r="E84" s="197">
        <v>0.640625</v>
      </c>
      <c r="F84" s="198">
        <v>1.5496964285714285</v>
      </c>
      <c r="G84" s="198">
        <v>4.4999994999999995</v>
      </c>
      <c r="H84" s="185">
        <v>738</v>
      </c>
      <c r="I84" s="185">
        <v>1143.6759642857141</v>
      </c>
      <c r="J84" s="195">
        <v>7.2917027255419797E-4</v>
      </c>
    </row>
    <row r="85" spans="1:10" x14ac:dyDescent="0.35">
      <c r="A85" s="162" t="s">
        <v>266</v>
      </c>
      <c r="B85" s="110" t="s">
        <v>70</v>
      </c>
      <c r="C85" s="185">
        <v>807</v>
      </c>
      <c r="D85" s="185">
        <v>257</v>
      </c>
      <c r="E85" s="197">
        <v>0.31846344485749689</v>
      </c>
      <c r="F85" s="198">
        <v>2.2069060010621349</v>
      </c>
      <c r="G85" s="198">
        <v>4.2722860000000003</v>
      </c>
      <c r="H85" s="185">
        <v>4409</v>
      </c>
      <c r="I85" s="185">
        <v>9730.2485586829534</v>
      </c>
      <c r="J85" s="195">
        <v>6.2036872463138168E-3</v>
      </c>
    </row>
    <row r="86" spans="1:10" x14ac:dyDescent="0.35">
      <c r="A86" s="162" t="s">
        <v>219</v>
      </c>
      <c r="B86" s="110" t="s">
        <v>106</v>
      </c>
      <c r="C86" s="185">
        <v>228</v>
      </c>
      <c r="D86" s="185">
        <v>119</v>
      </c>
      <c r="E86" s="197">
        <v>0.52192982456140347</v>
      </c>
      <c r="F86" s="198">
        <v>1.7918345864661653</v>
      </c>
      <c r="G86" s="198">
        <v>4.1312497500000003</v>
      </c>
      <c r="H86" s="185">
        <v>1983</v>
      </c>
      <c r="I86" s="185">
        <v>3553.207984962406</v>
      </c>
      <c r="J86" s="195">
        <v>2.2654088358453348E-3</v>
      </c>
    </row>
    <row r="87" spans="1:10" x14ac:dyDescent="0.35">
      <c r="A87" s="162" t="s">
        <v>318</v>
      </c>
      <c r="B87" s="110" t="s">
        <v>131</v>
      </c>
      <c r="C87" s="185">
        <v>98</v>
      </c>
      <c r="D87" s="185">
        <v>50</v>
      </c>
      <c r="E87" s="197">
        <v>0.51020408163265307</v>
      </c>
      <c r="F87" s="198">
        <v>1.8157551020408165</v>
      </c>
      <c r="G87" s="198">
        <v>3.605</v>
      </c>
      <c r="H87" s="185">
        <v>721</v>
      </c>
      <c r="I87" s="185">
        <v>1309.1594285714286</v>
      </c>
      <c r="J87" s="195">
        <v>8.3467710012120856E-4</v>
      </c>
    </row>
    <row r="88" spans="1:10" ht="24" customHeight="1" x14ac:dyDescent="0.35">
      <c r="A88" s="162" t="s">
        <v>257</v>
      </c>
      <c r="B88" s="110" t="s">
        <v>149</v>
      </c>
      <c r="C88" s="185">
        <v>2</v>
      </c>
      <c r="D88" s="185">
        <v>1</v>
      </c>
      <c r="E88" s="197">
        <v>0.5</v>
      </c>
      <c r="F88" s="198">
        <v>1.8365714285714285</v>
      </c>
      <c r="G88" s="198">
        <v>4</v>
      </c>
      <c r="H88" s="185">
        <v>16</v>
      </c>
      <c r="I88" s="185">
        <v>29.385142857142856</v>
      </c>
      <c r="J88" s="195">
        <v>1.8735003003730212E-5</v>
      </c>
    </row>
    <row r="89" spans="1:10" x14ac:dyDescent="0.35">
      <c r="A89" s="162" t="s">
        <v>287</v>
      </c>
      <c r="B89" s="110" t="s">
        <v>54</v>
      </c>
      <c r="C89" s="185">
        <v>188</v>
      </c>
      <c r="D89" s="185">
        <v>82</v>
      </c>
      <c r="E89" s="197">
        <v>0.43617021276595747</v>
      </c>
      <c r="F89" s="198">
        <v>1.9667841945288753</v>
      </c>
      <c r="G89" s="198">
        <v>4.5301200000000001</v>
      </c>
      <c r="H89" s="185">
        <v>1504</v>
      </c>
      <c r="I89" s="185">
        <v>2958.0434285714286</v>
      </c>
      <c r="J89" s="195">
        <v>1.8859514411371681E-3</v>
      </c>
    </row>
    <row r="90" spans="1:10" x14ac:dyDescent="0.35">
      <c r="A90" s="162" t="s">
        <v>255</v>
      </c>
      <c r="B90" s="110" t="s">
        <v>77</v>
      </c>
      <c r="C90" s="185">
        <v>665</v>
      </c>
      <c r="D90" s="185">
        <v>377</v>
      </c>
      <c r="E90" s="197">
        <v>0.56691729323308271</v>
      </c>
      <c r="F90" s="198">
        <v>1.7000601503759398</v>
      </c>
      <c r="G90" s="198">
        <v>3.9986767499999996</v>
      </c>
      <c r="H90" s="185">
        <v>6046</v>
      </c>
      <c r="I90" s="185">
        <v>10278.563669172932</v>
      </c>
      <c r="J90" s="195">
        <v>6.5532749713747953E-3</v>
      </c>
    </row>
    <row r="91" spans="1:10" x14ac:dyDescent="0.35">
      <c r="A91" s="162" t="s">
        <v>247</v>
      </c>
      <c r="B91" s="110" t="s">
        <v>82</v>
      </c>
      <c r="C91" s="185">
        <v>693</v>
      </c>
      <c r="D91" s="185">
        <v>195</v>
      </c>
      <c r="E91" s="197">
        <v>0.2813852813852814</v>
      </c>
      <c r="F91" s="198">
        <v>2.2825454545454544</v>
      </c>
      <c r="G91" s="198">
        <v>4.2895400000000006</v>
      </c>
      <c r="H91" s="185">
        <v>3363</v>
      </c>
      <c r="I91" s="185">
        <v>7676.2003636363634</v>
      </c>
      <c r="J91" s="195">
        <v>4.8940935073590909E-3</v>
      </c>
    </row>
    <row r="92" spans="1:10" x14ac:dyDescent="0.35">
      <c r="A92" s="162" t="s">
        <v>240</v>
      </c>
      <c r="B92" s="110" t="s">
        <v>88</v>
      </c>
      <c r="C92" s="185">
        <v>261</v>
      </c>
      <c r="D92" s="185">
        <v>136</v>
      </c>
      <c r="E92" s="197">
        <v>0.52107279693486586</v>
      </c>
      <c r="F92" s="198">
        <v>1.7935829228243021</v>
      </c>
      <c r="G92" s="198">
        <v>4.4687495000000004</v>
      </c>
      <c r="H92" s="185">
        <v>2431</v>
      </c>
      <c r="I92" s="185">
        <v>4360.2000853858781</v>
      </c>
      <c r="J92" s="195">
        <v>2.7799205228880683E-3</v>
      </c>
    </row>
    <row r="93" spans="1:10" x14ac:dyDescent="0.35">
      <c r="A93" s="162" t="s">
        <v>274</v>
      </c>
      <c r="B93" s="110" t="s">
        <v>63</v>
      </c>
      <c r="C93" s="185">
        <v>101</v>
      </c>
      <c r="D93" s="185">
        <v>60</v>
      </c>
      <c r="E93" s="197">
        <v>0.59405940594059403</v>
      </c>
      <c r="F93" s="198">
        <v>1.6446902404526167</v>
      </c>
      <c r="G93" s="198">
        <v>4.4124997500000003</v>
      </c>
      <c r="H93" s="185">
        <v>1059</v>
      </c>
      <c r="I93" s="185">
        <v>1741.7269646393211</v>
      </c>
      <c r="J93" s="195">
        <v>1.1104679692330872E-3</v>
      </c>
    </row>
    <row r="94" spans="1:10" x14ac:dyDescent="0.35">
      <c r="A94" s="162" t="s">
        <v>205</v>
      </c>
      <c r="B94" s="110" t="s">
        <v>457</v>
      </c>
      <c r="C94" s="185">
        <v>10</v>
      </c>
      <c r="D94" s="185">
        <v>6</v>
      </c>
      <c r="E94" s="197">
        <v>0.6</v>
      </c>
      <c r="F94" s="198">
        <v>1.6325714285714286</v>
      </c>
      <c r="G94" s="198">
        <v>4.78125</v>
      </c>
      <c r="H94" s="185">
        <v>153</v>
      </c>
      <c r="I94" s="185">
        <v>249.78342857142857</v>
      </c>
      <c r="J94" s="195">
        <v>1.5925371904156724E-4</v>
      </c>
    </row>
    <row r="95" spans="1:10" x14ac:dyDescent="0.35">
      <c r="A95" s="162" t="s">
        <v>261</v>
      </c>
      <c r="B95" s="110" t="s">
        <v>134</v>
      </c>
      <c r="C95" s="185">
        <v>25</v>
      </c>
      <c r="D95" s="185">
        <v>7</v>
      </c>
      <c r="E95" s="197">
        <v>0.28000000000000003</v>
      </c>
      <c r="F95" s="198">
        <v>2.2853714285714286</v>
      </c>
      <c r="G95" s="198">
        <v>4.2857139999999996</v>
      </c>
      <c r="H95" s="185">
        <v>120</v>
      </c>
      <c r="I95" s="185">
        <v>274.24457142857142</v>
      </c>
      <c r="J95" s="195">
        <v>1.7484934119427179E-4</v>
      </c>
    </row>
    <row r="96" spans="1:10" x14ac:dyDescent="0.35">
      <c r="A96" s="162" t="s">
        <v>249</v>
      </c>
      <c r="B96" s="110" t="s">
        <v>80</v>
      </c>
      <c r="C96" s="185">
        <v>65</v>
      </c>
      <c r="D96" s="185">
        <v>48</v>
      </c>
      <c r="E96" s="197">
        <v>0.7384615384615385</v>
      </c>
      <c r="F96" s="198">
        <v>1.3541666666666667</v>
      </c>
      <c r="G96" s="198">
        <v>4.6666662499999996</v>
      </c>
      <c r="H96" s="185">
        <v>896</v>
      </c>
      <c r="I96" s="185">
        <v>1213.3333333333335</v>
      </c>
      <c r="J96" s="195">
        <v>7.7358152570629454E-4</v>
      </c>
    </row>
    <row r="97" spans="1:10" x14ac:dyDescent="0.35">
      <c r="A97" s="162" t="s">
        <v>244</v>
      </c>
      <c r="B97" s="110" t="s">
        <v>89</v>
      </c>
      <c r="C97" s="185">
        <v>79</v>
      </c>
      <c r="D97" s="185">
        <v>42</v>
      </c>
      <c r="E97" s="197">
        <v>0.53164556962025311</v>
      </c>
      <c r="F97" s="198">
        <v>1.7720144665461122</v>
      </c>
      <c r="G97" s="198">
        <v>4.7083329999999997</v>
      </c>
      <c r="H97" s="185">
        <v>791</v>
      </c>
      <c r="I97" s="185">
        <v>1401.6634430379747</v>
      </c>
      <c r="J97" s="195">
        <v>8.9365462482861606E-4</v>
      </c>
    </row>
    <row r="98" spans="1:10" x14ac:dyDescent="0.35">
      <c r="A98" s="162" t="s">
        <v>201</v>
      </c>
      <c r="B98" s="110" t="s">
        <v>119</v>
      </c>
      <c r="C98" s="185">
        <v>143</v>
      </c>
      <c r="D98" s="185">
        <v>60</v>
      </c>
      <c r="E98" s="197">
        <v>0.41958041958041958</v>
      </c>
      <c r="F98" s="198">
        <v>2.0006273726273727</v>
      </c>
      <c r="G98" s="198">
        <v>4.3083330000000002</v>
      </c>
      <c r="H98" s="185">
        <v>1034</v>
      </c>
      <c r="I98" s="185">
        <v>2068.6487032967034</v>
      </c>
      <c r="J98" s="195">
        <v>1.31890254399446E-3</v>
      </c>
    </row>
    <row r="99" spans="1:10" x14ac:dyDescent="0.35">
      <c r="A99" s="162" t="s">
        <v>311</v>
      </c>
      <c r="B99" s="110" t="s">
        <v>32</v>
      </c>
      <c r="C99" s="185">
        <v>174</v>
      </c>
      <c r="D99" s="185">
        <v>53</v>
      </c>
      <c r="E99" s="197">
        <v>0.3045977011494253</v>
      </c>
      <c r="F99" s="198">
        <v>2.235192118226601</v>
      </c>
      <c r="G99" s="198">
        <v>4.0471692499999996</v>
      </c>
      <c r="H99" s="185">
        <v>858</v>
      </c>
      <c r="I99" s="185">
        <v>1917.7948374384237</v>
      </c>
      <c r="J99" s="195">
        <v>1.2227230684098386E-3</v>
      </c>
    </row>
    <row r="100" spans="1:10" x14ac:dyDescent="0.35">
      <c r="A100" s="162" t="s">
        <v>301</v>
      </c>
      <c r="B100" s="110" t="s">
        <v>42</v>
      </c>
      <c r="C100" s="185">
        <v>64</v>
      </c>
      <c r="D100" s="185">
        <v>55</v>
      </c>
      <c r="E100" s="197">
        <v>0.859375</v>
      </c>
      <c r="F100" s="198">
        <v>1.1636363636363636</v>
      </c>
      <c r="G100" s="198">
        <v>4.3136357500000004</v>
      </c>
      <c r="H100" s="185">
        <v>949</v>
      </c>
      <c r="I100" s="185">
        <v>1104.2909090909091</v>
      </c>
      <c r="J100" s="195">
        <v>7.0405965352593654E-4</v>
      </c>
    </row>
    <row r="101" spans="1:10" x14ac:dyDescent="0.35">
      <c r="A101" s="162" t="s">
        <v>233</v>
      </c>
      <c r="B101" s="110" t="s">
        <v>96</v>
      </c>
      <c r="C101" s="185">
        <v>1984</v>
      </c>
      <c r="D101" s="185">
        <v>1023</v>
      </c>
      <c r="E101" s="197">
        <v>0.515625</v>
      </c>
      <c r="F101" s="198">
        <v>1.8046964285714284</v>
      </c>
      <c r="G101" s="198">
        <v>4.2662934999999997</v>
      </c>
      <c r="H101" s="185">
        <v>17543</v>
      </c>
      <c r="I101" s="185">
        <v>31659.789446428567</v>
      </c>
      <c r="J101" s="195">
        <v>2.0185243041352954E-2</v>
      </c>
    </row>
    <row r="102" spans="1:10" x14ac:dyDescent="0.35">
      <c r="A102" s="162" t="s">
        <v>217</v>
      </c>
      <c r="B102" s="110" t="s">
        <v>107</v>
      </c>
      <c r="C102" s="185">
        <v>285</v>
      </c>
      <c r="D102" s="185">
        <v>108</v>
      </c>
      <c r="E102" s="197">
        <v>0.37894736842105264</v>
      </c>
      <c r="F102" s="198">
        <v>2.0835187969924811</v>
      </c>
      <c r="G102" s="198">
        <v>4.2110087500000004</v>
      </c>
      <c r="H102" s="185">
        <v>1836</v>
      </c>
      <c r="I102" s="185">
        <v>3825.3405112781952</v>
      </c>
      <c r="J102" s="195">
        <v>2.4389116063686946E-3</v>
      </c>
    </row>
    <row r="103" spans="1:10" ht="23" x14ac:dyDescent="0.35">
      <c r="A103" s="162" t="s">
        <v>215</v>
      </c>
      <c r="B103" s="110" t="s">
        <v>109</v>
      </c>
      <c r="C103" s="185">
        <v>898</v>
      </c>
      <c r="D103" s="185">
        <v>393</v>
      </c>
      <c r="E103" s="197">
        <v>0.4376391982182628</v>
      </c>
      <c r="F103" s="198">
        <v>1.9637874642061723</v>
      </c>
      <c r="G103" s="198">
        <v>4.1395935000000001</v>
      </c>
      <c r="H103" s="185">
        <v>6524</v>
      </c>
      <c r="I103" s="185">
        <v>12811.749416481069</v>
      </c>
      <c r="J103" s="195">
        <v>8.1683510938748514E-3</v>
      </c>
    </row>
    <row r="104" spans="1:10" x14ac:dyDescent="0.35">
      <c r="A104" s="162" t="s">
        <v>253</v>
      </c>
      <c r="B104" s="110" t="s">
        <v>458</v>
      </c>
      <c r="C104" s="185">
        <v>4088</v>
      </c>
      <c r="D104" s="185">
        <v>1772</v>
      </c>
      <c r="E104" s="197">
        <v>0.43346379647749511</v>
      </c>
      <c r="F104" s="198">
        <v>1.9723052837573385</v>
      </c>
      <c r="G104" s="198">
        <v>4.2801235000000002</v>
      </c>
      <c r="H104" s="185">
        <v>30406</v>
      </c>
      <c r="I104" s="185">
        <v>59969.914457925632</v>
      </c>
      <c r="J104" s="195">
        <v>3.8234849936405003E-2</v>
      </c>
    </row>
    <row r="105" spans="1:10" x14ac:dyDescent="0.35">
      <c r="A105" s="162" t="s">
        <v>279</v>
      </c>
      <c r="B105" s="110" t="s">
        <v>61</v>
      </c>
      <c r="C105" s="185">
        <v>3685</v>
      </c>
      <c r="D105" s="185">
        <v>1345</v>
      </c>
      <c r="E105" s="197">
        <v>0.3649932157394844</v>
      </c>
      <c r="F105" s="198">
        <v>2.1119852684628806</v>
      </c>
      <c r="G105" s="198">
        <v>4.2418932500000004</v>
      </c>
      <c r="H105" s="185">
        <v>23025</v>
      </c>
      <c r="I105" s="185">
        <v>48628.460806357827</v>
      </c>
      <c r="J105" s="195">
        <v>3.1003911184064033E-2</v>
      </c>
    </row>
    <row r="106" spans="1:10" x14ac:dyDescent="0.35">
      <c r="A106" s="162" t="s">
        <v>227</v>
      </c>
      <c r="B106" s="110" t="s">
        <v>101</v>
      </c>
      <c r="C106" s="185">
        <v>3281</v>
      </c>
      <c r="D106" s="185">
        <v>1118</v>
      </c>
      <c r="E106" s="197">
        <v>0.34074977141115514</v>
      </c>
      <c r="F106" s="198">
        <v>2.1614418948926719</v>
      </c>
      <c r="G106" s="198">
        <v>4.3270084999999998</v>
      </c>
      <c r="H106" s="185">
        <v>19385</v>
      </c>
      <c r="I106" s="185">
        <v>41899.551132494445</v>
      </c>
      <c r="J106" s="195">
        <v>2.6713779141332925E-2</v>
      </c>
    </row>
    <row r="107" spans="1:10" x14ac:dyDescent="0.35">
      <c r="A107" s="162" t="s">
        <v>324</v>
      </c>
      <c r="B107" s="110" t="s">
        <v>22</v>
      </c>
      <c r="C107" s="185">
        <v>1887</v>
      </c>
      <c r="D107" s="185">
        <v>765</v>
      </c>
      <c r="E107" s="197">
        <v>0.40540540540540543</v>
      </c>
      <c r="F107" s="198">
        <v>2.0295444015444013</v>
      </c>
      <c r="G107" s="198">
        <v>4.2328237499999997</v>
      </c>
      <c r="H107" s="185">
        <v>13308</v>
      </c>
      <c r="I107" s="185">
        <v>27009.176895752891</v>
      </c>
      <c r="J107" s="195">
        <v>1.7220165058588779E-2</v>
      </c>
    </row>
    <row r="108" spans="1:10" x14ac:dyDescent="0.35">
      <c r="A108" s="162" t="s">
        <v>316</v>
      </c>
      <c r="B108" s="110" t="s">
        <v>27</v>
      </c>
      <c r="C108" s="185">
        <v>141</v>
      </c>
      <c r="D108" s="185">
        <v>40</v>
      </c>
      <c r="E108" s="197">
        <v>0.28368794326241137</v>
      </c>
      <c r="F108" s="198">
        <v>2.2778480243161097</v>
      </c>
      <c r="G108" s="198">
        <v>4.25</v>
      </c>
      <c r="H108" s="185">
        <v>680</v>
      </c>
      <c r="I108" s="185">
        <v>1548.9366565349546</v>
      </c>
      <c r="J108" s="195">
        <v>9.8755119394344781E-4</v>
      </c>
    </row>
    <row r="109" spans="1:10" x14ac:dyDescent="0.35">
      <c r="A109" s="162" t="s">
        <v>207</v>
      </c>
      <c r="B109" s="110" t="s">
        <v>115</v>
      </c>
      <c r="C109" s="185">
        <v>86</v>
      </c>
      <c r="D109" s="185">
        <v>37</v>
      </c>
      <c r="E109" s="197">
        <v>0.43023255813953487</v>
      </c>
      <c r="F109" s="198">
        <v>1.9788970099667775</v>
      </c>
      <c r="G109" s="198">
        <v>4.0540537499999996</v>
      </c>
      <c r="H109" s="185">
        <v>600</v>
      </c>
      <c r="I109" s="185">
        <v>1187.3382059800665</v>
      </c>
      <c r="J109" s="195">
        <v>7.5700788536656671E-4</v>
      </c>
    </row>
    <row r="110" spans="1:10" x14ac:dyDescent="0.35">
      <c r="A110" s="162" t="s">
        <v>302</v>
      </c>
      <c r="B110" s="110" t="s">
        <v>41</v>
      </c>
      <c r="C110" s="185">
        <v>208</v>
      </c>
      <c r="D110" s="185">
        <v>120</v>
      </c>
      <c r="E110" s="197">
        <v>0.57692307692307687</v>
      </c>
      <c r="F110" s="198">
        <v>1.6796483516483516</v>
      </c>
      <c r="G110" s="198">
        <v>4.54508125</v>
      </c>
      <c r="H110" s="185">
        <v>2218</v>
      </c>
      <c r="I110" s="185">
        <v>3725.4600439560436</v>
      </c>
      <c r="J110" s="195">
        <v>2.3752310973307869E-3</v>
      </c>
    </row>
    <row r="111" spans="1:10" x14ac:dyDescent="0.35">
      <c r="A111" s="162" t="s">
        <v>298</v>
      </c>
      <c r="B111" s="110" t="s">
        <v>40</v>
      </c>
      <c r="C111" s="185">
        <v>200</v>
      </c>
      <c r="D111" s="185">
        <v>170</v>
      </c>
      <c r="E111" s="197">
        <v>0.85</v>
      </c>
      <c r="F111" s="198">
        <v>1.1764705882352942</v>
      </c>
      <c r="G111" s="198">
        <v>4.4425282499999996</v>
      </c>
      <c r="H111" s="185">
        <v>3092</v>
      </c>
      <c r="I111" s="185">
        <v>3637.6470588235297</v>
      </c>
      <c r="J111" s="195">
        <v>2.3192444190211982E-3</v>
      </c>
    </row>
    <row r="112" spans="1:10" x14ac:dyDescent="0.35">
      <c r="A112" s="162" t="s">
        <v>216</v>
      </c>
      <c r="B112" s="110" t="s">
        <v>108</v>
      </c>
      <c r="C112" s="185">
        <v>472</v>
      </c>
      <c r="D112" s="185">
        <v>175</v>
      </c>
      <c r="E112" s="197">
        <v>0.37076271186440679</v>
      </c>
      <c r="F112" s="198">
        <v>2.1002154963680386</v>
      </c>
      <c r="G112" s="198">
        <v>3.9571424999999998</v>
      </c>
      <c r="H112" s="185">
        <v>2770</v>
      </c>
      <c r="I112" s="185">
        <v>5817.5969249394666</v>
      </c>
      <c r="J112" s="195">
        <v>3.7091089328068019E-3</v>
      </c>
    </row>
    <row r="113" spans="1:10" x14ac:dyDescent="0.35">
      <c r="A113" s="162" t="s">
        <v>315</v>
      </c>
      <c r="B113" s="110" t="s">
        <v>147</v>
      </c>
      <c r="C113" s="185">
        <v>24</v>
      </c>
      <c r="D113" s="185">
        <v>7</v>
      </c>
      <c r="E113" s="197">
        <v>0.29166666666666669</v>
      </c>
      <c r="F113" s="198">
        <v>2.2615714285714286</v>
      </c>
      <c r="G113" s="198">
        <v>4.3571422499999999</v>
      </c>
      <c r="H113" s="185">
        <v>122</v>
      </c>
      <c r="I113" s="185">
        <v>275.91171428571431</v>
      </c>
      <c r="J113" s="195">
        <v>1.7591225678355665E-4</v>
      </c>
    </row>
    <row r="114" spans="1:10" x14ac:dyDescent="0.35">
      <c r="A114" s="162" t="s">
        <v>296</v>
      </c>
      <c r="B114" s="110" t="s">
        <v>43</v>
      </c>
      <c r="C114" s="185">
        <v>282</v>
      </c>
      <c r="D114" s="185">
        <v>120</v>
      </c>
      <c r="E114" s="197">
        <v>0.42553191489361702</v>
      </c>
      <c r="F114" s="198">
        <v>1.9884863221884499</v>
      </c>
      <c r="G114" s="198">
        <v>4.2791665000000005</v>
      </c>
      <c r="H114" s="185">
        <v>2054</v>
      </c>
      <c r="I114" s="185">
        <v>4084.3509057750762</v>
      </c>
      <c r="J114" s="195">
        <v>2.604048136161568E-3</v>
      </c>
    </row>
    <row r="115" spans="1:10" ht="24" customHeight="1" x14ac:dyDescent="0.35">
      <c r="A115" s="162" t="s">
        <v>228</v>
      </c>
      <c r="B115" s="110" t="s">
        <v>100</v>
      </c>
      <c r="C115" s="185">
        <v>4219</v>
      </c>
      <c r="D115" s="185">
        <v>2272</v>
      </c>
      <c r="E115" s="197">
        <v>0.53851623607489929</v>
      </c>
      <c r="F115" s="198">
        <v>1.7579983069786342</v>
      </c>
      <c r="G115" s="198">
        <v>4.274813</v>
      </c>
      <c r="H115" s="185">
        <v>38935</v>
      </c>
      <c r="I115" s="185">
        <v>68447.66408221313</v>
      </c>
      <c r="J115" s="195">
        <v>4.3639984954739308E-2</v>
      </c>
    </row>
    <row r="116" spans="1:10" x14ac:dyDescent="0.35">
      <c r="A116" s="162" t="s">
        <v>282</v>
      </c>
      <c r="B116" s="110" t="s">
        <v>132</v>
      </c>
      <c r="C116" s="185">
        <v>16</v>
      </c>
      <c r="D116" s="185">
        <v>3</v>
      </c>
      <c r="E116" s="197">
        <v>0.1875</v>
      </c>
      <c r="F116" s="198">
        <v>2.4485709999999998</v>
      </c>
      <c r="G116" s="198">
        <v>4.8333330000000005</v>
      </c>
      <c r="H116" s="185">
        <v>58</v>
      </c>
      <c r="I116" s="185">
        <v>142.01711799999998</v>
      </c>
      <c r="J116" s="195">
        <v>9.0545455070481455E-5</v>
      </c>
    </row>
    <row r="117" spans="1:10" ht="23" x14ac:dyDescent="0.35">
      <c r="A117" s="162" t="s">
        <v>277</v>
      </c>
      <c r="B117" s="110" t="s">
        <v>454</v>
      </c>
      <c r="C117" s="185">
        <v>23</v>
      </c>
      <c r="D117" s="185">
        <v>10</v>
      </c>
      <c r="E117" s="197">
        <v>0.43478260869565216</v>
      </c>
      <c r="F117" s="198">
        <v>1.9696149068322981</v>
      </c>
      <c r="G117" s="198">
        <v>4.55</v>
      </c>
      <c r="H117" s="185">
        <v>182</v>
      </c>
      <c r="I117" s="185">
        <v>358.46991304347824</v>
      </c>
      <c r="J117" s="195">
        <v>2.285486557021785E-4</v>
      </c>
    </row>
    <row r="118" spans="1:10" x14ac:dyDescent="0.35">
      <c r="A118" s="162" t="s">
        <v>280</v>
      </c>
      <c r="B118" s="110" t="s">
        <v>60</v>
      </c>
      <c r="C118" s="185">
        <v>1598</v>
      </c>
      <c r="D118" s="185">
        <v>491</v>
      </c>
      <c r="E118" s="197">
        <v>0.30725907384230289</v>
      </c>
      <c r="F118" s="198">
        <v>2.2297629179331309</v>
      </c>
      <c r="G118" s="198">
        <v>4.1537672500000005</v>
      </c>
      <c r="H118" s="185">
        <v>8158</v>
      </c>
      <c r="I118" s="185">
        <v>18190.405884498483</v>
      </c>
      <c r="J118" s="195">
        <v>1.1597605992319033E-2</v>
      </c>
    </row>
    <row r="119" spans="1:10" x14ac:dyDescent="0.35">
      <c r="A119" s="162" t="s">
        <v>327</v>
      </c>
      <c r="B119" s="110" t="s">
        <v>19</v>
      </c>
      <c r="C119" s="185">
        <v>1381</v>
      </c>
      <c r="D119" s="185">
        <v>403</v>
      </c>
      <c r="E119" s="197">
        <v>0.29181752353367124</v>
      </c>
      <c r="F119" s="198">
        <v>2.2612636805627391</v>
      </c>
      <c r="G119" s="198">
        <v>4.0607937500000002</v>
      </c>
      <c r="H119" s="185">
        <v>6546</v>
      </c>
      <c r="I119" s="185">
        <v>14802.232052963691</v>
      </c>
      <c r="J119" s="195">
        <v>9.4374175181787916E-3</v>
      </c>
    </row>
    <row r="120" spans="1:10" x14ac:dyDescent="0.35">
      <c r="A120" s="162" t="s">
        <v>288</v>
      </c>
      <c r="B120" s="110" t="s">
        <v>50</v>
      </c>
      <c r="C120" s="185">
        <v>1561</v>
      </c>
      <c r="D120" s="185">
        <v>790</v>
      </c>
      <c r="E120" s="197">
        <v>0.50608584240871235</v>
      </c>
      <c r="F120" s="198">
        <v>1.8241563100576554</v>
      </c>
      <c r="G120" s="198">
        <v>4.3298604999999997</v>
      </c>
      <c r="H120" s="185">
        <v>13717</v>
      </c>
      <c r="I120" s="185">
        <v>25021.95210506086</v>
      </c>
      <c r="J120" s="195">
        <v>1.5953175729875937E-2</v>
      </c>
    </row>
    <row r="121" spans="1:10" x14ac:dyDescent="0.35">
      <c r="A121" s="162" t="s">
        <v>313</v>
      </c>
      <c r="B121" s="110" t="s">
        <v>30</v>
      </c>
      <c r="C121" s="185">
        <v>1031</v>
      </c>
      <c r="D121" s="185">
        <v>458</v>
      </c>
      <c r="E121" s="197">
        <v>0.44422890397672166</v>
      </c>
      <c r="F121" s="198">
        <v>1.9503444644589165</v>
      </c>
      <c r="G121" s="198">
        <v>4.3275104999999998</v>
      </c>
      <c r="H121" s="185">
        <v>7928</v>
      </c>
      <c r="I121" s="185">
        <v>15462.33091423029</v>
      </c>
      <c r="J121" s="195">
        <v>9.8582748952795625E-3</v>
      </c>
    </row>
    <row r="122" spans="1:10" x14ac:dyDescent="0.35">
      <c r="A122" s="162" t="s">
        <v>262</v>
      </c>
      <c r="B122" s="110" t="s">
        <v>73</v>
      </c>
      <c r="C122" s="185">
        <v>3181</v>
      </c>
      <c r="D122" s="185">
        <v>1115</v>
      </c>
      <c r="E122" s="197">
        <v>0.35051870480980823</v>
      </c>
      <c r="F122" s="198">
        <v>2.1415132707594196</v>
      </c>
      <c r="G122" s="198">
        <v>4.2843045000000002</v>
      </c>
      <c r="H122" s="185">
        <v>19108</v>
      </c>
      <c r="I122" s="185">
        <v>40920.035577670991</v>
      </c>
      <c r="J122" s="195">
        <v>2.6089272159997727E-2</v>
      </c>
    </row>
    <row r="123" spans="1:10" x14ac:dyDescent="0.35">
      <c r="A123" s="162" t="s">
        <v>322</v>
      </c>
      <c r="B123" s="110" t="s">
        <v>23</v>
      </c>
      <c r="C123" s="185">
        <v>1432</v>
      </c>
      <c r="D123" s="185">
        <v>515</v>
      </c>
      <c r="E123" s="197">
        <v>0.35963687150837986</v>
      </c>
      <c r="F123" s="198">
        <v>2.1229122106943339</v>
      </c>
      <c r="G123" s="198">
        <v>4.2946600000000004</v>
      </c>
      <c r="H123" s="185">
        <v>8847</v>
      </c>
      <c r="I123" s="185">
        <v>18781.404328012773</v>
      </c>
      <c r="J123" s="195">
        <v>1.1974407210140871E-2</v>
      </c>
    </row>
    <row r="124" spans="1:10" x14ac:dyDescent="0.35">
      <c r="A124" s="162" t="s">
        <v>308</v>
      </c>
      <c r="B124" s="110" t="s">
        <v>33</v>
      </c>
      <c r="C124" s="185">
        <v>2528</v>
      </c>
      <c r="D124" s="185">
        <v>677</v>
      </c>
      <c r="E124" s="197">
        <v>0.26780063291139239</v>
      </c>
      <c r="F124" s="198">
        <v>2.310258137432188</v>
      </c>
      <c r="G124" s="198">
        <v>4.1185939999999999</v>
      </c>
      <c r="H124" s="185">
        <v>11252</v>
      </c>
      <c r="I124" s="185">
        <v>25995.024562386978</v>
      </c>
      <c r="J124" s="195">
        <v>1.6573574803635097E-2</v>
      </c>
    </row>
    <row r="125" spans="1:10" x14ac:dyDescent="0.35">
      <c r="A125" s="162" t="s">
        <v>320</v>
      </c>
      <c r="B125" s="110" t="s">
        <v>25</v>
      </c>
      <c r="C125" s="185">
        <v>52</v>
      </c>
      <c r="D125" s="185">
        <v>49</v>
      </c>
      <c r="E125" s="197">
        <v>0.94230769230769229</v>
      </c>
      <c r="F125" s="198">
        <v>1.0612244897959184</v>
      </c>
      <c r="G125" s="198">
        <v>4.4387747500000003</v>
      </c>
      <c r="H125" s="185">
        <v>870</v>
      </c>
      <c r="I125" s="185">
        <v>923.26530612244903</v>
      </c>
      <c r="J125" s="195">
        <v>5.8864366824881297E-4</v>
      </c>
    </row>
    <row r="126" spans="1:10" x14ac:dyDescent="0.35">
      <c r="A126" s="162" t="s">
        <v>256</v>
      </c>
      <c r="B126" s="110" t="s">
        <v>75</v>
      </c>
      <c r="C126" s="185">
        <v>128</v>
      </c>
      <c r="D126" s="185">
        <v>60</v>
      </c>
      <c r="E126" s="197">
        <v>0.46875</v>
      </c>
      <c r="F126" s="198">
        <v>1.9003214285714285</v>
      </c>
      <c r="G126" s="198">
        <v>4.5583330000000002</v>
      </c>
      <c r="H126" s="185">
        <v>1094</v>
      </c>
      <c r="I126" s="185">
        <v>2078.9516428571428</v>
      </c>
      <c r="J126" s="195">
        <v>1.3254713602343703E-3</v>
      </c>
    </row>
    <row r="127" spans="1:10" x14ac:dyDescent="0.35">
      <c r="A127" s="162" t="s">
        <v>307</v>
      </c>
      <c r="B127" s="110" t="s">
        <v>34</v>
      </c>
      <c r="C127" s="185">
        <v>306</v>
      </c>
      <c r="D127" s="185">
        <v>155</v>
      </c>
      <c r="E127" s="197">
        <v>0.50653594771241828</v>
      </c>
      <c r="F127" s="198">
        <v>1.8232380952380951</v>
      </c>
      <c r="G127" s="198">
        <v>4.2564097499999995</v>
      </c>
      <c r="H127" s="185">
        <v>2656</v>
      </c>
      <c r="I127" s="185">
        <v>4842.5203809523809</v>
      </c>
      <c r="J127" s="195">
        <v>3.0874321191436556E-3</v>
      </c>
    </row>
    <row r="128" spans="1:10" x14ac:dyDescent="0.35">
      <c r="A128" s="162" t="s">
        <v>246</v>
      </c>
      <c r="B128" s="110" t="s">
        <v>83</v>
      </c>
      <c r="C128" s="185">
        <v>896</v>
      </c>
      <c r="D128" s="185">
        <v>571</v>
      </c>
      <c r="E128" s="197">
        <v>0.6372767857142857</v>
      </c>
      <c r="F128" s="198">
        <v>1.5565267857142857</v>
      </c>
      <c r="G128" s="198">
        <v>4.3236530000000002</v>
      </c>
      <c r="H128" s="185">
        <v>10273</v>
      </c>
      <c r="I128" s="185">
        <v>15990.199669642858</v>
      </c>
      <c r="J128" s="195">
        <v>1.0194826695157094E-2</v>
      </c>
    </row>
    <row r="129" spans="1:10" x14ac:dyDescent="0.35">
      <c r="A129" s="162" t="s">
        <v>226</v>
      </c>
      <c r="B129" s="110" t="s">
        <v>102</v>
      </c>
      <c r="C129" s="185">
        <v>1623</v>
      </c>
      <c r="D129" s="185">
        <v>635</v>
      </c>
      <c r="E129" s="197">
        <v>0.39125077017868143</v>
      </c>
      <c r="F129" s="198">
        <v>2.0584198574069186</v>
      </c>
      <c r="G129" s="198">
        <v>4.1309335000000003</v>
      </c>
      <c r="H129" s="185">
        <v>10790</v>
      </c>
      <c r="I129" s="185">
        <v>22210.350261420652</v>
      </c>
      <c r="J129" s="195">
        <v>1.4160590638764547E-2</v>
      </c>
    </row>
    <row r="130" spans="1:10" x14ac:dyDescent="0.35">
      <c r="A130" s="162" t="s">
        <v>330</v>
      </c>
      <c r="B130" s="110" t="s">
        <v>17</v>
      </c>
      <c r="C130" s="185">
        <v>367</v>
      </c>
      <c r="D130" s="185">
        <v>219</v>
      </c>
      <c r="E130" s="197">
        <v>0.59673024523160767</v>
      </c>
      <c r="F130" s="198">
        <v>1.6392417282989491</v>
      </c>
      <c r="G130" s="198">
        <v>4.305555</v>
      </c>
      <c r="H130" s="185">
        <v>3875</v>
      </c>
      <c r="I130" s="185">
        <v>6352.0616971584277</v>
      </c>
      <c r="J130" s="195">
        <v>4.0498661365947781E-3</v>
      </c>
    </row>
    <row r="131" spans="1:10" ht="24" customHeight="1" x14ac:dyDescent="0.35">
      <c r="A131" s="162" t="s">
        <v>181</v>
      </c>
      <c r="B131" s="110" t="s">
        <v>154</v>
      </c>
      <c r="C131" s="185">
        <v>2915</v>
      </c>
      <c r="D131" s="185">
        <v>1074</v>
      </c>
      <c r="E131" s="197">
        <v>0.36843910806174957</v>
      </c>
      <c r="F131" s="198">
        <v>2.1049556481254594</v>
      </c>
      <c r="G131" s="198">
        <v>4.3670059999999999</v>
      </c>
      <c r="H131" s="185">
        <v>18848</v>
      </c>
      <c r="I131" s="185">
        <v>39674.204055868657</v>
      </c>
      <c r="J131" s="195">
        <v>2.5294970855539885E-2</v>
      </c>
    </row>
    <row r="132" spans="1:10" x14ac:dyDescent="0.35">
      <c r="A132" s="162" t="s">
        <v>394</v>
      </c>
      <c r="B132" s="110" t="s">
        <v>395</v>
      </c>
      <c r="C132" s="185">
        <v>67</v>
      </c>
      <c r="D132" s="185">
        <v>18</v>
      </c>
      <c r="E132" s="197">
        <v>0.26865671641791045</v>
      </c>
      <c r="F132" s="198">
        <v>2.3085117270788911</v>
      </c>
      <c r="G132" s="198">
        <v>4.180555</v>
      </c>
      <c r="H132" s="185">
        <v>301</v>
      </c>
      <c r="I132" s="185">
        <v>694.86202985074624</v>
      </c>
      <c r="J132" s="195">
        <v>4.4302123286317003E-4</v>
      </c>
    </row>
    <row r="133" spans="1:10" x14ac:dyDescent="0.35">
      <c r="A133" s="162" t="s">
        <v>392</v>
      </c>
      <c r="B133" s="110" t="s">
        <v>393</v>
      </c>
      <c r="C133" s="185">
        <v>4685</v>
      </c>
      <c r="D133" s="185">
        <v>1530</v>
      </c>
      <c r="E133" s="197">
        <v>0.32657417289220919</v>
      </c>
      <c r="F133" s="198">
        <v>2.190360115871322</v>
      </c>
      <c r="G133" s="198">
        <v>4.1912910000000005</v>
      </c>
      <c r="H133" s="185">
        <v>25701</v>
      </c>
      <c r="I133" s="185">
        <v>56294.445338008845</v>
      </c>
      <c r="J133" s="195">
        <v>3.5891491412115228E-2</v>
      </c>
    </row>
    <row r="134" spans="1:10" x14ac:dyDescent="0.35">
      <c r="A134" s="162" t="s">
        <v>493</v>
      </c>
      <c r="B134" s="110" t="s">
        <v>494</v>
      </c>
      <c r="C134" s="185">
        <v>1818</v>
      </c>
      <c r="D134" s="185">
        <v>577</v>
      </c>
      <c r="E134" s="197">
        <v>0.31738173817381737</v>
      </c>
      <c r="F134" s="198">
        <v>2.209112682696841</v>
      </c>
      <c r="G134" s="198">
        <v>4.2417812500000007</v>
      </c>
      <c r="H134" s="185">
        <v>9807</v>
      </c>
      <c r="I134" s="185">
        <v>21664.768079207919</v>
      </c>
      <c r="J134" s="195">
        <v>1.3812745339109908E-2</v>
      </c>
    </row>
    <row r="135" spans="1:10" x14ac:dyDescent="0.35">
      <c r="A135" s="162" t="s">
        <v>509</v>
      </c>
      <c r="B135" s="110" t="s">
        <v>510</v>
      </c>
      <c r="C135" s="185">
        <v>545</v>
      </c>
      <c r="D135" s="185">
        <v>244</v>
      </c>
      <c r="E135" s="197">
        <v>0.44770642201834865</v>
      </c>
      <c r="F135" s="198">
        <v>1.9432503276539974</v>
      </c>
      <c r="G135" s="198">
        <v>4.3749995000000004</v>
      </c>
      <c r="H135" s="185">
        <v>4270</v>
      </c>
      <c r="I135" s="185">
        <v>8297.6788990825698</v>
      </c>
      <c r="J135" s="195">
        <v>5.2903278317911152E-3</v>
      </c>
    </row>
    <row r="136" spans="1:10" x14ac:dyDescent="0.35">
      <c r="A136" s="162" t="s">
        <v>511</v>
      </c>
      <c r="B136" s="110" t="s">
        <v>512</v>
      </c>
      <c r="C136" s="185">
        <v>190</v>
      </c>
      <c r="D136" s="185">
        <v>88</v>
      </c>
      <c r="E136" s="197">
        <v>0.4631578947368421</v>
      </c>
      <c r="F136" s="198">
        <v>1.9117293233082706</v>
      </c>
      <c r="G136" s="198">
        <v>4.4602270000000006</v>
      </c>
      <c r="H136" s="185">
        <v>1570</v>
      </c>
      <c r="I136" s="185">
        <v>3001.4150375939848</v>
      </c>
      <c r="J136" s="195">
        <v>1.9136037560932169E-3</v>
      </c>
    </row>
    <row r="137" spans="1:10" ht="24" customHeight="1" x14ac:dyDescent="0.35">
      <c r="A137" s="40" t="s">
        <v>13</v>
      </c>
      <c r="B137" s="40"/>
      <c r="C137" s="186">
        <v>119971</v>
      </c>
      <c r="D137" s="186">
        <v>45436</v>
      </c>
      <c r="E137" s="199">
        <v>0.37872485850747262</v>
      </c>
      <c r="F137" s="200">
        <v>1.860880541058241</v>
      </c>
      <c r="G137" s="200">
        <v>4.2745928754016624</v>
      </c>
      <c r="H137" s="186">
        <v>781110</v>
      </c>
      <c r="I137" s="186">
        <v>1568462.1374916332</v>
      </c>
      <c r="J137" s="196">
        <v>1</v>
      </c>
    </row>
    <row r="138" spans="1:10" x14ac:dyDescent="0.35">
      <c r="C138" s="163"/>
      <c r="D138" s="163"/>
      <c r="E138" s="163"/>
      <c r="F138" s="163"/>
      <c r="G138" s="163"/>
      <c r="H138" s="163"/>
      <c r="I138" s="163"/>
      <c r="J138" s="163"/>
    </row>
    <row r="139" spans="1:10" x14ac:dyDescent="0.35">
      <c r="A139" t="s">
        <v>448</v>
      </c>
    </row>
    <row r="140" spans="1:10" x14ac:dyDescent="0.35">
      <c r="A140" s="146" t="s">
        <v>449</v>
      </c>
    </row>
  </sheetData>
  <mergeCells count="1">
    <mergeCell ref="C4:J4"/>
  </mergeCells>
  <hyperlinks>
    <hyperlink ref="A140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13</vt:i4>
      </vt:variant>
    </vt:vector>
  </HeadingPairs>
  <TitlesOfParts>
    <vt:vector size="13" baseType="lpstr">
      <vt:lpstr>OHJEET</vt:lpstr>
      <vt:lpstr>1.1 Jakotaulu</vt:lpstr>
      <vt:lpstr>1.2 Ohjaus-laskentataulu</vt:lpstr>
      <vt:lpstr>1.3 Vertailulukuja</vt:lpstr>
      <vt:lpstr>1.4 Maakuntalukuja</vt:lpstr>
      <vt:lpstr>2.1 Toteut. op.vuodet</vt:lpstr>
      <vt:lpstr>2.2 Tutk. ja osien pain. pist.</vt:lpstr>
      <vt:lpstr>2.3 Työll. ja jatko-opisk.</vt:lpstr>
      <vt:lpstr>2.4 Aloittaneet palaute</vt:lpstr>
      <vt:lpstr>2.5 Päättäneet palaute</vt:lpstr>
      <vt:lpstr>2.6 Työpaikkaohjaajakysely</vt:lpstr>
      <vt:lpstr>2.7 Työpaikkakysely</vt:lpstr>
      <vt:lpstr>Suoritepäätös 2022 oikaistu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2023-03-15T08:21:10Z</dcterms:created>
  <dcterms:modified xsi:type="dcterms:W3CDTF">2023-03-15T08:43:56Z</dcterms:modified>
</cp:coreProperties>
</file>